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2_Boisement\_Dossiers clos\Boisement Bernaud (72)\Projet retravaillé\"/>
    </mc:Choice>
  </mc:AlternateContent>
  <xr:revisionPtr revIDLastSave="0" documentId="13_ncr:1_{C9466D3F-5A7B-43DC-B4C1-303D6073511F}" xr6:coauthVersionLast="47" xr6:coauthVersionMax="47" xr10:uidLastSave="{00000000-0000-0000-0000-000000000000}"/>
  <bookViews>
    <workbookView xWindow="-108" yWindow="-108" windowWidth="23256" windowHeight="1257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6" l="1"/>
  <c r="I24" i="6"/>
  <c r="I23" i="6"/>
  <c r="I22" i="6"/>
  <c r="I21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R4" i="2"/>
  <c r="GL4" i="2"/>
  <c r="FQ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J154" i="2" l="1"/>
  <c r="EY154" i="2"/>
  <c r="EW155" i="2"/>
  <c r="ED154" i="2"/>
  <c r="DI154" i="2"/>
  <c r="EA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D159" i="2"/>
  <c r="EC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X161" i="2" l="1"/>
  <c r="ED160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DI161" i="2"/>
  <c r="ED161" i="2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HH163" i="2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FR164" i="2"/>
  <c r="DI163" i="2"/>
  <c r="DH164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ED165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X167" i="2"/>
  <c r="EY166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DG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Y168" i="2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W172" i="2"/>
  <c r="ED171" i="2"/>
  <c r="HG172" i="2"/>
  <c r="HI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ED174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Y175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FS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DF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Y179" i="2"/>
  <c r="ED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W185" i="2"/>
  <c r="ED184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FS186" i="2"/>
  <c r="HG186" i="2"/>
  <c r="EA186" i="2"/>
  <c r="ED185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EB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Y189" i="2"/>
  <c r="HJ189" i="2"/>
  <c r="HH190" i="2"/>
  <c r="EW190" i="2"/>
  <c r="ED189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HI193" i="2"/>
  <c r="FQ193" i="2"/>
  <c r="ED192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HG194" i="2"/>
  <c r="EA194" i="2"/>
  <c r="ED193" i="2"/>
  <c r="EB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FQ195" i="2" l="1"/>
  <c r="ED194" i="2"/>
  <c r="HG195" i="2"/>
  <c r="EY194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HH197" i="2"/>
  <c r="EY196" i="2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G199" i="2" l="1"/>
  <c r="EV199" i="2"/>
  <c r="EY198" i="2"/>
  <c r="EW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J199" i="2"/>
  <c r="EW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HJ200" i="2"/>
  <c r="ED200" i="2"/>
  <c r="HH201" i="2"/>
  <c r="HG201" i="2"/>
  <c r="FS201" i="2"/>
  <c r="DI200" i="2"/>
  <c r="EA201" i="2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EY201" i="2"/>
  <c r="EW202" i="2"/>
  <c r="HG202" i="2"/>
  <c r="HI202" i="2"/>
  <c r="ED201" i="2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DN56" i="2" a="1"/>
  <c r="DN56" i="2" s="1"/>
  <c r="GT51" i="2" a="1"/>
  <c r="GT51" i="2" s="1"/>
  <c r="GT152" i="2" a="1"/>
  <c r="GT152" i="2" s="1"/>
  <c r="GT11" i="2" a="1"/>
  <c r="GT11" i="2" s="1"/>
  <c r="EI166" i="2" a="1"/>
  <c r="EI166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DN103" i="2" a="1"/>
  <c r="DN103" i="2" s="1"/>
  <c r="DN114" i="2" a="1"/>
  <c r="DN114" i="2" s="1"/>
  <c r="AH19" i="2" a="1"/>
  <c r="AH19" i="2" s="1"/>
  <c r="AH62" i="2" a="1"/>
  <c r="AH62" i="2" s="1"/>
  <c r="AH163" i="2" a="1"/>
  <c r="AH163" i="2" s="1"/>
  <c r="CS105" i="2" a="1"/>
  <c r="CS105" i="2" s="1"/>
  <c r="FY30" i="2" a="1"/>
  <c r="FY30" i="2" s="1"/>
  <c r="FD44" i="2" a="1"/>
  <c r="FD44" i="2" s="1"/>
  <c r="FD189" i="2" a="1"/>
  <c r="FD189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GT12" i="2" a="1"/>
  <c r="GT12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CS114" i="2" l="1" a="1"/>
  <c r="CS114" i="2" s="1"/>
  <c r="CS120" i="2" a="1"/>
  <c r="CS120" i="2" s="1"/>
  <c r="CS38" i="2" a="1"/>
  <c r="CS38" i="2" s="1"/>
  <c r="CS134" i="2" a="1"/>
  <c r="CS134" i="2" s="1"/>
  <c r="CS52" i="2" a="1"/>
  <c r="CS52" i="2" s="1"/>
  <c r="CS56" i="2" a="1"/>
  <c r="CS56" i="2" s="1"/>
  <c r="CS137" i="2" a="1"/>
  <c r="CS137" i="2" s="1"/>
  <c r="CS66" i="2" a="1"/>
  <c r="CS66" i="2" s="1"/>
  <c r="CS161" i="2" a="1"/>
  <c r="CS161" i="2" s="1"/>
  <c r="CS77" i="2" a="1"/>
  <c r="CS77" i="2" s="1"/>
  <c r="CS129" i="2" a="1"/>
  <c r="CS129" i="2" s="1"/>
  <c r="GT33" i="2" a="1"/>
  <c r="GT33" i="2" s="1"/>
  <c r="GT68" i="2" a="1"/>
  <c r="GT68" i="2" s="1"/>
  <c r="GT102" i="2" a="1"/>
  <c r="GT102" i="2" s="1"/>
  <c r="GT121" i="2" a="1"/>
  <c r="GT121" i="2" s="1"/>
  <c r="GT21" i="2" a="1"/>
  <c r="GT21" i="2" s="1"/>
  <c r="GT147" i="2" a="1"/>
  <c r="GT147" i="2" s="1"/>
  <c r="GT122" i="2" a="1"/>
  <c r="GT122" i="2" s="1"/>
  <c r="FY80" i="2" a="1"/>
  <c r="FY80" i="2" s="1"/>
  <c r="FD188" i="2" a="1"/>
  <c r="FD188" i="2" s="1"/>
  <c r="FD64" i="2" a="1"/>
  <c r="FD64" i="2" s="1"/>
  <c r="FD60" i="2" a="1"/>
  <c r="FD60" i="2" s="1"/>
  <c r="FD14" i="2" a="1"/>
  <c r="FD14" i="2" s="1"/>
  <c r="FD48" i="2" a="1"/>
  <c r="FD48" i="2" s="1"/>
  <c r="FD59" i="2" a="1"/>
  <c r="FD59" i="2" s="1"/>
  <c r="FD144" i="2" a="1"/>
  <c r="FD144" i="2" s="1"/>
  <c r="FD21" i="2" a="1"/>
  <c r="FD21" i="2" s="1"/>
  <c r="EI153" i="2" a="1"/>
  <c r="EI153" i="2" s="1"/>
  <c r="FY24" i="2" a="1"/>
  <c r="FY24" i="2" s="1"/>
  <c r="FY42" i="2" a="1"/>
  <c r="FY42" i="2" s="1"/>
  <c r="FY58" i="2" a="1"/>
  <c r="FY58" i="2" s="1"/>
  <c r="FY86" i="2" a="1"/>
  <c r="FY86" i="2" s="1"/>
  <c r="FY82" i="2" a="1"/>
  <c r="FY82" i="2" s="1"/>
  <c r="FY121" i="2" a="1"/>
  <c r="FY121" i="2" s="1"/>
  <c r="FY167" i="2" a="1"/>
  <c r="FY167" i="2" s="1"/>
  <c r="FY142" i="2" a="1"/>
  <c r="FY142" i="2" s="1"/>
  <c r="FY182" i="2" a="1"/>
  <c r="FY182" i="2" s="1"/>
  <c r="FY115" i="2" a="1"/>
  <c r="FY115" i="2" s="1"/>
  <c r="FY164" i="2" a="1"/>
  <c r="FY164" i="2" s="1"/>
  <c r="FY47" i="2" a="1"/>
  <c r="FY47" i="2" s="1"/>
  <c r="FY196" i="2" a="1"/>
  <c r="FY196" i="2" s="1"/>
  <c r="FY172" i="2" a="1"/>
  <c r="FY172" i="2" s="1"/>
  <c r="FY104" i="2" a="1"/>
  <c r="FY104" i="2" s="1"/>
  <c r="FY34" i="2" a="1"/>
  <c r="FY34" i="2" s="1"/>
  <c r="FY62" i="2" a="1"/>
  <c r="FY62" i="2" s="1"/>
  <c r="FY149" i="2" a="1"/>
  <c r="FY149" i="2" s="1"/>
  <c r="FY124" i="2" a="1"/>
  <c r="FY124" i="2" s="1"/>
  <c r="FY169" i="2" a="1"/>
  <c r="FY169" i="2" s="1"/>
  <c r="FY72" i="2" a="1"/>
  <c r="FY72" i="2" s="1"/>
  <c r="FY55" i="2" a="1"/>
  <c r="FY55" i="2" s="1"/>
  <c r="FY190" i="2" a="1"/>
  <c r="FY190" i="2" s="1"/>
  <c r="FY126" i="2" a="1"/>
  <c r="FY126" i="2" s="1"/>
  <c r="FY28" i="2" a="1"/>
  <c r="FY28" i="2" s="1"/>
  <c r="FY178" i="2" a="1"/>
  <c r="FY178" i="2" s="1"/>
  <c r="FY99" i="2" a="1"/>
  <c r="FY99" i="2" s="1"/>
  <c r="FY188" i="2" a="1"/>
  <c r="FY188" i="2" s="1"/>
  <c r="FY78" i="2" a="1"/>
  <c r="FY78" i="2" s="1"/>
  <c r="FY191" i="2" a="1"/>
  <c r="FY191" i="2" s="1"/>
  <c r="FY66" i="2" a="1"/>
  <c r="FY66" i="2" s="1"/>
  <c r="FY174" i="2" a="1"/>
  <c r="FY174" i="2" s="1"/>
  <c r="FY92" i="2" a="1"/>
  <c r="FY92" i="2" s="1"/>
  <c r="FY18" i="2" a="1"/>
  <c r="FY18" i="2" s="1"/>
  <c r="FY116" i="2" a="1"/>
  <c r="FY116" i="2" s="1"/>
  <c r="FY111" i="2" a="1"/>
  <c r="FY111" i="2" s="1"/>
  <c r="FY73" i="2" a="1"/>
  <c r="FY73" i="2" s="1"/>
  <c r="FY152" i="2" a="1"/>
  <c r="FY152" i="2" s="1"/>
  <c r="FY173" i="2" a="1"/>
  <c r="FY173" i="2" s="1"/>
  <c r="FY186" i="2" a="1"/>
  <c r="FY186" i="2" s="1"/>
  <c r="FY159" i="2" a="1"/>
  <c r="FY159" i="2" s="1"/>
  <c r="FY143" i="2" a="1"/>
  <c r="FY143" i="2" s="1"/>
  <c r="FY110" i="2" a="1"/>
  <c r="FY110" i="2" s="1"/>
  <c r="FY153" i="2" a="1"/>
  <c r="FY153" i="2" s="1"/>
  <c r="FY102" i="2" a="1"/>
  <c r="FY102" i="2" s="1"/>
  <c r="FY69" i="2" a="1"/>
  <c r="FY69" i="2" s="1"/>
  <c r="FY120" i="2" a="1"/>
  <c r="FY120" i="2" s="1"/>
  <c r="FY133" i="2" a="1"/>
  <c r="FY133" i="2" s="1"/>
  <c r="FY71" i="2" a="1"/>
  <c r="FY71" i="2" s="1"/>
  <c r="FY146" i="2" a="1"/>
  <c r="FY146" i="2" s="1"/>
  <c r="FY32" i="2" a="1"/>
  <c r="FY32" i="2" s="1"/>
  <c r="GT184" i="2" a="1"/>
  <c r="GT184" i="2" s="1"/>
  <c r="GT181" i="2" a="1"/>
  <c r="GT181" i="2" s="1"/>
  <c r="GT115" i="2" a="1"/>
  <c r="GT115" i="2" s="1"/>
  <c r="GT133" i="2" a="1"/>
  <c r="GT133" i="2" s="1"/>
  <c r="HH203" i="2"/>
  <c r="FY165" i="2" a="1"/>
  <c r="FY165" i="2" s="1"/>
  <c r="FY50" i="2" a="1"/>
  <c r="FY50" i="2" s="1"/>
  <c r="FY140" i="2" a="1"/>
  <c r="FY140" i="2" s="1"/>
  <c r="FY29" i="2" a="1"/>
  <c r="FY29" i="2" s="1"/>
  <c r="FY35" i="2" a="1"/>
  <c r="FY35" i="2" s="1"/>
  <c r="FY54" i="2" a="1"/>
  <c r="FY54" i="2" s="1"/>
  <c r="FY109" i="2" a="1"/>
  <c r="FY109" i="2" s="1"/>
  <c r="FY79" i="2" a="1"/>
  <c r="FY79" i="2" s="1"/>
  <c r="FY22" i="2" a="1"/>
  <c r="FY22" i="2" s="1"/>
  <c r="FY90" i="2" a="1"/>
  <c r="FY90" i="2" s="1"/>
  <c r="FY57" i="2" a="1"/>
  <c r="FY57" i="2" s="1"/>
  <c r="EI198" i="2" a="1"/>
  <c r="EI198" i="2" s="1"/>
  <c r="DN186" i="2" a="1"/>
  <c r="DN186" i="2" s="1"/>
  <c r="BC55" i="2" a="1"/>
  <c r="BC55" i="2" s="1"/>
  <c r="BC32" i="2" a="1"/>
  <c r="BC32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CN203" i="2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FJ60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Z109" i="2" l="1"/>
  <c r="GZ200" i="2"/>
  <c r="GZ149" i="2"/>
  <c r="GZ141" i="2"/>
  <c r="GZ35" i="2"/>
  <c r="GZ196" i="2"/>
  <c r="GZ97" i="2"/>
  <c r="GZ29" i="2"/>
  <c r="GZ119" i="2"/>
  <c r="GZ111" i="2"/>
  <c r="GZ178" i="2"/>
  <c r="GZ125" i="2"/>
  <c r="GZ83" i="2"/>
  <c r="GZ73" i="2"/>
  <c r="GZ55" i="2"/>
  <c r="GZ14" i="2"/>
  <c r="GZ69" i="2"/>
  <c r="GZ50" i="2"/>
  <c r="GZ165" i="2"/>
  <c r="GZ156" i="2"/>
  <c r="GZ40" i="2"/>
  <c r="GZ197" i="2"/>
  <c r="GZ103" i="2"/>
  <c r="GZ25" i="2"/>
  <c r="GZ110" i="2"/>
  <c r="GZ167" i="2"/>
  <c r="GZ93" i="2"/>
  <c r="GZ91" i="2"/>
  <c r="GZ170" i="2"/>
  <c r="GZ120" i="2"/>
  <c r="GZ64" i="2"/>
  <c r="GZ89" i="2"/>
  <c r="GZ151" i="2"/>
  <c r="GZ5" i="2"/>
  <c r="GZ66" i="2"/>
  <c r="GZ108" i="2"/>
  <c r="GZ114" i="2"/>
  <c r="GZ13" i="2"/>
  <c r="GZ150" i="2"/>
  <c r="GZ54" i="2"/>
  <c r="GZ174" i="2"/>
  <c r="GZ17" i="2"/>
  <c r="GZ192" i="2"/>
  <c r="GZ107" i="2"/>
  <c r="GZ187" i="2"/>
  <c r="GZ177" i="2"/>
  <c r="GZ143" i="2"/>
  <c r="GZ137" i="2"/>
  <c r="GZ100" i="2"/>
  <c r="GZ129" i="2"/>
  <c r="GZ116" i="2"/>
  <c r="GZ85" i="2"/>
  <c r="GZ81" i="2"/>
  <c r="GZ105" i="2"/>
  <c r="GZ171" i="2"/>
  <c r="GZ62" i="2"/>
  <c r="GZ60" i="2"/>
  <c r="GZ155" i="2"/>
  <c r="GZ202" i="2"/>
  <c r="GZ142" i="2"/>
  <c r="GZ139" i="2"/>
  <c r="GZ8" i="2"/>
  <c r="GZ80" i="2"/>
  <c r="GZ169" i="2"/>
  <c r="GZ172" i="2"/>
  <c r="GZ195" i="2"/>
  <c r="GZ12" i="2"/>
  <c r="GZ185" i="2"/>
  <c r="GZ88" i="2"/>
  <c r="GZ180" i="2"/>
  <c r="GZ124" i="2"/>
  <c r="GZ96" i="2"/>
  <c r="GZ168" i="2"/>
  <c r="GZ161" i="2"/>
  <c r="GZ18" i="2"/>
  <c r="GZ71" i="2"/>
  <c r="GZ128" i="2"/>
  <c r="GZ32" i="2"/>
  <c r="GZ176" i="2"/>
  <c r="GZ158" i="2"/>
  <c r="GZ198" i="2"/>
  <c r="GZ99" i="2"/>
  <c r="GZ146" i="2"/>
  <c r="GZ157" i="2"/>
  <c r="GZ145" i="2"/>
  <c r="GZ27" i="2"/>
  <c r="GZ28" i="2"/>
  <c r="GZ140" i="2"/>
  <c r="GZ45" i="2"/>
  <c r="GZ191" i="2"/>
  <c r="GZ75" i="2"/>
  <c r="GZ184" i="2"/>
  <c r="GZ121" i="2"/>
  <c r="GZ10" i="2"/>
  <c r="GZ127" i="2"/>
  <c r="GZ65" i="2"/>
  <c r="GZ7" i="2"/>
  <c r="GZ34" i="2"/>
  <c r="GZ51" i="2"/>
  <c r="GZ182" i="2"/>
  <c r="GZ166" i="2"/>
  <c r="GZ9" i="2"/>
  <c r="GZ43" i="2"/>
  <c r="GZ201" i="2"/>
  <c r="GZ78" i="2"/>
  <c r="GZ74" i="2"/>
  <c r="GZ135" i="2"/>
  <c r="GZ53" i="2"/>
  <c r="GZ94" i="2"/>
  <c r="GZ190" i="2"/>
  <c r="GZ37" i="2"/>
  <c r="GZ52" i="2"/>
  <c r="GZ59" i="2"/>
  <c r="GZ95" i="2"/>
  <c r="GZ70" i="2"/>
  <c r="GZ68" i="2"/>
  <c r="GZ15" i="2"/>
  <c r="GZ144" i="2"/>
  <c r="GZ56" i="2"/>
  <c r="GZ57" i="2"/>
  <c r="GZ118" i="2"/>
  <c r="GZ175" i="2"/>
  <c r="GZ203" i="2"/>
  <c r="GZ41" i="2"/>
  <c r="GZ148" i="2"/>
  <c r="GZ47" i="2"/>
  <c r="GZ42" i="2"/>
  <c r="GZ131" i="2"/>
  <c r="GZ117" i="2"/>
  <c r="GZ61" i="2"/>
  <c r="GZ92" i="2"/>
  <c r="GZ16" i="2"/>
  <c r="GZ153" i="2"/>
  <c r="GZ188" i="2"/>
  <c r="GZ84" i="2"/>
  <c r="GZ90" i="2"/>
  <c r="GZ147" i="2"/>
  <c r="GZ72" i="2"/>
  <c r="GZ133" i="2"/>
  <c r="GZ136" i="2"/>
  <c r="GZ67" i="2"/>
  <c r="GZ159" i="2"/>
  <c r="GZ31" i="2"/>
  <c r="GZ24" i="2"/>
  <c r="GZ82" i="2"/>
  <c r="GZ79" i="2"/>
  <c r="GZ76" i="2"/>
  <c r="GZ126" i="2"/>
  <c r="GZ154" i="2"/>
  <c r="GZ152" i="2"/>
  <c r="GZ20" i="2"/>
  <c r="GZ102" i="2"/>
  <c r="GZ77" i="2"/>
  <c r="GZ48" i="2"/>
  <c r="GZ19" i="2"/>
  <c r="GZ36" i="2"/>
  <c r="GZ122" i="2"/>
  <c r="GZ11" i="2"/>
  <c r="GZ4" i="2"/>
  <c r="GZ39" i="2"/>
  <c r="GZ123" i="2"/>
  <c r="GZ193" i="2"/>
  <c r="GZ138" i="2"/>
  <c r="GZ134" i="2"/>
  <c r="GZ132" i="2"/>
  <c r="GZ162" i="2"/>
  <c r="GZ21" i="2"/>
  <c r="GZ164" i="2"/>
  <c r="GZ194" i="2"/>
  <c r="GZ199" i="2"/>
  <c r="GZ163" i="2"/>
  <c r="GZ23" i="2"/>
  <c r="GZ160" i="2"/>
  <c r="GZ189" i="2"/>
  <c r="GZ26" i="2"/>
  <c r="GZ44" i="2"/>
  <c r="GZ6" i="2"/>
  <c r="GZ113" i="2"/>
  <c r="GZ101" i="2"/>
  <c r="GZ106" i="2"/>
  <c r="GZ104" i="2"/>
  <c r="GZ98" i="2"/>
  <c r="GZ179" i="2"/>
  <c r="GZ86" i="2"/>
  <c r="GZ115" i="2"/>
  <c r="GZ130" i="2"/>
  <c r="GZ112" i="2"/>
  <c r="GZ181" i="2"/>
  <c r="GZ22" i="2"/>
  <c r="GZ63" i="2"/>
  <c r="GZ186" i="2"/>
  <c r="GZ183" i="2"/>
  <c r="GZ173" i="2"/>
  <c r="GZ87" i="2"/>
  <c r="GZ58" i="2"/>
  <c r="GZ46" i="2"/>
  <c r="GZ38" i="2"/>
  <c r="GZ30" i="2"/>
  <c r="GZ49" i="2"/>
  <c r="GZ33" i="2"/>
  <c r="GZ3" i="2"/>
  <c r="C15" i="4" s="1"/>
  <c r="E15" i="4" s="1"/>
  <c r="F15" i="4" s="1"/>
  <c r="G15" i="4" s="1"/>
  <c r="L15" i="4" s="1"/>
  <c r="FJ198" i="2"/>
  <c r="FJ42" i="2"/>
  <c r="FJ31" i="2"/>
  <c r="FJ54" i="2"/>
  <c r="FJ180" i="2"/>
  <c r="FJ35" i="2"/>
  <c r="FJ134" i="2"/>
  <c r="FJ43" i="2"/>
  <c r="FJ68" i="2"/>
  <c r="FJ169" i="2"/>
  <c r="FJ144" i="2"/>
  <c r="FJ22" i="2"/>
  <c r="FJ103" i="2"/>
  <c r="FJ162" i="2"/>
  <c r="FJ57" i="2"/>
  <c r="FJ18" i="2"/>
  <c r="FJ181" i="2"/>
  <c r="FJ141" i="2"/>
  <c r="FJ172" i="2"/>
  <c r="FJ139" i="2"/>
  <c r="FJ80" i="2"/>
  <c r="FJ130" i="2"/>
  <c r="FJ200" i="2"/>
  <c r="FJ49" i="2"/>
  <c r="FJ33" i="2"/>
  <c r="FJ173" i="2"/>
  <c r="FJ25" i="2"/>
  <c r="FJ109" i="2"/>
  <c r="FJ38" i="2"/>
  <c r="FJ125" i="2"/>
  <c r="FJ176" i="2"/>
  <c r="FJ98" i="2"/>
  <c r="FJ100" i="2"/>
  <c r="FJ129" i="2"/>
  <c r="FJ133" i="2"/>
  <c r="FJ12" i="2"/>
  <c r="FJ126" i="2"/>
  <c r="FJ186" i="2"/>
  <c r="FJ97" i="2"/>
  <c r="FJ63" i="2"/>
  <c r="FJ53" i="2"/>
  <c r="FJ50" i="2"/>
  <c r="FJ197" i="2"/>
  <c r="FJ37" i="2"/>
  <c r="FJ4" i="2"/>
  <c r="FJ76" i="2"/>
  <c r="FJ84" i="2"/>
  <c r="FJ155" i="2"/>
  <c r="FJ73" i="2"/>
  <c r="FJ81" i="2"/>
  <c r="FJ6" i="2"/>
  <c r="FJ189" i="2"/>
  <c r="FJ106" i="2"/>
  <c r="FJ9" i="2"/>
  <c r="FJ29" i="2"/>
  <c r="FJ114" i="2"/>
  <c r="FJ69" i="2"/>
  <c r="FJ72" i="2"/>
  <c r="FJ199" i="2"/>
  <c r="FJ158" i="2"/>
  <c r="FJ45" i="2"/>
  <c r="FJ136" i="2"/>
  <c r="FJ165" i="2"/>
  <c r="FJ79" i="2"/>
  <c r="FJ83" i="2"/>
  <c r="FJ86" i="2"/>
  <c r="FJ13" i="2"/>
  <c r="FJ34" i="2"/>
  <c r="FJ51" i="2"/>
  <c r="FJ5" i="2"/>
  <c r="FJ175" i="2"/>
  <c r="FJ118" i="2"/>
  <c r="FJ104" i="2"/>
  <c r="FJ127" i="2"/>
  <c r="FJ14" i="2"/>
  <c r="FJ123" i="2"/>
  <c r="FJ113" i="2"/>
  <c r="FJ110" i="2"/>
  <c r="FJ77" i="2"/>
  <c r="FJ168" i="2"/>
  <c r="FJ96" i="2"/>
  <c r="FJ184" i="2"/>
  <c r="FJ145" i="2"/>
  <c r="FJ19" i="2"/>
  <c r="FJ71" i="2"/>
  <c r="FJ16" i="2"/>
  <c r="FJ174" i="2"/>
  <c r="FJ192" i="2"/>
  <c r="FJ159" i="2"/>
  <c r="FJ183" i="2"/>
  <c r="FJ7" i="2"/>
  <c r="FJ28" i="2"/>
  <c r="FJ58" i="2"/>
  <c r="FJ64" i="2"/>
  <c r="FJ170" i="2"/>
  <c r="FJ89" i="2"/>
  <c r="FJ150" i="2"/>
  <c r="FJ32" i="2"/>
  <c r="FJ15" i="2"/>
  <c r="FJ105" i="2"/>
  <c r="FJ24" i="2"/>
  <c r="FJ11" i="2"/>
  <c r="FJ82" i="2"/>
  <c r="FJ128" i="2"/>
  <c r="FJ23" i="2"/>
  <c r="FJ67" i="2"/>
  <c r="FJ153" i="2"/>
  <c r="FJ94" i="2"/>
  <c r="FJ143" i="2"/>
  <c r="FJ121" i="2"/>
  <c r="FJ161" i="2"/>
  <c r="FJ154" i="2"/>
  <c r="FJ75" i="2"/>
  <c r="FJ39" i="2"/>
  <c r="FJ44" i="2"/>
  <c r="FJ115" i="2"/>
  <c r="FJ91" i="2"/>
  <c r="FJ147" i="2"/>
  <c r="FJ135" i="2"/>
  <c r="FJ56" i="2"/>
  <c r="FJ120" i="2"/>
  <c r="FJ99" i="2"/>
  <c r="FJ3" i="2"/>
  <c r="C13" i="4" s="1"/>
  <c r="E13" i="4" s="1"/>
  <c r="F13" i="4" s="1"/>
  <c r="G13" i="4" s="1"/>
  <c r="L13" i="4" s="1"/>
  <c r="FJ48" i="2"/>
  <c r="FJ47" i="2"/>
  <c r="FJ17" i="2"/>
  <c r="FJ8" i="2"/>
  <c r="FJ108" i="2"/>
  <c r="FJ195" i="2"/>
  <c r="FJ59" i="2"/>
  <c r="FJ142" i="2"/>
  <c r="FJ203" i="2"/>
  <c r="FJ85" i="2"/>
  <c r="FJ62" i="2"/>
  <c r="FJ78" i="2"/>
  <c r="FJ55" i="2"/>
  <c r="FJ90" i="2"/>
  <c r="FJ171" i="2"/>
  <c r="FJ117" i="2"/>
  <c r="FJ40" i="2"/>
  <c r="FJ116" i="2"/>
  <c r="FJ193" i="2"/>
  <c r="FJ152" i="2"/>
  <c r="FJ119" i="2"/>
  <c r="FJ185" i="2"/>
  <c r="FJ187" i="2"/>
  <c r="FJ132" i="2"/>
  <c r="FJ166" i="2"/>
  <c r="FJ88" i="2"/>
  <c r="FJ148" i="2"/>
  <c r="FJ177" i="2"/>
  <c r="FJ30" i="2"/>
  <c r="FJ201" i="2"/>
  <c r="FJ112" i="2"/>
  <c r="FJ188" i="2"/>
  <c r="FJ182" i="2"/>
  <c r="FJ191" i="2"/>
  <c r="FJ95" i="2"/>
  <c r="FJ149" i="2"/>
  <c r="FJ164" i="2"/>
  <c r="FJ137" i="2"/>
  <c r="FJ156" i="2"/>
  <c r="FJ70" i="2"/>
  <c r="FJ27" i="2"/>
  <c r="FJ52" i="2"/>
  <c r="FJ194" i="2"/>
  <c r="FJ140" i="2"/>
  <c r="FJ65" i="2"/>
  <c r="FJ21" i="2"/>
  <c r="FJ20" i="2"/>
  <c r="FJ10" i="2"/>
  <c r="FJ74" i="2"/>
  <c r="FJ101" i="2"/>
  <c r="FJ190" i="2"/>
  <c r="FJ93" i="2"/>
  <c r="FJ111" i="2"/>
  <c r="FJ151" i="2"/>
  <c r="FJ124" i="2"/>
  <c r="FJ46" i="2"/>
  <c r="FJ102" i="2"/>
  <c r="FJ146" i="2"/>
  <c r="FJ66" i="2"/>
  <c r="FJ179" i="2"/>
  <c r="FJ26" i="2"/>
  <c r="FJ92" i="2"/>
  <c r="FJ178" i="2"/>
  <c r="FJ163" i="2"/>
  <c r="FJ160" i="2"/>
  <c r="FJ131" i="2"/>
  <c r="FJ41" i="2"/>
  <c r="FJ167" i="2"/>
  <c r="FJ107" i="2"/>
  <c r="FJ61" i="2"/>
  <c r="FJ157" i="2"/>
  <c r="FJ138" i="2"/>
  <c r="FJ196" i="2"/>
  <c r="FJ202" i="2"/>
  <c r="FJ122" i="2"/>
  <c r="FJ36" i="2"/>
  <c r="FJ87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GE11" i="2" l="1"/>
  <c r="GE130" i="2"/>
  <c r="GE194" i="2"/>
  <c r="GE79" i="2"/>
  <c r="GE133" i="2"/>
  <c r="GE170" i="2"/>
  <c r="GE41" i="2"/>
  <c r="GE3" i="2"/>
  <c r="C14" i="4" s="1"/>
  <c r="E14" i="4" s="1"/>
  <c r="F14" i="4" s="1"/>
  <c r="G14" i="4" s="1"/>
  <c r="L14" i="4" s="1"/>
  <c r="GE172" i="2"/>
  <c r="GE78" i="2"/>
  <c r="GE108" i="2"/>
  <c r="GE168" i="2"/>
  <c r="GE173" i="2"/>
  <c r="GE93" i="2"/>
  <c r="GE29" i="2"/>
  <c r="GE20" i="2"/>
  <c r="GE131" i="2"/>
  <c r="GE61" i="2"/>
  <c r="GE75" i="2"/>
  <c r="GE97" i="2"/>
  <c r="GE107" i="2"/>
  <c r="GE80" i="2"/>
  <c r="GE105" i="2"/>
  <c r="GE66" i="2"/>
  <c r="GE31" i="2"/>
  <c r="GE86" i="2"/>
  <c r="GE167" i="2"/>
  <c r="GE43" i="2"/>
  <c r="GE12" i="2"/>
  <c r="GE203" i="2"/>
  <c r="GE19" i="2"/>
  <c r="GE73" i="2"/>
  <c r="GE145" i="2"/>
  <c r="GE124" i="2"/>
  <c r="GE71" i="2"/>
  <c r="GE92" i="2"/>
  <c r="GE70" i="2"/>
  <c r="GE60" i="2"/>
  <c r="GE10" i="2"/>
  <c r="GE59" i="2"/>
  <c r="GE152" i="2"/>
  <c r="GE58" i="2"/>
  <c r="GE16" i="2"/>
  <c r="GE162" i="2"/>
  <c r="GE200" i="2"/>
  <c r="GE154" i="2"/>
  <c r="GE14" i="2"/>
  <c r="GE158" i="2"/>
  <c r="GE42" i="2"/>
  <c r="GE99" i="2"/>
  <c r="GE140" i="2"/>
  <c r="GE115" i="2"/>
  <c r="GE199" i="2"/>
  <c r="GE180" i="2"/>
  <c r="GE101" i="2"/>
  <c r="GE119" i="2"/>
  <c r="GE74" i="2"/>
  <c r="GE64" i="2"/>
  <c r="GE202" i="2"/>
  <c r="GE201" i="2"/>
  <c r="GE8" i="2"/>
  <c r="GE142" i="2"/>
  <c r="GE51" i="2"/>
  <c r="GE157" i="2"/>
  <c r="GE153" i="2"/>
  <c r="GE163" i="2"/>
  <c r="GE192" i="2"/>
  <c r="GE34" i="2"/>
  <c r="GE169" i="2"/>
  <c r="GE165" i="2"/>
  <c r="GE110" i="2"/>
  <c r="GE83" i="2"/>
  <c r="GE5" i="2"/>
  <c r="GE53" i="2"/>
  <c r="GE150" i="2"/>
  <c r="GE190" i="2"/>
  <c r="GE22" i="2"/>
  <c r="GE155" i="2"/>
  <c r="GE179" i="2"/>
  <c r="GE160" i="2"/>
  <c r="GE106" i="2"/>
  <c r="GE102" i="2"/>
  <c r="GE171" i="2"/>
  <c r="GE50" i="2"/>
  <c r="GE183" i="2"/>
  <c r="GE85" i="2"/>
  <c r="GE109" i="2"/>
  <c r="GE176" i="2"/>
  <c r="GE49" i="2"/>
  <c r="GE197" i="2"/>
  <c r="GE113" i="2"/>
  <c r="GE65" i="2"/>
  <c r="GE135" i="2"/>
  <c r="GE177" i="2"/>
  <c r="GE175" i="2"/>
  <c r="GE181" i="2"/>
  <c r="GE32" i="2"/>
  <c r="GE13" i="2"/>
  <c r="GE23" i="2"/>
  <c r="GE52" i="2"/>
  <c r="GE104" i="2"/>
  <c r="GE146" i="2"/>
  <c r="GE188" i="2"/>
  <c r="GE72" i="2"/>
  <c r="GE28" i="2"/>
  <c r="GE182" i="2"/>
  <c r="GE82" i="2"/>
  <c r="GE9" i="2"/>
  <c r="GE40" i="2"/>
  <c r="GE95" i="2"/>
  <c r="GE166" i="2"/>
  <c r="GE174" i="2"/>
  <c r="GE149" i="2"/>
  <c r="GE123" i="2"/>
  <c r="GE117" i="2"/>
  <c r="GE44" i="2"/>
  <c r="GE45" i="2"/>
  <c r="GE186" i="2"/>
  <c r="GE15" i="2"/>
  <c r="GE24" i="2"/>
  <c r="GE191" i="2"/>
  <c r="GE147" i="2"/>
  <c r="GE68" i="2"/>
  <c r="GE84" i="2"/>
  <c r="GE69" i="2"/>
  <c r="GE116" i="2"/>
  <c r="GE126" i="2"/>
  <c r="GE156" i="2"/>
  <c r="GE178" i="2"/>
  <c r="GE26" i="2"/>
  <c r="GE88" i="2"/>
  <c r="GE89" i="2"/>
  <c r="GE54" i="2"/>
  <c r="GE185" i="2"/>
  <c r="GE90" i="2"/>
  <c r="GE103" i="2"/>
  <c r="GE187" i="2"/>
  <c r="GE33" i="2"/>
  <c r="GE132" i="2"/>
  <c r="GE184" i="2"/>
  <c r="GE137" i="2"/>
  <c r="GE193" i="2"/>
  <c r="GE138" i="2"/>
  <c r="GE141" i="2"/>
  <c r="GE77" i="2"/>
  <c r="GE18" i="2"/>
  <c r="GE120" i="2"/>
  <c r="GE38" i="2"/>
  <c r="GE112" i="2"/>
  <c r="GE27" i="2"/>
  <c r="GE17" i="2"/>
  <c r="GE144" i="2"/>
  <c r="GE55" i="2"/>
  <c r="GE39" i="2"/>
  <c r="GE63" i="2"/>
  <c r="GE56" i="2"/>
  <c r="GE121" i="2"/>
  <c r="GE195" i="2"/>
  <c r="GE148" i="2"/>
  <c r="GE136" i="2"/>
  <c r="GE94" i="2"/>
  <c r="GE47" i="2"/>
  <c r="GE67" i="2"/>
  <c r="GE151" i="2"/>
  <c r="GE62" i="2"/>
  <c r="GE36" i="2"/>
  <c r="GE48" i="2"/>
  <c r="GE118" i="2"/>
  <c r="GE57" i="2"/>
  <c r="GE21" i="2"/>
  <c r="GE189" i="2"/>
  <c r="GE7" i="2"/>
  <c r="GE161" i="2"/>
  <c r="GE122" i="2"/>
  <c r="GE111" i="2"/>
  <c r="GE6" i="2"/>
  <c r="GE81" i="2"/>
  <c r="GE76" i="2"/>
  <c r="GE100" i="2"/>
  <c r="GE37" i="2"/>
  <c r="GE128" i="2"/>
  <c r="GE25" i="2"/>
  <c r="GE143" i="2"/>
  <c r="GE46" i="2"/>
  <c r="GE198" i="2"/>
  <c r="GE139" i="2"/>
  <c r="GE35" i="2"/>
  <c r="GE114" i="2"/>
  <c r="GE134" i="2"/>
  <c r="GE30" i="2"/>
  <c r="GE196" i="2"/>
  <c r="GE98" i="2"/>
  <c r="GE96" i="2"/>
  <c r="GE91" i="2"/>
  <c r="GE125" i="2"/>
  <c r="GE127" i="2"/>
  <c r="GE129" i="2"/>
  <c r="GE87" i="2"/>
  <c r="GE4" i="2"/>
  <c r="GE164" i="2"/>
  <c r="GE159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<sst xmlns="http://schemas.openxmlformats.org/spreadsheetml/2006/main" count="1180" uniqueCount="325">
  <si>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</si>
  <si>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</si>
  <si>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</si>
  <si>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</si>
  <si>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</si>
  <si>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</si>
  <si>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</si>
  <si>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</si>
  <si>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</si>
  <si>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</si>
  <si>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</si>
  <si>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</si>
  <si>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</si>
  <si>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</si>
  <si>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</si>
  <si>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</si>
  <si>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</si>
  <si>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</si>
  <si>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</si>
  <si>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</si>
  <si>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</si>
  <si>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</si>
  <si>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</si>
  <si>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</si>
  <si>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</si>
  <si>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</si>
  <si>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</si>
  <si>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</si>
  <si>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</si>
  <si>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</si>
  <si>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</si>
  <si>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</si>
  <si>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</si>
  <si>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</si>
  <si>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</si>
  <si>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</si>
  <si>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</si>
  <si>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</si>
  <si>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</si>
  <si>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</si>
  <si>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</si>
  <si>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</si>
  <si>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</si>
  <si>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</si>
  <si>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</si>
  <si>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</si>
  <si>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</si>
  <si>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</si>
  <si>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</si>
  <si>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</si>
  <si>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</si>
  <si>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</si>
  <si>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</si>
  <si>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</si>
  <si>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</si>
  <si>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</si>
  <si>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</si>
  <si>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</si>
  <si>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</si>
  <si>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</si>
  <si>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</si>
  <si>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</si>
  <si>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</si>
  <si>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</si>
  <si>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</si>
  <si>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</si>
  <si>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</si>
  <si>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</si>
  <si>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</si>
  <si>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</si>
  <si>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</si>
  <si>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</si>
  <si>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</si>
  <si>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</si>
  <si>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</si>
  <si>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</si>
  <si>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</si>
  <si>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</si>
  <si>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</si>
  <si>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</si>
  <si>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</si>
  <si>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</si>
  <si>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</si>
  <si>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</si>
  <si>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</si>
  <si>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</si>
  <si>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</si>
  <si>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</si>
  <si>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</si>
  <si>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</si>
  <si>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</si>
  <si>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</si>
  <si>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</si>
  <si>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</si>
  <si>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</si>
  <si>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</si>
  <si>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</si>
  <si>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</si>
  <si>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</si>
  <si>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</si>
  <si>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</si>
  <si>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</si>
  <si>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</si>
  <si>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</si>
  <si>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</si>
  <si>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</si>
  <si>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</si>
  <si>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</si>
  <si>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</si>
  <si>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</si>
  <si>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</si>
  <si>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</si>
  <si>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</si>
  <si>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</si>
  <si>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</si>
  <si>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</si>
  <si>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</si>
  <si>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</si>
  <si>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</si>
  <si>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</si>
  <si>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</si>
  <si>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</si>
  <si>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</si>
  <si>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</si>
  <si>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</si>
  <si>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</si>
  <si>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</si>
  <si>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</si>
  <si>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</si>
  <si>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</si>
  <si>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</si>
  <si>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</si>
  <si>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</si>
  <si>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</si>
  <si>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</si>
  <si>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</si>
  <si>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</si>
  <si>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</si>
  <si>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</si>
  <si>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</si>
  <si>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</si>
  <si>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</si>
  <si>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</si>
  <si>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</si>
  <si>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</si>
  <si>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</si>
  <si>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</si>
  <si>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</si>
  <si>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</si>
  <si>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</si>
  <si>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</si>
  <si>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</si>
  <si>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</si>
  <si>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</si>
  <si>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</si>
  <si>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</si>
  <si>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</si>
  <si>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</si>
  <si>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</si>
  <si>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</si>
  <si>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</si>
  <si>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</si>
  <si>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</si>
  <si>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</si>
  <si>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</si>
  <si>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</si>
  <si>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</si>
  <si>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</si>
  <si>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</si>
  <si>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</si>
  <si>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</si>
  <si>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</si>
  <si>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</si>
  <si>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</si>
  <si>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</si>
  <si>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</si>
  <si>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</si>
  <si>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</si>
  <si>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</si>
  <si>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</si>
  <si>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</si>
  <si>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</si>
  <si>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</si>
  <si>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</si>
  <si>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</si>
  <si>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</si>
  <si>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</si>
  <si>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</si>
  <si>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</si>
  <si>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</si>
  <si>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</si>
  <si>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</si>
  <si>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</si>
  <si>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</si>
  <si>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</si>
  <si>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</si>
  <si>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</si>
  <si>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</si>
  <si>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</si>
  <si>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</si>
  <si>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</si>
  <si>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</si>
  <si>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</si>
  <si>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</si>
  <si>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</si>
  <si>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</si>
  <si>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</si>
  <si>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</si>
  <si>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</si>
  <si>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</si>
  <si>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</si>
  <si>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</si>
  <si>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</si>
  <si>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</si>
  <si>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</si>
  <si>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</si>
  <si>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</si>
  <si>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</si>
  <si>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</si>
  <si>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</si>
  <si>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</si>
  <si>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</si>
  <si>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</si>
  <si>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</si>
  <si>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</si>
  <si>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</si>
  <si>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</si>
  <si>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</si>
  <si>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</si>
  <si>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</si>
  <si>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</si>
  <si>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</si>
  <si>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</si>
  <si>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</si>
  <si>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</si>
  <si>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</si>
  <si>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</si>
  <si>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</si>
  <si>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</si>
  <si>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</si>
  <si>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</si>
  <si>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</si>
  <si>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</si>
  <si>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</si>
  <si>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</si>
  <si>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</si>
  <si>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</si>
  <si>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</si>
  <si>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</si>
  <si>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</si>
  <si>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</si>
  <si>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</si>
  <si>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</si>
  <si>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</si>
  <si>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</si>
  <si>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</si>
  <si>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</si>
  <si>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</si>
  <si>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</si>
  <si>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</si>
  <si>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</si>
  <si>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</si>
  <si>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</si>
  <si>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</si>
  <si>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</si>
  <si>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</si>
  <si>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</si>
  <si>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</si>
  <si>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</si>
  <si>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</si>
  <si>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</si>
  <si>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</si>
  <si>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</si>
  <si>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</si>
  <si>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</si>
  <si>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</si>
  <si>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</si>
  <si>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</si>
  <si>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</si>
  <si>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</si>
  <si>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</si>
  <si>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</si>
  <si>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</si>
  <si>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</si>
  <si>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</si>
  <si>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</si>
  <si>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</si>
  <si>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</si>
  <si>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</si>
  <si>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</si>
  <si>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</si>
  <si>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</si>
  <si>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</si>
  <si>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</si>
  <si>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</si>
  <si>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</si>
  <si>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</si>
  <si>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</si>
  <si>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</si>
  <si>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</si>
  <si>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</si>
  <si>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</si>
  <si>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</si>
  <si>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</si>
  <si>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</si>
  <si>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</si>
  <si>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</si>
  <si>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</si>
  <si>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</si>
  <si>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</si>
  <si>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</si>
  <si>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</si>
  <si>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</si>
  <si>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</si>
  <si>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</si>
  <si>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</si>
  <si>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</si>
  <si>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</si>
  <si>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</si>
  <si>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</si>
  <si>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</si>
  <si>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</si>
  <si>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</si>
  <si>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</si>
  <si>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Cette surface sera boisée par un mélange d'essences d'arbre fruitiers, le bouleau a été sélectionné comme équivalent le plus proche pour représenter ces essences.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</si>
</sst>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29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0" fillId="0" borderId="7" xfId="0" applyFont="1" applyBorder="1" applyProtection="1">
      <protection hidden="1"/>
    </xf>
    <xf numFmtId="0" fontId="30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0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601.8943306586167</c:v>
                </c:pt>
                <c:pt idx="92">
                  <c:v>613.72799533010163</c:v>
                </c:pt>
                <c:pt idx="93">
                  <c:v>625.55692889431919</c:v>
                </c:pt>
                <c:pt idx="94">
                  <c:v>637.3812333927383</c:v>
                </c:pt>
                <c:pt idx="95">
                  <c:v>649.20100677344158</c:v>
                </c:pt>
                <c:pt idx="96">
                  <c:v>606.4756720002963</c:v>
                </c:pt>
                <c:pt idx="97">
                  <c:v>617.16268463508527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608.76607282046416</c:v>
                </c:pt>
                <c:pt idx="112">
                  <c:v>617.92589503011754</c:v>
                </c:pt>
                <c:pt idx="113">
                  <c:v>627.08290360699937</c:v>
                </c:pt>
                <c:pt idx="114">
                  <c:v>636.237145425721</c:v>
                </c:pt>
                <c:pt idx="115">
                  <c:v>645.38866590218879</c:v>
                </c:pt>
                <c:pt idx="116">
                  <c:v>599.60338857466706</c:v>
                </c:pt>
                <c:pt idx="117">
                  <c:v>599.60338857466706</c:v>
                </c:pt>
                <c:pt idx="118">
                  <c:v>599.60338857466706</c:v>
                </c:pt>
                <c:pt idx="119">
                  <c:v>599.60338857466706</c:v>
                </c:pt>
                <c:pt idx="120">
                  <c:v>599.60338857466706</c:v>
                </c:pt>
                <c:pt idx="121">
                  <c:v>599.60338857466706</c:v>
                </c:pt>
                <c:pt idx="122">
                  <c:v>599.60338857466706</c:v>
                </c:pt>
                <c:pt idx="123">
                  <c:v>599.60338857466706</c:v>
                </c:pt>
                <c:pt idx="124">
                  <c:v>599.60338857466706</c:v>
                </c:pt>
                <c:pt idx="125">
                  <c:v>599.60338857466706</c:v>
                </c:pt>
                <c:pt idx="126">
                  <c:v>599.60338857466706</c:v>
                </c:pt>
                <c:pt idx="127">
                  <c:v>599.60338857466706</c:v>
                </c:pt>
                <c:pt idx="128">
                  <c:v>599.60338857466706</c:v>
                </c:pt>
                <c:pt idx="129">
                  <c:v>599.60338857466706</c:v>
                </c:pt>
                <c:pt idx="130">
                  <c:v>599.60338857466706</c:v>
                </c:pt>
                <c:pt idx="131">
                  <c:v>599.60338857466706</c:v>
                </c:pt>
                <c:pt idx="132">
                  <c:v>599.60338857466706</c:v>
                </c:pt>
                <c:pt idx="133">
                  <c:v>599.60338857466706</c:v>
                </c:pt>
                <c:pt idx="134">
                  <c:v>599.60338857466706</c:v>
                </c:pt>
                <c:pt idx="135">
                  <c:v>599.60338857466706</c:v>
                </c:pt>
                <c:pt idx="136">
                  <c:v>599.60338857466706</c:v>
                </c:pt>
                <c:pt idx="137">
                  <c:v>599.60338857466706</c:v>
                </c:pt>
                <c:pt idx="138">
                  <c:v>599.60338857466706</c:v>
                </c:pt>
                <c:pt idx="139">
                  <c:v>599.60338857466706</c:v>
                </c:pt>
                <c:pt idx="140">
                  <c:v>599.60338857466706</c:v>
                </c:pt>
                <c:pt idx="141">
                  <c:v>599.60338857466706</c:v>
                </c:pt>
                <c:pt idx="142">
                  <c:v>599.60338857466706</c:v>
                </c:pt>
                <c:pt idx="143">
                  <c:v>599.60338857466706</c:v>
                </c:pt>
                <c:pt idx="144">
                  <c:v>599.60338857466706</c:v>
                </c:pt>
                <c:pt idx="145">
                  <c:v>599.60338857466706</c:v>
                </c:pt>
                <c:pt idx="146">
                  <c:v>599.60338857466706</c:v>
                </c:pt>
                <c:pt idx="147">
                  <c:v>599.60338857466706</c:v>
                </c:pt>
                <c:pt idx="148">
                  <c:v>599.60338857466706</c:v>
                </c:pt>
                <c:pt idx="149">
                  <c:v>599.60338857466706</c:v>
                </c:pt>
                <c:pt idx="150">
                  <c:v>599.60338857466706</c:v>
                </c:pt>
                <c:pt idx="151">
                  <c:v>599.60338857466706</c:v>
                </c:pt>
                <c:pt idx="152">
                  <c:v>599.60338857466706</c:v>
                </c:pt>
                <c:pt idx="153">
                  <c:v>599.60338857466706</c:v>
                </c:pt>
                <c:pt idx="154">
                  <c:v>599.60338857466706</c:v>
                </c:pt>
                <c:pt idx="155">
                  <c:v>599.60338857466706</c:v>
                </c:pt>
                <c:pt idx="156">
                  <c:v>599.60338857466706</c:v>
                </c:pt>
                <c:pt idx="157">
                  <c:v>599.60338857466706</c:v>
                </c:pt>
                <c:pt idx="158">
                  <c:v>599.60338857466706</c:v>
                </c:pt>
                <c:pt idx="159">
                  <c:v>599.60338857466706</c:v>
                </c:pt>
                <c:pt idx="160">
                  <c:v>599.60338857466706</c:v>
                </c:pt>
                <c:pt idx="161">
                  <c:v>599.60338857466706</c:v>
                </c:pt>
                <c:pt idx="162">
                  <c:v>599.60338857466706</c:v>
                </c:pt>
                <c:pt idx="163">
                  <c:v>599.60338857466706</c:v>
                </c:pt>
                <c:pt idx="164">
                  <c:v>599.60338857466706</c:v>
                </c:pt>
                <c:pt idx="165">
                  <c:v>599.60338857466706</c:v>
                </c:pt>
                <c:pt idx="166">
                  <c:v>599.60338857466706</c:v>
                </c:pt>
                <c:pt idx="167">
                  <c:v>599.60338857466706</c:v>
                </c:pt>
                <c:pt idx="168">
                  <c:v>599.60338857466706</c:v>
                </c:pt>
                <c:pt idx="169">
                  <c:v>599.60338857466706</c:v>
                </c:pt>
                <c:pt idx="170">
                  <c:v>599.60338857466706</c:v>
                </c:pt>
                <c:pt idx="171">
                  <c:v>599.60338857466706</c:v>
                </c:pt>
                <c:pt idx="172">
                  <c:v>599.60338857466706</c:v>
                </c:pt>
                <c:pt idx="173">
                  <c:v>599.60338857466706</c:v>
                </c:pt>
                <c:pt idx="174">
                  <c:v>599.60338857466706</c:v>
                </c:pt>
                <c:pt idx="175">
                  <c:v>599.60338857466706</c:v>
                </c:pt>
                <c:pt idx="176">
                  <c:v>599.60338857466706</c:v>
                </c:pt>
                <c:pt idx="177">
                  <c:v>599.60338857466706</c:v>
                </c:pt>
                <c:pt idx="178">
                  <c:v>599.60338857466706</c:v>
                </c:pt>
                <c:pt idx="179">
                  <c:v>599.60338857466706</c:v>
                </c:pt>
                <c:pt idx="180">
                  <c:v>599.60338857466706</c:v>
                </c:pt>
                <c:pt idx="181">
                  <c:v>599.60338857466706</c:v>
                </c:pt>
                <c:pt idx="182">
                  <c:v>599.60338857466706</c:v>
                </c:pt>
                <c:pt idx="183">
                  <c:v>599.60338857466706</c:v>
                </c:pt>
                <c:pt idx="184">
                  <c:v>599.60338857466706</c:v>
                </c:pt>
                <c:pt idx="185">
                  <c:v>599.60338857466706</c:v>
                </c:pt>
                <c:pt idx="186">
                  <c:v>599.60338857466706</c:v>
                </c:pt>
                <c:pt idx="187">
                  <c:v>599.60338857466706</c:v>
                </c:pt>
                <c:pt idx="188">
                  <c:v>599.60338857466706</c:v>
                </c:pt>
                <c:pt idx="189">
                  <c:v>599.60338857466706</c:v>
                </c:pt>
                <c:pt idx="190">
                  <c:v>599.60338857466706</c:v>
                </c:pt>
                <c:pt idx="191">
                  <c:v>599.60338857466706</c:v>
                </c:pt>
                <c:pt idx="192">
                  <c:v>599.60338857466706</c:v>
                </c:pt>
                <c:pt idx="193">
                  <c:v>599.60338857466706</c:v>
                </c:pt>
                <c:pt idx="194">
                  <c:v>599.60338857466706</c:v>
                </c:pt>
                <c:pt idx="195">
                  <c:v>599.60338857466706</c:v>
                </c:pt>
                <c:pt idx="196">
                  <c:v>599.60338857466706</c:v>
                </c:pt>
                <c:pt idx="197">
                  <c:v>599.60338857466706</c:v>
                </c:pt>
                <c:pt idx="198">
                  <c:v>599.60338857466706</c:v>
                </c:pt>
                <c:pt idx="199">
                  <c:v>599.60338857466706</c:v>
                </c:pt>
                <c:pt idx="200">
                  <c:v>599.60338857466706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2.761960356615663</c:v>
                </c:pt>
                <c:pt idx="2">
                  <c:v>3.6684591803038082</c:v>
                </c:pt>
                <c:pt idx="3">
                  <c:v>4.8736941899238824</c:v>
                </c:pt>
                <c:pt idx="4">
                  <c:v>6.476490537914958</c:v>
                </c:pt>
                <c:pt idx="5">
                  <c:v>8.6084821312026509</c:v>
                </c:pt>
                <c:pt idx="6">
                  <c:v>11.445039516514228</c:v>
                </c:pt>
                <c:pt idx="7">
                  <c:v>15.219848571167617</c:v>
                </c:pt>
                <c:pt idx="8">
                  <c:v>20.244363015123902</c:v>
                </c:pt>
                <c:pt idx="9">
                  <c:v>26.933764488855257</c:v>
                </c:pt>
                <c:pt idx="10">
                  <c:v>35.841612916234673</c:v>
                </c:pt>
                <c:pt idx="11">
                  <c:v>49.6944394468998</c:v>
                </c:pt>
                <c:pt idx="12">
                  <c:v>76.038777739330698</c:v>
                </c:pt>
                <c:pt idx="13">
                  <c:v>102.14680795061109</c:v>
                </c:pt>
                <c:pt idx="14">
                  <c:v>128.08842589863374</c:v>
                </c:pt>
                <c:pt idx="15">
                  <c:v>153.90233005028921</c:v>
                </c:pt>
                <c:pt idx="16">
                  <c:v>107.84522593798255</c:v>
                </c:pt>
                <c:pt idx="17">
                  <c:v>136.23399433545893</c:v>
                </c:pt>
                <c:pt idx="18">
                  <c:v>164.47977321830047</c:v>
                </c:pt>
                <c:pt idx="19">
                  <c:v>192.61066580735999</c:v>
                </c:pt>
                <c:pt idx="20">
                  <c:v>220.64584044043252</c:v>
                </c:pt>
                <c:pt idx="21">
                  <c:v>176.44817575735132</c:v>
                </c:pt>
                <c:pt idx="22">
                  <c:v>205.93836150645791</c:v>
                </c:pt>
                <c:pt idx="23">
                  <c:v>235.33081747524636</c:v>
                </c:pt>
                <c:pt idx="24">
                  <c:v>264.63947126038499</c:v>
                </c:pt>
                <c:pt idx="25">
                  <c:v>293.87490695294525</c:v>
                </c:pt>
                <c:pt idx="26">
                  <c:v>249.29705799777221</c:v>
                </c:pt>
                <c:pt idx="27">
                  <c:v>277.87355278777568</c:v>
                </c:pt>
                <c:pt idx="28">
                  <c:v>306.38408652237496</c:v>
                </c:pt>
                <c:pt idx="29">
                  <c:v>334.83565591359439</c:v>
                </c:pt>
                <c:pt idx="30">
                  <c:v>363.2339712848547</c:v>
                </c:pt>
                <c:pt idx="31">
                  <c:v>316.79971175786812</c:v>
                </c:pt>
                <c:pt idx="32">
                  <c:v>343.1526425341026</c:v>
                </c:pt>
                <c:pt idx="33">
                  <c:v>369.46110530100674</c:v>
                </c:pt>
                <c:pt idx="34">
                  <c:v>395.72870878420321</c:v>
                </c:pt>
                <c:pt idx="35">
                  <c:v>421.95854377334393</c:v>
                </c:pt>
                <c:pt idx="36">
                  <c:v>372.22798284097138</c:v>
                </c:pt>
                <c:pt idx="37">
                  <c:v>395.03795250824879</c:v>
                </c:pt>
                <c:pt idx="38">
                  <c:v>417.81938824902596</c:v>
                </c:pt>
                <c:pt idx="39">
                  <c:v>440.57406341244024</c:v>
                </c:pt>
                <c:pt idx="40">
                  <c:v>463.30355334692075</c:v>
                </c:pt>
                <c:pt idx="41">
                  <c:v>414.02438592016205</c:v>
                </c:pt>
                <c:pt idx="42">
                  <c:v>433.68143565596597</c:v>
                </c:pt>
                <c:pt idx="43">
                  <c:v>453.31936136241058</c:v>
                </c:pt>
                <c:pt idx="44">
                  <c:v>472.93910754347075</c:v>
                </c:pt>
                <c:pt idx="45">
                  <c:v>492.54153399430976</c:v>
                </c:pt>
                <c:pt idx="46">
                  <c:v>464.68032061955699</c:v>
                </c:pt>
                <c:pt idx="47">
                  <c:v>481.53874733054272</c:v>
                </c:pt>
                <c:pt idx="48">
                  <c:v>498.38463695157185</c:v>
                </c:pt>
                <c:pt idx="49">
                  <c:v>515.21847270274975</c:v>
                </c:pt>
                <c:pt idx="50">
                  <c:v>532.04070366867984</c:v>
                </c:pt>
                <c:pt idx="51">
                  <c:v>510.41000854334516</c:v>
                </c:pt>
                <c:pt idx="52">
                  <c:v>524.83256960470442</c:v>
                </c:pt>
                <c:pt idx="53">
                  <c:v>539.24678343342566</c:v>
                </c:pt>
                <c:pt idx="54">
                  <c:v>553.65290450097052</c:v>
                </c:pt>
                <c:pt idx="55">
                  <c:v>568.05117296149081</c:v>
                </c:pt>
                <c:pt idx="56">
                  <c:v>549.88064131168267</c:v>
                </c:pt>
                <c:pt idx="57">
                  <c:v>562.56702951922227</c:v>
                </c:pt>
                <c:pt idx="58">
                  <c:v>575.24743388430682</c:v>
                </c:pt>
                <c:pt idx="59">
                  <c:v>587.92200485884598</c:v>
                </c:pt>
                <c:pt idx="60">
                  <c:v>600.59088588094301</c:v>
                </c:pt>
                <c:pt idx="61">
                  <c:v>581.75671680137043</c:v>
                </c:pt>
                <c:pt idx="62">
                  <c:v>592.03144782908828</c:v>
                </c:pt>
                <c:pt idx="63">
                  <c:v>602.30246796675408</c:v>
                </c:pt>
                <c:pt idx="64">
                  <c:v>612.56984940724135</c:v>
                </c:pt>
                <c:pt idx="65">
                  <c:v>622.83366172641195</c:v>
                </c:pt>
                <c:pt idx="66">
                  <c:v>604.35623308741242</c:v>
                </c:pt>
                <c:pt idx="67">
                  <c:v>613.25421384601759</c:v>
                </c:pt>
                <c:pt idx="68">
                  <c:v>622.14951725304638</c:v>
                </c:pt>
                <c:pt idx="69">
                  <c:v>631.04218698304737</c:v>
                </c:pt>
                <c:pt idx="70">
                  <c:v>639.93226537936778</c:v>
                </c:pt>
                <c:pt idx="71">
                  <c:v>622.49159143641089</c:v>
                </c:pt>
                <c:pt idx="72">
                  <c:v>630.70020940783763</c:v>
                </c:pt>
                <c:pt idx="73">
                  <c:v>638.90661802503564</c:v>
                </c:pt>
                <c:pt idx="74">
                  <c:v>647.11084966607893</c:v>
                </c:pt>
                <c:pt idx="75">
                  <c:v>655.31293582114574</c:v>
                </c:pt>
                <c:pt idx="76">
                  <c:v>638.22283422926841</c:v>
                </c:pt>
                <c:pt idx="77">
                  <c:v>645.05999411037908</c:v>
                </c:pt>
                <c:pt idx="78">
                  <c:v>651.89565867529075</c:v>
                </c:pt>
                <c:pt idx="79">
                  <c:v>658.72984581562616</c:v>
                </c:pt>
                <c:pt idx="80">
                  <c:v>665.56257302147412</c:v>
                </c:pt>
                <c:pt idx="81">
                  <c:v>643.35084503390271</c:v>
                </c:pt>
                <c:pt idx="82">
                  <c:v>643.35084503390271</c:v>
                </c:pt>
                <c:pt idx="83">
                  <c:v>643.35084503390271</c:v>
                </c:pt>
                <c:pt idx="84">
                  <c:v>643.35084503390271</c:v>
                </c:pt>
                <c:pt idx="85">
                  <c:v>643.35084503390271</c:v>
                </c:pt>
                <c:pt idx="86">
                  <c:v>643.35084503390271</c:v>
                </c:pt>
                <c:pt idx="87">
                  <c:v>643.35084503390271</c:v>
                </c:pt>
                <c:pt idx="88">
                  <c:v>643.35084503390271</c:v>
                </c:pt>
                <c:pt idx="89">
                  <c:v>643.35084503390271</c:v>
                </c:pt>
                <c:pt idx="90">
                  <c:v>643.35084503390271</c:v>
                </c:pt>
                <c:pt idx="91">
                  <c:v>643.35084503390271</c:v>
                </c:pt>
                <c:pt idx="92">
                  <c:v>643.35084503390271</c:v>
                </c:pt>
                <c:pt idx="93">
                  <c:v>643.35084503390271</c:v>
                </c:pt>
                <c:pt idx="94">
                  <c:v>643.35084503390271</c:v>
                </c:pt>
                <c:pt idx="95">
                  <c:v>643.35084503390271</c:v>
                </c:pt>
                <c:pt idx="96">
                  <c:v>643.35084503390271</c:v>
                </c:pt>
                <c:pt idx="97">
                  <c:v>643.35084503390271</c:v>
                </c:pt>
                <c:pt idx="98">
                  <c:v>643.35084503390271</c:v>
                </c:pt>
                <c:pt idx="99">
                  <c:v>643.35084503390271</c:v>
                </c:pt>
                <c:pt idx="100">
                  <c:v>643.35084503390271</c:v>
                </c:pt>
                <c:pt idx="101">
                  <c:v>643.35084503390271</c:v>
                </c:pt>
                <c:pt idx="102">
                  <c:v>643.35084503390271</c:v>
                </c:pt>
                <c:pt idx="103">
                  <c:v>643.35084503390271</c:v>
                </c:pt>
                <c:pt idx="104">
                  <c:v>643.35084503390271</c:v>
                </c:pt>
                <c:pt idx="105">
                  <c:v>643.35084503390271</c:v>
                </c:pt>
                <c:pt idx="106">
                  <c:v>643.35084503390271</c:v>
                </c:pt>
                <c:pt idx="107">
                  <c:v>643.35084503390271</c:v>
                </c:pt>
                <c:pt idx="108">
                  <c:v>643.35084503390271</c:v>
                </c:pt>
                <c:pt idx="109">
                  <c:v>643.35084503390271</c:v>
                </c:pt>
                <c:pt idx="110">
                  <c:v>643.35084503390271</c:v>
                </c:pt>
                <c:pt idx="111">
                  <c:v>643.35084503390271</c:v>
                </c:pt>
                <c:pt idx="112">
                  <c:v>643.35084503390271</c:v>
                </c:pt>
                <c:pt idx="113">
                  <c:v>643.35084503390271</c:v>
                </c:pt>
                <c:pt idx="114">
                  <c:v>643.35084503390271</c:v>
                </c:pt>
                <c:pt idx="115">
                  <c:v>643.35084503390271</c:v>
                </c:pt>
                <c:pt idx="116">
                  <c:v>643.35084503390271</c:v>
                </c:pt>
                <c:pt idx="117">
                  <c:v>643.35084503390271</c:v>
                </c:pt>
                <c:pt idx="118">
                  <c:v>643.35084503390271</c:v>
                </c:pt>
                <c:pt idx="119">
                  <c:v>643.35084503390271</c:v>
                </c:pt>
                <c:pt idx="120">
                  <c:v>643.35084503390271</c:v>
                </c:pt>
                <c:pt idx="121">
                  <c:v>643.35084503390271</c:v>
                </c:pt>
                <c:pt idx="122">
                  <c:v>643.35084503390271</c:v>
                </c:pt>
                <c:pt idx="123">
                  <c:v>643.35084503390271</c:v>
                </c:pt>
                <c:pt idx="124">
                  <c:v>643.35084503390271</c:v>
                </c:pt>
                <c:pt idx="125">
                  <c:v>643.35084503390271</c:v>
                </c:pt>
                <c:pt idx="126">
                  <c:v>643.35084503390271</c:v>
                </c:pt>
                <c:pt idx="127">
                  <c:v>643.35084503390271</c:v>
                </c:pt>
                <c:pt idx="128">
                  <c:v>643.35084503390271</c:v>
                </c:pt>
                <c:pt idx="129">
                  <c:v>643.35084503390271</c:v>
                </c:pt>
                <c:pt idx="130">
                  <c:v>643.35084503390271</c:v>
                </c:pt>
                <c:pt idx="131">
                  <c:v>643.35084503390271</c:v>
                </c:pt>
                <c:pt idx="132">
                  <c:v>643.35084503390271</c:v>
                </c:pt>
                <c:pt idx="133">
                  <c:v>643.35084503390271</c:v>
                </c:pt>
                <c:pt idx="134">
                  <c:v>643.35084503390271</c:v>
                </c:pt>
                <c:pt idx="135">
                  <c:v>643.35084503390271</c:v>
                </c:pt>
                <c:pt idx="136">
                  <c:v>643.35084503390271</c:v>
                </c:pt>
                <c:pt idx="137">
                  <c:v>643.35084503390271</c:v>
                </c:pt>
                <c:pt idx="138">
                  <c:v>643.35084503390271</c:v>
                </c:pt>
                <c:pt idx="139">
                  <c:v>643.35084503390271</c:v>
                </c:pt>
                <c:pt idx="140">
                  <c:v>643.35084503390271</c:v>
                </c:pt>
                <c:pt idx="141">
                  <c:v>643.35084503390271</c:v>
                </c:pt>
                <c:pt idx="142">
                  <c:v>643.35084503390271</c:v>
                </c:pt>
                <c:pt idx="143">
                  <c:v>643.35084503390271</c:v>
                </c:pt>
                <c:pt idx="144">
                  <c:v>643.35084503390271</c:v>
                </c:pt>
                <c:pt idx="145">
                  <c:v>643.35084503390271</c:v>
                </c:pt>
                <c:pt idx="146">
                  <c:v>643.35084503390271</c:v>
                </c:pt>
                <c:pt idx="147">
                  <c:v>643.35084503390271</c:v>
                </c:pt>
                <c:pt idx="148">
                  <c:v>643.35084503390271</c:v>
                </c:pt>
                <c:pt idx="149">
                  <c:v>643.35084503390271</c:v>
                </c:pt>
                <c:pt idx="150">
                  <c:v>643.35084503390271</c:v>
                </c:pt>
                <c:pt idx="151">
                  <c:v>643.35084503390271</c:v>
                </c:pt>
                <c:pt idx="152">
                  <c:v>643.35084503390271</c:v>
                </c:pt>
                <c:pt idx="153">
                  <c:v>643.35084503390271</c:v>
                </c:pt>
                <c:pt idx="154">
                  <c:v>643.35084503390271</c:v>
                </c:pt>
                <c:pt idx="155">
                  <c:v>643.35084503390271</c:v>
                </c:pt>
                <c:pt idx="156">
                  <c:v>643.35084503390271</c:v>
                </c:pt>
                <c:pt idx="157">
                  <c:v>643.35084503390271</c:v>
                </c:pt>
                <c:pt idx="158">
                  <c:v>643.35084503390271</c:v>
                </c:pt>
                <c:pt idx="159">
                  <c:v>643.35084503390271</c:v>
                </c:pt>
                <c:pt idx="160">
                  <c:v>643.35084503390271</c:v>
                </c:pt>
                <c:pt idx="161">
                  <c:v>643.35084503390271</c:v>
                </c:pt>
                <c:pt idx="162">
                  <c:v>643.35084503390271</c:v>
                </c:pt>
                <c:pt idx="163">
                  <c:v>643.35084503390271</c:v>
                </c:pt>
                <c:pt idx="164">
                  <c:v>643.35084503390271</c:v>
                </c:pt>
                <c:pt idx="165">
                  <c:v>643.35084503390271</c:v>
                </c:pt>
                <c:pt idx="166">
                  <c:v>643.35084503390271</c:v>
                </c:pt>
                <c:pt idx="167">
                  <c:v>643.35084503390271</c:v>
                </c:pt>
                <c:pt idx="168">
                  <c:v>643.35084503390271</c:v>
                </c:pt>
                <c:pt idx="169">
                  <c:v>643.35084503390271</c:v>
                </c:pt>
                <c:pt idx="170">
                  <c:v>643.35084503390271</c:v>
                </c:pt>
                <c:pt idx="171">
                  <c:v>643.35084503390271</c:v>
                </c:pt>
                <c:pt idx="172">
                  <c:v>643.35084503390271</c:v>
                </c:pt>
                <c:pt idx="173">
                  <c:v>643.35084503390271</c:v>
                </c:pt>
                <c:pt idx="174">
                  <c:v>643.35084503390271</c:v>
                </c:pt>
                <c:pt idx="175">
                  <c:v>643.35084503390271</c:v>
                </c:pt>
                <c:pt idx="176">
                  <c:v>643.35084503390271</c:v>
                </c:pt>
                <c:pt idx="177">
                  <c:v>643.35084503390271</c:v>
                </c:pt>
                <c:pt idx="178">
                  <c:v>643.35084503390271</c:v>
                </c:pt>
                <c:pt idx="179">
                  <c:v>643.35084503390271</c:v>
                </c:pt>
                <c:pt idx="180">
                  <c:v>643.35084503390271</c:v>
                </c:pt>
                <c:pt idx="181">
                  <c:v>643.35084503390271</c:v>
                </c:pt>
                <c:pt idx="182">
                  <c:v>643.35084503390271</c:v>
                </c:pt>
                <c:pt idx="183">
                  <c:v>643.35084503390271</c:v>
                </c:pt>
                <c:pt idx="184">
                  <c:v>643.35084503390271</c:v>
                </c:pt>
                <c:pt idx="185">
                  <c:v>643.35084503390271</c:v>
                </c:pt>
                <c:pt idx="186">
                  <c:v>643.35084503390271</c:v>
                </c:pt>
                <c:pt idx="187">
                  <c:v>643.35084503390271</c:v>
                </c:pt>
                <c:pt idx="188">
                  <c:v>643.35084503390271</c:v>
                </c:pt>
                <c:pt idx="189">
                  <c:v>643.35084503390271</c:v>
                </c:pt>
                <c:pt idx="190">
                  <c:v>643.35084503390271</c:v>
                </c:pt>
                <c:pt idx="191">
                  <c:v>643.35084503390271</c:v>
                </c:pt>
                <c:pt idx="192">
                  <c:v>643.35084503390271</c:v>
                </c:pt>
                <c:pt idx="193">
                  <c:v>643.35084503390271</c:v>
                </c:pt>
                <c:pt idx="194">
                  <c:v>643.35084503390271</c:v>
                </c:pt>
                <c:pt idx="195">
                  <c:v>643.35084503390271</c:v>
                </c:pt>
                <c:pt idx="196">
                  <c:v>643.35084503390271</c:v>
                </c:pt>
                <c:pt idx="197">
                  <c:v>643.35084503390271</c:v>
                </c:pt>
                <c:pt idx="198">
                  <c:v>643.35084503390271</c:v>
                </c:pt>
                <c:pt idx="199">
                  <c:v>643.35084503390271</c:v>
                </c:pt>
                <c:pt idx="200">
                  <c:v>643.35084503390271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167.56178150748116</c:v>
                </c:pt>
                <c:pt idx="22">
                  <c:v>183.39157071786599</c:v>
                </c:pt>
                <c:pt idx="23">
                  <c:v>199.18941693696172</c:v>
                </c:pt>
                <c:pt idx="24">
                  <c:v>214.95821110174333</c:v>
                </c:pt>
                <c:pt idx="25">
                  <c:v>230.70038494007636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232.44796515158808</c:v>
                </c:pt>
                <c:pt idx="32">
                  <c:v>256.01191793762854</c:v>
                </c:pt>
                <c:pt idx="33">
                  <c:v>279.52680294324563</c:v>
                </c:pt>
                <c:pt idx="34">
                  <c:v>302.99732658461176</c:v>
                </c:pt>
                <c:pt idx="35">
                  <c:v>326.42740643086182</c:v>
                </c:pt>
                <c:pt idx="36">
                  <c:v>289.96337472940422</c:v>
                </c:pt>
                <c:pt idx="37">
                  <c:v>314.28330815365302</c:v>
                </c:pt>
                <c:pt idx="38">
                  <c:v>338.56152844098665</c:v>
                </c:pt>
                <c:pt idx="39">
                  <c:v>362.80144525672227</c:v>
                </c:pt>
                <c:pt idx="40">
                  <c:v>387.0059755941316</c:v>
                </c:pt>
                <c:pt idx="41">
                  <c:v>351.11892985232771</c:v>
                </c:pt>
                <c:pt idx="42">
                  <c:v>375.77238986983883</c:v>
                </c:pt>
                <c:pt idx="43">
                  <c:v>400.3906327370201</c:v>
                </c:pt>
                <c:pt idx="44">
                  <c:v>424.97612632602949</c:v>
                </c:pt>
                <c:pt idx="45">
                  <c:v>449.53102985794379</c:v>
                </c:pt>
                <c:pt idx="46">
                  <c:v>412.90299192267599</c:v>
                </c:pt>
                <c:pt idx="47">
                  <c:v>436.61108755732994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469.3262695994801</c:v>
                </c:pt>
                <c:pt idx="52">
                  <c:v>491.25241699045142</c:v>
                </c:pt>
                <c:pt idx="53">
                  <c:v>513.15781891487757</c:v>
                </c:pt>
                <c:pt idx="54">
                  <c:v>535.04348473955281</c:v>
                </c:pt>
                <c:pt idx="55">
                  <c:v>556.91033459423954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556.48174822611588</c:v>
                </c:pt>
                <c:pt idx="62">
                  <c:v>575.33309228627434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631.81162251582646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615.99151338618674</c:v>
                </c:pt>
                <c:pt idx="72">
                  <c:v>632.23907832556176</c:v>
                </c:pt>
                <c:pt idx="73">
                  <c:v>648.4780121795651</c:v>
                </c:pt>
                <c:pt idx="74">
                  <c:v>664.70856137271755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652.75001250200114</c:v>
                </c:pt>
                <c:pt idx="82">
                  <c:v>667.27052872062916</c:v>
                </c:pt>
                <c:pt idx="83">
                  <c:v>681.78454819307183</c:v>
                </c:pt>
                <c:pt idx="84">
                  <c:v>696.29222861974176</c:v>
                </c:pt>
                <c:pt idx="85">
                  <c:v>710.79372059813113</c:v>
                </c:pt>
                <c:pt idx="86">
                  <c:v>664.70856137271755</c:v>
                </c:pt>
                <c:pt idx="87">
                  <c:v>678.37006080489357</c:v>
                </c:pt>
                <c:pt idx="88">
                  <c:v>692.0259128007566</c:v>
                </c:pt>
                <c:pt idx="89">
                  <c:v>705.67624443748446</c:v>
                </c:pt>
                <c:pt idx="90">
                  <c:v>719.32117747825203</c:v>
                </c:pt>
                <c:pt idx="91">
                  <c:v>672.82076514505172</c:v>
                </c:pt>
                <c:pt idx="92">
                  <c:v>686.05216418180908</c:v>
                </c:pt>
                <c:pt idx="93">
                  <c:v>699.27833097368728</c:v>
                </c:pt>
                <c:pt idx="94">
                  <c:v>712.49937837079085</c:v>
                </c:pt>
                <c:pt idx="95">
                  <c:v>725.71541469625174</c:v>
                </c:pt>
                <c:pt idx="96">
                  <c:v>677.94322510709128</c:v>
                </c:pt>
                <c:pt idx="97">
                  <c:v>689.89255298185071</c:v>
                </c:pt>
                <c:pt idx="98">
                  <c:v>701.83763948445983</c:v>
                </c:pt>
                <c:pt idx="99">
                  <c:v>713.77856694008267</c:v>
                </c:pt>
                <c:pt idx="100">
                  <c:v>725.71541469625208</c:v>
                </c:pt>
                <c:pt idx="101">
                  <c:v>679.6505348264443</c:v>
                </c:pt>
                <c:pt idx="102">
                  <c:v>691.17258507143549</c:v>
                </c:pt>
                <c:pt idx="103">
                  <c:v>702.69069984530972</c:v>
                </c:pt>
                <c:pt idx="104">
                  <c:v>714.20495271831226</c:v>
                </c:pt>
                <c:pt idx="105">
                  <c:v>725.71541469625174</c:v>
                </c:pt>
                <c:pt idx="106">
                  <c:v>680.93095932318067</c:v>
                </c:pt>
                <c:pt idx="107">
                  <c:v>691.59925163326625</c:v>
                </c:pt>
                <c:pt idx="108">
                  <c:v>702.26417231534106</c:v>
                </c:pt>
                <c:pt idx="109">
                  <c:v>712.92577976987479</c:v>
                </c:pt>
                <c:pt idx="110">
                  <c:v>723.58413050890942</c:v>
                </c:pt>
                <c:pt idx="111">
                  <c:v>680.50415665378762</c:v>
                </c:pt>
                <c:pt idx="112">
                  <c:v>690.74591311146139</c:v>
                </c:pt>
                <c:pt idx="113">
                  <c:v>700.98455790524133</c:v>
                </c:pt>
                <c:pt idx="114">
                  <c:v>711.22014287488344</c:v>
                </c:pt>
                <c:pt idx="115">
                  <c:v>721.45271824692588</c:v>
                </c:pt>
                <c:pt idx="116">
                  <c:v>670.25923500177089</c:v>
                </c:pt>
                <c:pt idx="117">
                  <c:v>670.25923500177089</c:v>
                </c:pt>
                <c:pt idx="118">
                  <c:v>670.25923500177089</c:v>
                </c:pt>
                <c:pt idx="119">
                  <c:v>670.25923500177089</c:v>
                </c:pt>
                <c:pt idx="120">
                  <c:v>670.25923500177089</c:v>
                </c:pt>
                <c:pt idx="121">
                  <c:v>670.25923500177089</c:v>
                </c:pt>
                <c:pt idx="122">
                  <c:v>670.25923500177089</c:v>
                </c:pt>
                <c:pt idx="123">
                  <c:v>670.25923500177089</c:v>
                </c:pt>
                <c:pt idx="124">
                  <c:v>670.25923500177089</c:v>
                </c:pt>
                <c:pt idx="125">
                  <c:v>670.25923500177089</c:v>
                </c:pt>
                <c:pt idx="126">
                  <c:v>670.25923500177089</c:v>
                </c:pt>
                <c:pt idx="127">
                  <c:v>670.25923500177089</c:v>
                </c:pt>
                <c:pt idx="128">
                  <c:v>670.25923500177089</c:v>
                </c:pt>
                <c:pt idx="129">
                  <c:v>670.25923500177089</c:v>
                </c:pt>
                <c:pt idx="130">
                  <c:v>670.25923500177089</c:v>
                </c:pt>
                <c:pt idx="131">
                  <c:v>670.25923500177089</c:v>
                </c:pt>
                <c:pt idx="132">
                  <c:v>670.25923500177089</c:v>
                </c:pt>
                <c:pt idx="133">
                  <c:v>670.25923500177089</c:v>
                </c:pt>
                <c:pt idx="134">
                  <c:v>670.25923500177089</c:v>
                </c:pt>
                <c:pt idx="135">
                  <c:v>670.25923500177089</c:v>
                </c:pt>
                <c:pt idx="136">
                  <c:v>670.25923500177089</c:v>
                </c:pt>
                <c:pt idx="137">
                  <c:v>670.25923500177089</c:v>
                </c:pt>
                <c:pt idx="138">
                  <c:v>670.25923500177089</c:v>
                </c:pt>
                <c:pt idx="139">
                  <c:v>670.25923500177089</c:v>
                </c:pt>
                <c:pt idx="140">
                  <c:v>670.25923500177089</c:v>
                </c:pt>
                <c:pt idx="141">
                  <c:v>670.25923500177089</c:v>
                </c:pt>
                <c:pt idx="142">
                  <c:v>670.25923500177089</c:v>
                </c:pt>
                <c:pt idx="143">
                  <c:v>670.25923500177089</c:v>
                </c:pt>
                <c:pt idx="144">
                  <c:v>670.25923500177089</c:v>
                </c:pt>
                <c:pt idx="145">
                  <c:v>670.25923500177089</c:v>
                </c:pt>
                <c:pt idx="146">
                  <c:v>670.25923500177089</c:v>
                </c:pt>
                <c:pt idx="147">
                  <c:v>670.25923500177089</c:v>
                </c:pt>
                <c:pt idx="148">
                  <c:v>670.25923500177089</c:v>
                </c:pt>
                <c:pt idx="149">
                  <c:v>670.25923500177089</c:v>
                </c:pt>
                <c:pt idx="150">
                  <c:v>670.25923500177089</c:v>
                </c:pt>
                <c:pt idx="151">
                  <c:v>670.25923500177089</c:v>
                </c:pt>
                <c:pt idx="152">
                  <c:v>670.25923500177089</c:v>
                </c:pt>
                <c:pt idx="153">
                  <c:v>670.25923500177089</c:v>
                </c:pt>
                <c:pt idx="154">
                  <c:v>670.25923500177089</c:v>
                </c:pt>
                <c:pt idx="155">
                  <c:v>670.25923500177089</c:v>
                </c:pt>
                <c:pt idx="156">
                  <c:v>670.25923500177089</c:v>
                </c:pt>
                <c:pt idx="157">
                  <c:v>670.25923500177089</c:v>
                </c:pt>
                <c:pt idx="158">
                  <c:v>670.25923500177089</c:v>
                </c:pt>
                <c:pt idx="159">
                  <c:v>670.25923500177089</c:v>
                </c:pt>
                <c:pt idx="160">
                  <c:v>670.25923500177089</c:v>
                </c:pt>
                <c:pt idx="161">
                  <c:v>670.25923500177089</c:v>
                </c:pt>
                <c:pt idx="162">
                  <c:v>670.25923500177089</c:v>
                </c:pt>
                <c:pt idx="163">
                  <c:v>670.25923500177089</c:v>
                </c:pt>
                <c:pt idx="164">
                  <c:v>670.25923500177089</c:v>
                </c:pt>
                <c:pt idx="165">
                  <c:v>670.25923500177089</c:v>
                </c:pt>
                <c:pt idx="166">
                  <c:v>670.25923500177089</c:v>
                </c:pt>
                <c:pt idx="167">
                  <c:v>670.25923500177089</c:v>
                </c:pt>
                <c:pt idx="168">
                  <c:v>670.25923500177089</c:v>
                </c:pt>
                <c:pt idx="169">
                  <c:v>670.25923500177089</c:v>
                </c:pt>
                <c:pt idx="170">
                  <c:v>670.25923500177089</c:v>
                </c:pt>
                <c:pt idx="171">
                  <c:v>670.25923500177089</c:v>
                </c:pt>
                <c:pt idx="172">
                  <c:v>670.25923500177089</c:v>
                </c:pt>
                <c:pt idx="173">
                  <c:v>670.25923500177089</c:v>
                </c:pt>
                <c:pt idx="174">
                  <c:v>670.25923500177089</c:v>
                </c:pt>
                <c:pt idx="175">
                  <c:v>670.25923500177089</c:v>
                </c:pt>
                <c:pt idx="176">
                  <c:v>670.25923500177089</c:v>
                </c:pt>
                <c:pt idx="177">
                  <c:v>670.25923500177089</c:v>
                </c:pt>
                <c:pt idx="178">
                  <c:v>670.25923500177089</c:v>
                </c:pt>
                <c:pt idx="179">
                  <c:v>670.25923500177089</c:v>
                </c:pt>
                <c:pt idx="180">
                  <c:v>670.25923500177089</c:v>
                </c:pt>
                <c:pt idx="181">
                  <c:v>670.25923500177089</c:v>
                </c:pt>
                <c:pt idx="182">
                  <c:v>670.25923500177089</c:v>
                </c:pt>
                <c:pt idx="183">
                  <c:v>670.25923500177089</c:v>
                </c:pt>
                <c:pt idx="184">
                  <c:v>670.25923500177089</c:v>
                </c:pt>
                <c:pt idx="185">
                  <c:v>670.25923500177089</c:v>
                </c:pt>
                <c:pt idx="186">
                  <c:v>670.25923500177089</c:v>
                </c:pt>
                <c:pt idx="187">
                  <c:v>670.25923500177089</c:v>
                </c:pt>
                <c:pt idx="188">
                  <c:v>670.25923500177089</c:v>
                </c:pt>
                <c:pt idx="189">
                  <c:v>670.25923500177089</c:v>
                </c:pt>
                <c:pt idx="190">
                  <c:v>670.25923500177089</c:v>
                </c:pt>
                <c:pt idx="191">
                  <c:v>670.25923500177089</c:v>
                </c:pt>
                <c:pt idx="192">
                  <c:v>670.25923500177089</c:v>
                </c:pt>
                <c:pt idx="193">
                  <c:v>670.25923500177089</c:v>
                </c:pt>
                <c:pt idx="194">
                  <c:v>670.25923500177089</c:v>
                </c:pt>
                <c:pt idx="195">
                  <c:v>670.25923500177089</c:v>
                </c:pt>
                <c:pt idx="196">
                  <c:v>670.25923500177089</c:v>
                </c:pt>
                <c:pt idx="197">
                  <c:v>670.25923500177089</c:v>
                </c:pt>
                <c:pt idx="198">
                  <c:v>670.25923500177089</c:v>
                </c:pt>
                <c:pt idx="199">
                  <c:v>670.25923500177089</c:v>
                </c:pt>
                <c:pt idx="200">
                  <c:v>670.25923500177089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4.7281227377105433</c:v>
                </c:pt>
                <c:pt idx="2">
                  <c:v>9.6902676502173968</c:v>
                </c:pt>
                <c:pt idx="3">
                  <c:v>19.890217426399502</c:v>
                </c:pt>
                <c:pt idx="4">
                  <c:v>40.886013356832393</c:v>
                </c:pt>
                <c:pt idx="5">
                  <c:v>84.161881941878903</c:v>
                </c:pt>
                <c:pt idx="6">
                  <c:v>103.28436593678082</c:v>
                </c:pt>
                <c:pt idx="7">
                  <c:v>138.12565423826746</c:v>
                </c:pt>
                <c:pt idx="8">
                  <c:v>172.75415403607255</c:v>
                </c:pt>
                <c:pt idx="9">
                  <c:v>207.21879690654114</c:v>
                </c:pt>
                <c:pt idx="10">
                  <c:v>241.5507456503326</c:v>
                </c:pt>
                <c:pt idx="11">
                  <c:v>202.52745814509981</c:v>
                </c:pt>
                <c:pt idx="12">
                  <c:v>235.70707416481403</c:v>
                </c:pt>
                <c:pt idx="13">
                  <c:v>268.78003756948306</c:v>
                </c:pt>
                <c:pt idx="14">
                  <c:v>301.76131730306923</c:v>
                </c:pt>
                <c:pt idx="15">
                  <c:v>334.66233736464409</c:v>
                </c:pt>
                <c:pt idx="16">
                  <c:v>308.34762462686348</c:v>
                </c:pt>
                <c:pt idx="17">
                  <c:v>338.14166327303155</c:v>
                </c:pt>
                <c:pt idx="18">
                  <c:v>367.87792895100188</c:v>
                </c:pt>
                <c:pt idx="19">
                  <c:v>397.56174311317318</c:v>
                </c:pt>
                <c:pt idx="20">
                  <c:v>427.19756804132595</c:v>
                </c:pt>
                <c:pt idx="21">
                  <c:v>407.95878231757439</c:v>
                </c:pt>
                <c:pt idx="22">
                  <c:v>432.96552861089231</c:v>
                </c:pt>
                <c:pt idx="23">
                  <c:v>457.94126927057505</c:v>
                </c:pt>
                <c:pt idx="24">
                  <c:v>482.8879313845502</c:v>
                </c:pt>
                <c:pt idx="25">
                  <c:v>507.80722686130622</c:v>
                </c:pt>
                <c:pt idx="26">
                  <c:v>493.62565905582687</c:v>
                </c:pt>
                <c:pt idx="27">
                  <c:v>513.93718925042367</c:v>
                </c:pt>
                <c:pt idx="28">
                  <c:v>534.23177896582104</c:v>
                </c:pt>
                <c:pt idx="29">
                  <c:v>554.51016178271277</c:v>
                </c:pt>
                <c:pt idx="30">
                  <c:v>574.77301329675242</c:v>
                </c:pt>
                <c:pt idx="31">
                  <c:v>564.45232939981622</c:v>
                </c:pt>
                <c:pt idx="32">
                  <c:v>580.88714383067816</c:v>
                </c:pt>
                <c:pt idx="33">
                  <c:v>597.31226449625308</c:v>
                </c:pt>
                <c:pt idx="34">
                  <c:v>613.72799533010232</c:v>
                </c:pt>
                <c:pt idx="35">
                  <c:v>630.13462269202159</c:v>
                </c:pt>
                <c:pt idx="36">
                  <c:v>623.64935210528506</c:v>
                </c:pt>
                <c:pt idx="37">
                  <c:v>638.1439351253598</c:v>
                </c:pt>
                <c:pt idx="38">
                  <c:v>652.63171873234603</c:v>
                </c:pt>
                <c:pt idx="39">
                  <c:v>667.11287504220138</c:v>
                </c:pt>
                <c:pt idx="40">
                  <c:v>681.58756809397687</c:v>
                </c:pt>
                <c:pt idx="41">
                  <c:v>678.54079353970121</c:v>
                </c:pt>
                <c:pt idx="42">
                  <c:v>692.6297932397805</c:v>
                </c:pt>
                <c:pt idx="43">
                  <c:v>706.71292251165823</c:v>
                </c:pt>
                <c:pt idx="44">
                  <c:v>720.7903147447181</c:v>
                </c:pt>
                <c:pt idx="45">
                  <c:v>734.86209769680136</c:v>
                </c:pt>
                <c:pt idx="46">
                  <c:v>717.74703386064755</c:v>
                </c:pt>
                <c:pt idx="47">
                  <c:v>717.74703386064755</c:v>
                </c:pt>
                <c:pt idx="48">
                  <c:v>717.74703386064755</c:v>
                </c:pt>
                <c:pt idx="49">
                  <c:v>717.74703386064755</c:v>
                </c:pt>
                <c:pt idx="50">
                  <c:v>717.74703386064755</c:v>
                </c:pt>
                <c:pt idx="51">
                  <c:v>717.74703386064755</c:v>
                </c:pt>
                <c:pt idx="52">
                  <c:v>717.74703386064755</c:v>
                </c:pt>
                <c:pt idx="53">
                  <c:v>717.74703386064755</c:v>
                </c:pt>
                <c:pt idx="54">
                  <c:v>717.74703386064755</c:v>
                </c:pt>
                <c:pt idx="55">
                  <c:v>717.74703386064755</c:v>
                </c:pt>
                <c:pt idx="56">
                  <c:v>717.74703386064755</c:v>
                </c:pt>
                <c:pt idx="57">
                  <c:v>717.74703386064755</c:v>
                </c:pt>
                <c:pt idx="58">
                  <c:v>717.74703386064755</c:v>
                </c:pt>
                <c:pt idx="59">
                  <c:v>717.74703386064755</c:v>
                </c:pt>
                <c:pt idx="60">
                  <c:v>717.74703386064755</c:v>
                </c:pt>
                <c:pt idx="61">
                  <c:v>717.74703386064755</c:v>
                </c:pt>
                <c:pt idx="62">
                  <c:v>717.74703386064755</c:v>
                </c:pt>
                <c:pt idx="63">
                  <c:v>717.74703386064755</c:v>
                </c:pt>
                <c:pt idx="64">
                  <c:v>717.74703386064755</c:v>
                </c:pt>
                <c:pt idx="65">
                  <c:v>717.74703386064755</c:v>
                </c:pt>
                <c:pt idx="66">
                  <c:v>717.74703386064755</c:v>
                </c:pt>
                <c:pt idx="67">
                  <c:v>717.74703386064755</c:v>
                </c:pt>
                <c:pt idx="68">
                  <c:v>717.74703386064755</c:v>
                </c:pt>
                <c:pt idx="69">
                  <c:v>717.74703386064755</c:v>
                </c:pt>
                <c:pt idx="70">
                  <c:v>717.74703386064755</c:v>
                </c:pt>
                <c:pt idx="71">
                  <c:v>717.74703386064755</c:v>
                </c:pt>
                <c:pt idx="72">
                  <c:v>717.74703386064755</c:v>
                </c:pt>
                <c:pt idx="73">
                  <c:v>717.74703386064755</c:v>
                </c:pt>
                <c:pt idx="74">
                  <c:v>717.74703386064755</c:v>
                </c:pt>
                <c:pt idx="75">
                  <c:v>717.74703386064755</c:v>
                </c:pt>
                <c:pt idx="76">
                  <c:v>717.74703386064755</c:v>
                </c:pt>
                <c:pt idx="77">
                  <c:v>717.74703386064755</c:v>
                </c:pt>
                <c:pt idx="78">
                  <c:v>717.74703386064755</c:v>
                </c:pt>
                <c:pt idx="79">
                  <c:v>717.74703386064755</c:v>
                </c:pt>
                <c:pt idx="80">
                  <c:v>717.74703386064755</c:v>
                </c:pt>
                <c:pt idx="81">
                  <c:v>717.74703386064755</c:v>
                </c:pt>
                <c:pt idx="82">
                  <c:v>717.74703386064755</c:v>
                </c:pt>
                <c:pt idx="83">
                  <c:v>717.74703386064755</c:v>
                </c:pt>
                <c:pt idx="84">
                  <c:v>717.74703386064755</c:v>
                </c:pt>
                <c:pt idx="85">
                  <c:v>717.74703386064755</c:v>
                </c:pt>
                <c:pt idx="86">
                  <c:v>717.74703386064755</c:v>
                </c:pt>
                <c:pt idx="87">
                  <c:v>717.74703386064755</c:v>
                </c:pt>
                <c:pt idx="88">
                  <c:v>717.74703386064755</c:v>
                </c:pt>
                <c:pt idx="89">
                  <c:v>717.74703386064755</c:v>
                </c:pt>
                <c:pt idx="90">
                  <c:v>717.74703386064755</c:v>
                </c:pt>
                <c:pt idx="91">
                  <c:v>717.74703386064755</c:v>
                </c:pt>
                <c:pt idx="92">
                  <c:v>717.74703386064755</c:v>
                </c:pt>
                <c:pt idx="93">
                  <c:v>717.74703386064755</c:v>
                </c:pt>
                <c:pt idx="94">
                  <c:v>717.74703386064755</c:v>
                </c:pt>
                <c:pt idx="95">
                  <c:v>717.74703386064755</c:v>
                </c:pt>
                <c:pt idx="96">
                  <c:v>717.74703386064755</c:v>
                </c:pt>
                <c:pt idx="97">
                  <c:v>717.74703386064755</c:v>
                </c:pt>
                <c:pt idx="98">
                  <c:v>717.74703386064755</c:v>
                </c:pt>
                <c:pt idx="99">
                  <c:v>717.74703386064755</c:v>
                </c:pt>
                <c:pt idx="100">
                  <c:v>717.74703386064755</c:v>
                </c:pt>
                <c:pt idx="101">
                  <c:v>717.74703386064755</c:v>
                </c:pt>
                <c:pt idx="102">
                  <c:v>717.74703386064755</c:v>
                </c:pt>
                <c:pt idx="103">
                  <c:v>717.74703386064755</c:v>
                </c:pt>
                <c:pt idx="104">
                  <c:v>717.74703386064755</c:v>
                </c:pt>
                <c:pt idx="105">
                  <c:v>717.74703386064755</c:v>
                </c:pt>
                <c:pt idx="106">
                  <c:v>717.74703386064755</c:v>
                </c:pt>
                <c:pt idx="107">
                  <c:v>717.74703386064755</c:v>
                </c:pt>
                <c:pt idx="108">
                  <c:v>717.74703386064755</c:v>
                </c:pt>
                <c:pt idx="109">
                  <c:v>717.74703386064755</c:v>
                </c:pt>
                <c:pt idx="110">
                  <c:v>717.74703386064755</c:v>
                </c:pt>
                <c:pt idx="111">
                  <c:v>717.74703386064755</c:v>
                </c:pt>
                <c:pt idx="112">
                  <c:v>717.74703386064755</c:v>
                </c:pt>
                <c:pt idx="113">
                  <c:v>717.74703386064755</c:v>
                </c:pt>
                <c:pt idx="114">
                  <c:v>717.74703386064755</c:v>
                </c:pt>
                <c:pt idx="115">
                  <c:v>717.74703386064755</c:v>
                </c:pt>
                <c:pt idx="116">
                  <c:v>717.74703386064755</c:v>
                </c:pt>
                <c:pt idx="117">
                  <c:v>717.74703386064755</c:v>
                </c:pt>
                <c:pt idx="118">
                  <c:v>717.74703386064755</c:v>
                </c:pt>
                <c:pt idx="119">
                  <c:v>717.74703386064755</c:v>
                </c:pt>
                <c:pt idx="120">
                  <c:v>717.74703386064755</c:v>
                </c:pt>
                <c:pt idx="121">
                  <c:v>717.74703386064755</c:v>
                </c:pt>
                <c:pt idx="122">
                  <c:v>717.74703386064755</c:v>
                </c:pt>
                <c:pt idx="123">
                  <c:v>717.74703386064755</c:v>
                </c:pt>
                <c:pt idx="124">
                  <c:v>717.74703386064755</c:v>
                </c:pt>
                <c:pt idx="125">
                  <c:v>717.74703386064755</c:v>
                </c:pt>
                <c:pt idx="126">
                  <c:v>717.74703386064755</c:v>
                </c:pt>
                <c:pt idx="127">
                  <c:v>717.74703386064755</c:v>
                </c:pt>
                <c:pt idx="128">
                  <c:v>717.74703386064755</c:v>
                </c:pt>
                <c:pt idx="129">
                  <c:v>717.74703386064755</c:v>
                </c:pt>
                <c:pt idx="130">
                  <c:v>717.74703386064755</c:v>
                </c:pt>
                <c:pt idx="131">
                  <c:v>717.74703386064755</c:v>
                </c:pt>
                <c:pt idx="132">
                  <c:v>717.74703386064755</c:v>
                </c:pt>
                <c:pt idx="133">
                  <c:v>717.74703386064755</c:v>
                </c:pt>
                <c:pt idx="134">
                  <c:v>717.74703386064755</c:v>
                </c:pt>
                <c:pt idx="135">
                  <c:v>717.74703386064755</c:v>
                </c:pt>
                <c:pt idx="136">
                  <c:v>717.74703386064755</c:v>
                </c:pt>
                <c:pt idx="137">
                  <c:v>717.74703386064755</c:v>
                </c:pt>
                <c:pt idx="138">
                  <c:v>717.74703386064755</c:v>
                </c:pt>
                <c:pt idx="139">
                  <c:v>717.74703386064755</c:v>
                </c:pt>
                <c:pt idx="140">
                  <c:v>717.74703386064755</c:v>
                </c:pt>
                <c:pt idx="141">
                  <c:v>717.74703386064755</c:v>
                </c:pt>
                <c:pt idx="142">
                  <c:v>717.74703386064755</c:v>
                </c:pt>
                <c:pt idx="143">
                  <c:v>717.74703386064755</c:v>
                </c:pt>
                <c:pt idx="144">
                  <c:v>717.74703386064755</c:v>
                </c:pt>
                <c:pt idx="145">
                  <c:v>717.74703386064755</c:v>
                </c:pt>
                <c:pt idx="146">
                  <c:v>717.74703386064755</c:v>
                </c:pt>
                <c:pt idx="147">
                  <c:v>717.74703386064755</c:v>
                </c:pt>
                <c:pt idx="148">
                  <c:v>717.74703386064755</c:v>
                </c:pt>
                <c:pt idx="149">
                  <c:v>717.74703386064755</c:v>
                </c:pt>
                <c:pt idx="150">
                  <c:v>717.74703386064755</c:v>
                </c:pt>
                <c:pt idx="151">
                  <c:v>717.74703386064755</c:v>
                </c:pt>
                <c:pt idx="152">
                  <c:v>717.74703386064755</c:v>
                </c:pt>
                <c:pt idx="153">
                  <c:v>717.74703386064755</c:v>
                </c:pt>
                <c:pt idx="154">
                  <c:v>717.74703386064755</c:v>
                </c:pt>
                <c:pt idx="155">
                  <c:v>717.74703386064755</c:v>
                </c:pt>
                <c:pt idx="156">
                  <c:v>717.74703386064755</c:v>
                </c:pt>
                <c:pt idx="157">
                  <c:v>717.74703386064755</c:v>
                </c:pt>
                <c:pt idx="158">
                  <c:v>717.74703386064755</c:v>
                </c:pt>
                <c:pt idx="159">
                  <c:v>717.74703386064755</c:v>
                </c:pt>
                <c:pt idx="160">
                  <c:v>717.74703386064755</c:v>
                </c:pt>
                <c:pt idx="161">
                  <c:v>717.74703386064755</c:v>
                </c:pt>
                <c:pt idx="162">
                  <c:v>717.74703386064755</c:v>
                </c:pt>
                <c:pt idx="163">
                  <c:v>717.74703386064755</c:v>
                </c:pt>
                <c:pt idx="164">
                  <c:v>717.74703386064755</c:v>
                </c:pt>
                <c:pt idx="165">
                  <c:v>717.74703386064755</c:v>
                </c:pt>
                <c:pt idx="166">
                  <c:v>717.74703386064755</c:v>
                </c:pt>
                <c:pt idx="167">
                  <c:v>717.74703386064755</c:v>
                </c:pt>
                <c:pt idx="168">
                  <c:v>717.74703386064755</c:v>
                </c:pt>
                <c:pt idx="169">
                  <c:v>717.74703386064755</c:v>
                </c:pt>
                <c:pt idx="170">
                  <c:v>717.74703386064755</c:v>
                </c:pt>
                <c:pt idx="171">
                  <c:v>717.74703386064755</c:v>
                </c:pt>
                <c:pt idx="172">
                  <c:v>717.74703386064755</c:v>
                </c:pt>
                <c:pt idx="173">
                  <c:v>717.74703386064755</c:v>
                </c:pt>
                <c:pt idx="174">
                  <c:v>717.74703386064755</c:v>
                </c:pt>
                <c:pt idx="175">
                  <c:v>717.74703386064755</c:v>
                </c:pt>
                <c:pt idx="176">
                  <c:v>717.74703386064755</c:v>
                </c:pt>
                <c:pt idx="177">
                  <c:v>717.74703386064755</c:v>
                </c:pt>
                <c:pt idx="178">
                  <c:v>717.74703386064755</c:v>
                </c:pt>
                <c:pt idx="179">
                  <c:v>717.74703386064755</c:v>
                </c:pt>
                <c:pt idx="180">
                  <c:v>717.74703386064755</c:v>
                </c:pt>
                <c:pt idx="181">
                  <c:v>717.74703386064755</c:v>
                </c:pt>
                <c:pt idx="182">
                  <c:v>717.74703386064755</c:v>
                </c:pt>
                <c:pt idx="183">
                  <c:v>717.74703386064755</c:v>
                </c:pt>
                <c:pt idx="184">
                  <c:v>717.74703386064755</c:v>
                </c:pt>
                <c:pt idx="185">
                  <c:v>717.74703386064755</c:v>
                </c:pt>
                <c:pt idx="186">
                  <c:v>717.74703386064755</c:v>
                </c:pt>
                <c:pt idx="187">
                  <c:v>717.74703386064755</c:v>
                </c:pt>
                <c:pt idx="188">
                  <c:v>717.74703386064755</c:v>
                </c:pt>
                <c:pt idx="189">
                  <c:v>717.74703386064755</c:v>
                </c:pt>
                <c:pt idx="190">
                  <c:v>717.74703386064755</c:v>
                </c:pt>
                <c:pt idx="191">
                  <c:v>717.74703386064755</c:v>
                </c:pt>
                <c:pt idx="192">
                  <c:v>717.74703386064755</c:v>
                </c:pt>
                <c:pt idx="193">
                  <c:v>717.74703386064755</c:v>
                </c:pt>
                <c:pt idx="194">
                  <c:v>717.74703386064755</c:v>
                </c:pt>
                <c:pt idx="195">
                  <c:v>717.74703386064755</c:v>
                </c:pt>
                <c:pt idx="196">
                  <c:v>717.74703386064755</c:v>
                </c:pt>
                <c:pt idx="197">
                  <c:v>717.74703386064755</c:v>
                </c:pt>
                <c:pt idx="198">
                  <c:v>717.74703386064755</c:v>
                </c:pt>
                <c:pt idx="199">
                  <c:v>717.74703386064755</c:v>
                </c:pt>
                <c:pt idx="200">
                  <c:v>717.74703386064755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3.015643224062297</c:v>
                </c:pt>
                <c:pt idx="2">
                  <c:v>4.0722529948595438</c:v>
                </c:pt>
                <c:pt idx="3">
                  <c:v>5.5006018745362235</c:v>
                </c:pt>
                <c:pt idx="4">
                  <c:v>7.4319811827349751</c:v>
                </c:pt>
                <c:pt idx="5">
                  <c:v>10.044218170589504</c:v>
                </c:pt>
                <c:pt idx="6">
                  <c:v>13.578225113429147</c:v>
                </c:pt>
                <c:pt idx="7">
                  <c:v>18.360451404377937</c:v>
                </c:pt>
                <c:pt idx="8">
                  <c:v>24.83335003064289</c:v>
                </c:pt>
                <c:pt idx="9">
                  <c:v>33.596726896246878</c:v>
                </c:pt>
                <c:pt idx="10">
                  <c:v>45.463870615269634</c:v>
                </c:pt>
                <c:pt idx="11">
                  <c:v>61.537759614262761</c:v>
                </c:pt>
                <c:pt idx="12">
                  <c:v>83.314545972184078</c:v>
                </c:pt>
                <c:pt idx="13">
                  <c:v>112.82410282766058</c:v>
                </c:pt>
                <c:pt idx="14">
                  <c:v>152.8209413414541</c:v>
                </c:pt>
                <c:pt idx="15">
                  <c:v>207.04359025710687</c:v>
                </c:pt>
                <c:pt idx="16">
                  <c:v>173.3902523967221</c:v>
                </c:pt>
                <c:pt idx="17">
                  <c:v>204.02410382923904</c:v>
                </c:pt>
                <c:pt idx="18">
                  <c:v>234.55138491384039</c:v>
                </c:pt>
                <c:pt idx="19">
                  <c:v>264.98792439409294</c:v>
                </c:pt>
                <c:pt idx="20">
                  <c:v>295.34560890488154</c:v>
                </c:pt>
                <c:pt idx="21">
                  <c:v>231.16419524801108</c:v>
                </c:pt>
                <c:pt idx="22">
                  <c:v>260.85942671475175</c:v>
                </c:pt>
                <c:pt idx="23">
                  <c:v>290.47829302179076</c:v>
                </c:pt>
                <c:pt idx="24">
                  <c:v>320.0296714282502</c:v>
                </c:pt>
                <c:pt idx="25">
                  <c:v>349.52066488969609</c:v>
                </c:pt>
                <c:pt idx="26">
                  <c:v>279.98860279382774</c:v>
                </c:pt>
                <c:pt idx="27">
                  <c:v>307.69314288991126</c:v>
                </c:pt>
                <c:pt idx="28">
                  <c:v>335.34226803283252</c:v>
                </c:pt>
                <c:pt idx="29">
                  <c:v>362.94118566705487</c:v>
                </c:pt>
                <c:pt idx="30">
                  <c:v>390.4942467667251</c:v>
                </c:pt>
                <c:pt idx="31">
                  <c:v>320.77699701276782</c:v>
                </c:pt>
                <c:pt idx="32">
                  <c:v>346.16378539221347</c:v>
                </c:pt>
                <c:pt idx="33">
                  <c:v>371.50970211515977</c:v>
                </c:pt>
                <c:pt idx="34">
                  <c:v>396.81792522211208</c:v>
                </c:pt>
                <c:pt idx="35">
                  <c:v>422.09119450330428</c:v>
                </c:pt>
                <c:pt idx="36">
                  <c:v>353.99540526070876</c:v>
                </c:pt>
                <c:pt idx="37">
                  <c:v>377.09553671098365</c:v>
                </c:pt>
                <c:pt idx="38">
                  <c:v>400.16486874659694</c:v>
                </c:pt>
                <c:pt idx="39">
                  <c:v>423.20542522400024</c:v>
                </c:pt>
                <c:pt idx="40">
                  <c:v>446.21899178570402</c:v>
                </c:pt>
                <c:pt idx="41">
                  <c:v>383.05177541071242</c:v>
                </c:pt>
                <c:pt idx="42">
                  <c:v>403.51120632532326</c:v>
                </c:pt>
                <c:pt idx="43">
                  <c:v>423.9482106076091</c:v>
                </c:pt>
                <c:pt idx="44">
                  <c:v>444.36402075569362</c:v>
                </c:pt>
                <c:pt idx="45">
                  <c:v>464.75974684356021</c:v>
                </c:pt>
                <c:pt idx="46">
                  <c:v>406.48522456571527</c:v>
                </c:pt>
                <c:pt idx="47">
                  <c:v>424.31959279145235</c:v>
                </c:pt>
                <c:pt idx="48">
                  <c:v>442.1378364455868</c:v>
                </c:pt>
                <c:pt idx="49">
                  <c:v>459.94069650633202</c:v>
                </c:pt>
                <c:pt idx="50">
                  <c:v>477.72885193803239</c:v>
                </c:pt>
                <c:pt idx="51">
                  <c:v>425.06233617824211</c:v>
                </c:pt>
                <c:pt idx="52">
                  <c:v>441.02465426855338</c:v>
                </c:pt>
                <c:pt idx="53">
                  <c:v>456.97459194094745</c:v>
                </c:pt>
                <c:pt idx="54">
                  <c:v>472.91264200880101</c:v>
                </c:pt>
                <c:pt idx="55">
                  <c:v>488.83926137072331</c:v>
                </c:pt>
                <c:pt idx="56">
                  <c:v>425.8050516370493</c:v>
                </c:pt>
                <c:pt idx="57">
                  <c:v>425.8050516370493</c:v>
                </c:pt>
                <c:pt idx="58">
                  <c:v>425.8050516370493</c:v>
                </c:pt>
                <c:pt idx="59">
                  <c:v>425.8050516370493</c:v>
                </c:pt>
                <c:pt idx="60">
                  <c:v>425.8050516370493</c:v>
                </c:pt>
                <c:pt idx="61">
                  <c:v>425.8050516370493</c:v>
                </c:pt>
                <c:pt idx="62">
                  <c:v>425.8050516370493</c:v>
                </c:pt>
                <c:pt idx="63">
                  <c:v>425.8050516370493</c:v>
                </c:pt>
                <c:pt idx="64">
                  <c:v>425.8050516370493</c:v>
                </c:pt>
                <c:pt idx="65">
                  <c:v>425.8050516370493</c:v>
                </c:pt>
                <c:pt idx="66">
                  <c:v>425.8050516370493</c:v>
                </c:pt>
                <c:pt idx="67">
                  <c:v>425.8050516370493</c:v>
                </c:pt>
                <c:pt idx="68">
                  <c:v>425.8050516370493</c:v>
                </c:pt>
                <c:pt idx="69">
                  <c:v>425.8050516370493</c:v>
                </c:pt>
                <c:pt idx="70">
                  <c:v>425.8050516370493</c:v>
                </c:pt>
                <c:pt idx="71">
                  <c:v>425.8050516370493</c:v>
                </c:pt>
                <c:pt idx="72">
                  <c:v>425.8050516370493</c:v>
                </c:pt>
                <c:pt idx="73">
                  <c:v>425.8050516370493</c:v>
                </c:pt>
                <c:pt idx="74">
                  <c:v>425.8050516370493</c:v>
                </c:pt>
                <c:pt idx="75">
                  <c:v>425.8050516370493</c:v>
                </c:pt>
                <c:pt idx="76">
                  <c:v>425.8050516370493</c:v>
                </c:pt>
                <c:pt idx="77">
                  <c:v>425.8050516370493</c:v>
                </c:pt>
                <c:pt idx="78">
                  <c:v>425.8050516370493</c:v>
                </c:pt>
                <c:pt idx="79">
                  <c:v>425.8050516370493</c:v>
                </c:pt>
                <c:pt idx="80">
                  <c:v>425.8050516370493</c:v>
                </c:pt>
                <c:pt idx="81">
                  <c:v>425.8050516370493</c:v>
                </c:pt>
                <c:pt idx="82">
                  <c:v>425.8050516370493</c:v>
                </c:pt>
                <c:pt idx="83">
                  <c:v>425.8050516370493</c:v>
                </c:pt>
                <c:pt idx="84">
                  <c:v>425.8050516370493</c:v>
                </c:pt>
                <c:pt idx="85">
                  <c:v>425.8050516370493</c:v>
                </c:pt>
                <c:pt idx="86">
                  <c:v>425.8050516370493</c:v>
                </c:pt>
                <c:pt idx="87">
                  <c:v>425.8050516370493</c:v>
                </c:pt>
                <c:pt idx="88">
                  <c:v>425.8050516370493</c:v>
                </c:pt>
                <c:pt idx="89">
                  <c:v>425.8050516370493</c:v>
                </c:pt>
                <c:pt idx="90">
                  <c:v>425.8050516370493</c:v>
                </c:pt>
                <c:pt idx="91">
                  <c:v>425.8050516370493</c:v>
                </c:pt>
                <c:pt idx="92">
                  <c:v>425.8050516370493</c:v>
                </c:pt>
                <c:pt idx="93">
                  <c:v>425.8050516370493</c:v>
                </c:pt>
                <c:pt idx="94">
                  <c:v>425.8050516370493</c:v>
                </c:pt>
                <c:pt idx="95">
                  <c:v>425.8050516370493</c:v>
                </c:pt>
                <c:pt idx="96">
                  <c:v>425.8050516370493</c:v>
                </c:pt>
                <c:pt idx="97">
                  <c:v>425.8050516370493</c:v>
                </c:pt>
                <c:pt idx="98">
                  <c:v>425.8050516370493</c:v>
                </c:pt>
                <c:pt idx="99">
                  <c:v>425.8050516370493</c:v>
                </c:pt>
                <c:pt idx="100">
                  <c:v>425.8050516370493</c:v>
                </c:pt>
                <c:pt idx="101">
                  <c:v>425.8050516370493</c:v>
                </c:pt>
                <c:pt idx="102">
                  <c:v>425.8050516370493</c:v>
                </c:pt>
                <c:pt idx="103">
                  <c:v>425.8050516370493</c:v>
                </c:pt>
                <c:pt idx="104">
                  <c:v>425.8050516370493</c:v>
                </c:pt>
                <c:pt idx="105">
                  <c:v>425.8050516370493</c:v>
                </c:pt>
                <c:pt idx="106">
                  <c:v>425.8050516370493</c:v>
                </c:pt>
                <c:pt idx="107">
                  <c:v>425.8050516370493</c:v>
                </c:pt>
                <c:pt idx="108">
                  <c:v>425.8050516370493</c:v>
                </c:pt>
                <c:pt idx="109">
                  <c:v>425.8050516370493</c:v>
                </c:pt>
                <c:pt idx="110">
                  <c:v>425.8050516370493</c:v>
                </c:pt>
                <c:pt idx="111">
                  <c:v>425.8050516370493</c:v>
                </c:pt>
                <c:pt idx="112">
                  <c:v>425.8050516370493</c:v>
                </c:pt>
                <c:pt idx="113">
                  <c:v>425.8050516370493</c:v>
                </c:pt>
                <c:pt idx="114">
                  <c:v>425.8050516370493</c:v>
                </c:pt>
                <c:pt idx="115">
                  <c:v>425.8050516370493</c:v>
                </c:pt>
                <c:pt idx="116">
                  <c:v>425.8050516370493</c:v>
                </c:pt>
                <c:pt idx="117">
                  <c:v>425.8050516370493</c:v>
                </c:pt>
                <c:pt idx="118">
                  <c:v>425.8050516370493</c:v>
                </c:pt>
                <c:pt idx="119">
                  <c:v>425.8050516370493</c:v>
                </c:pt>
                <c:pt idx="120">
                  <c:v>425.8050516370493</c:v>
                </c:pt>
                <c:pt idx="121">
                  <c:v>425.8050516370493</c:v>
                </c:pt>
                <c:pt idx="122">
                  <c:v>425.8050516370493</c:v>
                </c:pt>
                <c:pt idx="123">
                  <c:v>425.8050516370493</c:v>
                </c:pt>
                <c:pt idx="124">
                  <c:v>425.8050516370493</c:v>
                </c:pt>
                <c:pt idx="125">
                  <c:v>425.8050516370493</c:v>
                </c:pt>
                <c:pt idx="126">
                  <c:v>425.8050516370493</c:v>
                </c:pt>
                <c:pt idx="127">
                  <c:v>425.8050516370493</c:v>
                </c:pt>
                <c:pt idx="128">
                  <c:v>425.8050516370493</c:v>
                </c:pt>
                <c:pt idx="129">
                  <c:v>425.8050516370493</c:v>
                </c:pt>
                <c:pt idx="130">
                  <c:v>425.8050516370493</c:v>
                </c:pt>
                <c:pt idx="131">
                  <c:v>425.8050516370493</c:v>
                </c:pt>
                <c:pt idx="132">
                  <c:v>425.8050516370493</c:v>
                </c:pt>
                <c:pt idx="133">
                  <c:v>425.8050516370493</c:v>
                </c:pt>
                <c:pt idx="134">
                  <c:v>425.8050516370493</c:v>
                </c:pt>
                <c:pt idx="135">
                  <c:v>425.8050516370493</c:v>
                </c:pt>
                <c:pt idx="136">
                  <c:v>425.8050516370493</c:v>
                </c:pt>
                <c:pt idx="137">
                  <c:v>425.8050516370493</c:v>
                </c:pt>
                <c:pt idx="138">
                  <c:v>425.8050516370493</c:v>
                </c:pt>
                <c:pt idx="139">
                  <c:v>425.8050516370493</c:v>
                </c:pt>
                <c:pt idx="140">
                  <c:v>425.8050516370493</c:v>
                </c:pt>
                <c:pt idx="141">
                  <c:v>425.8050516370493</c:v>
                </c:pt>
                <c:pt idx="142">
                  <c:v>425.8050516370493</c:v>
                </c:pt>
                <c:pt idx="143">
                  <c:v>425.8050516370493</c:v>
                </c:pt>
                <c:pt idx="144">
                  <c:v>425.8050516370493</c:v>
                </c:pt>
                <c:pt idx="145">
                  <c:v>425.8050516370493</c:v>
                </c:pt>
                <c:pt idx="146">
                  <c:v>425.8050516370493</c:v>
                </c:pt>
                <c:pt idx="147">
                  <c:v>425.8050516370493</c:v>
                </c:pt>
                <c:pt idx="148">
                  <c:v>425.8050516370493</c:v>
                </c:pt>
                <c:pt idx="149">
                  <c:v>425.8050516370493</c:v>
                </c:pt>
                <c:pt idx="150">
                  <c:v>425.8050516370493</c:v>
                </c:pt>
                <c:pt idx="151">
                  <c:v>425.8050516370493</c:v>
                </c:pt>
                <c:pt idx="152">
                  <c:v>425.8050516370493</c:v>
                </c:pt>
                <c:pt idx="153">
                  <c:v>425.8050516370493</c:v>
                </c:pt>
                <c:pt idx="154">
                  <c:v>425.8050516370493</c:v>
                </c:pt>
                <c:pt idx="155">
                  <c:v>425.8050516370493</c:v>
                </c:pt>
                <c:pt idx="156">
                  <c:v>425.8050516370493</c:v>
                </c:pt>
                <c:pt idx="157">
                  <c:v>425.8050516370493</c:v>
                </c:pt>
                <c:pt idx="158">
                  <c:v>425.8050516370493</c:v>
                </c:pt>
                <c:pt idx="159">
                  <c:v>425.8050516370493</c:v>
                </c:pt>
                <c:pt idx="160">
                  <c:v>425.8050516370493</c:v>
                </c:pt>
                <c:pt idx="161">
                  <c:v>425.8050516370493</c:v>
                </c:pt>
                <c:pt idx="162">
                  <c:v>425.8050516370493</c:v>
                </c:pt>
                <c:pt idx="163">
                  <c:v>425.8050516370493</c:v>
                </c:pt>
                <c:pt idx="164">
                  <c:v>425.8050516370493</c:v>
                </c:pt>
                <c:pt idx="165">
                  <c:v>425.8050516370493</c:v>
                </c:pt>
                <c:pt idx="166">
                  <c:v>425.8050516370493</c:v>
                </c:pt>
                <c:pt idx="167">
                  <c:v>425.8050516370493</c:v>
                </c:pt>
                <c:pt idx="168">
                  <c:v>425.8050516370493</c:v>
                </c:pt>
                <c:pt idx="169">
                  <c:v>425.8050516370493</c:v>
                </c:pt>
                <c:pt idx="170">
                  <c:v>425.8050516370493</c:v>
                </c:pt>
                <c:pt idx="171">
                  <c:v>425.8050516370493</c:v>
                </c:pt>
                <c:pt idx="172">
                  <c:v>425.8050516370493</c:v>
                </c:pt>
                <c:pt idx="173">
                  <c:v>425.8050516370493</c:v>
                </c:pt>
                <c:pt idx="174">
                  <c:v>425.8050516370493</c:v>
                </c:pt>
                <c:pt idx="175">
                  <c:v>425.8050516370493</c:v>
                </c:pt>
                <c:pt idx="176">
                  <c:v>425.8050516370493</c:v>
                </c:pt>
                <c:pt idx="177">
                  <c:v>425.8050516370493</c:v>
                </c:pt>
                <c:pt idx="178">
                  <c:v>425.8050516370493</c:v>
                </c:pt>
                <c:pt idx="179">
                  <c:v>425.8050516370493</c:v>
                </c:pt>
                <c:pt idx="180">
                  <c:v>425.8050516370493</c:v>
                </c:pt>
                <c:pt idx="181">
                  <c:v>425.8050516370493</c:v>
                </c:pt>
                <c:pt idx="182">
                  <c:v>425.8050516370493</c:v>
                </c:pt>
                <c:pt idx="183">
                  <c:v>425.8050516370493</c:v>
                </c:pt>
                <c:pt idx="184">
                  <c:v>425.8050516370493</c:v>
                </c:pt>
                <c:pt idx="185">
                  <c:v>425.8050516370493</c:v>
                </c:pt>
                <c:pt idx="186">
                  <c:v>425.8050516370493</c:v>
                </c:pt>
                <c:pt idx="187">
                  <c:v>425.8050516370493</c:v>
                </c:pt>
                <c:pt idx="188">
                  <c:v>425.8050516370493</c:v>
                </c:pt>
                <c:pt idx="189">
                  <c:v>425.8050516370493</c:v>
                </c:pt>
                <c:pt idx="190">
                  <c:v>425.8050516370493</c:v>
                </c:pt>
                <c:pt idx="191">
                  <c:v>425.8050516370493</c:v>
                </c:pt>
                <c:pt idx="192">
                  <c:v>425.8050516370493</c:v>
                </c:pt>
                <c:pt idx="193">
                  <c:v>425.8050516370493</c:v>
                </c:pt>
                <c:pt idx="194">
                  <c:v>425.8050516370493</c:v>
                </c:pt>
                <c:pt idx="195">
                  <c:v>425.8050516370493</c:v>
                </c:pt>
                <c:pt idx="196">
                  <c:v>425.8050516370493</c:v>
                </c:pt>
                <c:pt idx="197">
                  <c:v>425.8050516370493</c:v>
                </c:pt>
                <c:pt idx="198">
                  <c:v>425.8050516370493</c:v>
                </c:pt>
                <c:pt idx="199">
                  <c:v>425.8050516370493</c:v>
                </c:pt>
                <c:pt idx="200">
                  <c:v>425.8050516370493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2.0145808773528358</c:v>
                </c:pt>
                <c:pt idx="2">
                  <c:v>2.7928351000252465</c:v>
                </c:pt>
                <c:pt idx="3">
                  <c:v>3.8730351804186167</c:v>
                </c:pt>
                <c:pt idx="4">
                  <c:v>5.3728036608147471</c:v>
                </c:pt>
                <c:pt idx="5">
                  <c:v>7.4557551705464205</c:v>
                </c:pt>
                <c:pt idx="6">
                  <c:v>10.349542435124553</c:v>
                </c:pt>
                <c:pt idx="7">
                  <c:v>14.37100557008751</c:v>
                </c:pt>
                <c:pt idx="8">
                  <c:v>19.961228764171775</c:v>
                </c:pt>
                <c:pt idx="9">
                  <c:v>27.734418314448106</c:v>
                </c:pt>
                <c:pt idx="10">
                  <c:v>38.546066151679575</c:v>
                </c:pt>
                <c:pt idx="11">
                  <c:v>53.58802854611551</c:v>
                </c:pt>
                <c:pt idx="12">
                  <c:v>74.521175401475503</c:v>
                </c:pt>
                <c:pt idx="13">
                  <c:v>103.66049376987102</c:v>
                </c:pt>
                <c:pt idx="14">
                  <c:v>144.23343878702573</c:v>
                </c:pt>
                <c:pt idx="15">
                  <c:v>200.74058596732007</c:v>
                </c:pt>
                <c:pt idx="16">
                  <c:v>234.7496082755471</c:v>
                </c:pt>
                <c:pt idx="17">
                  <c:v>268.64606128457052</c:v>
                </c:pt>
                <c:pt idx="18">
                  <c:v>302.44614715027416</c:v>
                </c:pt>
                <c:pt idx="19">
                  <c:v>336.16214403365615</c:v>
                </c:pt>
                <c:pt idx="20">
                  <c:v>369.80366387000646</c:v>
                </c:pt>
                <c:pt idx="21">
                  <c:v>356.4508794308851</c:v>
                </c:pt>
                <c:pt idx="22">
                  <c:v>394.33609960316602</c:v>
                </c:pt>
                <c:pt idx="23">
                  <c:v>432.14242504303394</c:v>
                </c:pt>
                <c:pt idx="24">
                  <c:v>469.87771773906962</c:v>
                </c:pt>
                <c:pt idx="25">
                  <c:v>507.54847471808063</c:v>
                </c:pt>
                <c:pt idx="26">
                  <c:v>475.56786051841215</c:v>
                </c:pt>
                <c:pt idx="27">
                  <c:v>514.64938862406325</c:v>
                </c:pt>
                <c:pt idx="28">
                  <c:v>553.66829141515586</c:v>
                </c:pt>
                <c:pt idx="29">
                  <c:v>592.62959437384313</c:v>
                </c:pt>
                <c:pt idx="30">
                  <c:v>631.53760923584082</c:v>
                </c:pt>
                <c:pt idx="31">
                  <c:v>558.86635911008875</c:v>
                </c:pt>
                <c:pt idx="32">
                  <c:v>592.39362980732722</c:v>
                </c:pt>
                <c:pt idx="33">
                  <c:v>625.88142421411692</c:v>
                </c:pt>
                <c:pt idx="34">
                  <c:v>659.33214781659433</c:v>
                </c:pt>
                <c:pt idx="35">
                  <c:v>692.74794249826891</c:v>
                </c:pt>
                <c:pt idx="36">
                  <c:v>639.78433756926631</c:v>
                </c:pt>
                <c:pt idx="37">
                  <c:v>671.57286529064845</c:v>
                </c:pt>
                <c:pt idx="38">
                  <c:v>703.33048120908506</c:v>
                </c:pt>
                <c:pt idx="39">
                  <c:v>735.0587749737989</c:v>
                </c:pt>
                <c:pt idx="40">
                  <c:v>766.75918804010871</c:v>
                </c:pt>
                <c:pt idx="41">
                  <c:v>705.44659634791776</c:v>
                </c:pt>
                <c:pt idx="42">
                  <c:v>734.58893303330581</c:v>
                </c:pt>
                <c:pt idx="43">
                  <c:v>763.70773166149456</c:v>
                </c:pt>
                <c:pt idx="44">
                  <c:v>792.80401446874805</c:v>
                </c:pt>
                <c:pt idx="45">
                  <c:v>821.87872266404372</c:v>
                </c:pt>
                <c:pt idx="46">
                  <c:v>770.74918264325152</c:v>
                </c:pt>
                <c:pt idx="47">
                  <c:v>794.6804434861192</c:v>
                </c:pt>
                <c:pt idx="48">
                  <c:v>818.59714676160195</c:v>
                </c:pt>
                <c:pt idx="49">
                  <c:v>842.49977705174535</c:v>
                </c:pt>
                <c:pt idx="50">
                  <c:v>866.38878924101971</c:v>
                </c:pt>
                <c:pt idx="51">
                  <c:v>811.79875206098052</c:v>
                </c:pt>
                <c:pt idx="52">
                  <c:v>829.84716796681175</c:v>
                </c:pt>
                <c:pt idx="53">
                  <c:v>847.8876885854861</c:v>
                </c:pt>
                <c:pt idx="54">
                  <c:v>865.92050537441344</c:v>
                </c:pt>
                <c:pt idx="55">
                  <c:v>883.94580117605472</c:v>
                </c:pt>
                <c:pt idx="56">
                  <c:v>844.37391150362998</c:v>
                </c:pt>
                <c:pt idx="57">
                  <c:v>858.66145471369293</c:v>
                </c:pt>
                <c:pt idx="58">
                  <c:v>872.94423239314926</c:v>
                </c:pt>
                <c:pt idx="59">
                  <c:v>887.22233342614447</c:v>
                </c:pt>
                <c:pt idx="60">
                  <c:v>901.49584360554616</c:v>
                </c:pt>
                <c:pt idx="61">
                  <c:v>872.24191076199133</c:v>
                </c:pt>
                <c:pt idx="62">
                  <c:v>883.94580117605494</c:v>
                </c:pt>
                <c:pt idx="63">
                  <c:v>895.64659417172061</c:v>
                </c:pt>
                <c:pt idx="64">
                  <c:v>907.34433588355262</c:v>
                </c:pt>
                <c:pt idx="65">
                  <c:v>919.03907116057201</c:v>
                </c:pt>
                <c:pt idx="66">
                  <c:v>885.11601908790863</c:v>
                </c:pt>
                <c:pt idx="67">
                  <c:v>885.11601908790863</c:v>
                </c:pt>
                <c:pt idx="68">
                  <c:v>885.11601908790863</c:v>
                </c:pt>
                <c:pt idx="69">
                  <c:v>885.11601908790863</c:v>
                </c:pt>
                <c:pt idx="70">
                  <c:v>885.11601908790863</c:v>
                </c:pt>
                <c:pt idx="71">
                  <c:v>885.11601908790863</c:v>
                </c:pt>
                <c:pt idx="72">
                  <c:v>885.11601908790863</c:v>
                </c:pt>
                <c:pt idx="73">
                  <c:v>885.11601908790863</c:v>
                </c:pt>
                <c:pt idx="74">
                  <c:v>885.11601908790863</c:v>
                </c:pt>
                <c:pt idx="75">
                  <c:v>885.11601908790863</c:v>
                </c:pt>
                <c:pt idx="76">
                  <c:v>885.11601908790863</c:v>
                </c:pt>
                <c:pt idx="77">
                  <c:v>885.11601908790863</c:v>
                </c:pt>
                <c:pt idx="78">
                  <c:v>885.11601908790863</c:v>
                </c:pt>
                <c:pt idx="79">
                  <c:v>885.11601908790863</c:v>
                </c:pt>
                <c:pt idx="80">
                  <c:v>885.11601908790863</c:v>
                </c:pt>
                <c:pt idx="81">
                  <c:v>885.11601908790863</c:v>
                </c:pt>
                <c:pt idx="82">
                  <c:v>885.11601908790863</c:v>
                </c:pt>
                <c:pt idx="83">
                  <c:v>885.11601908790863</c:v>
                </c:pt>
                <c:pt idx="84">
                  <c:v>885.11601908790863</c:v>
                </c:pt>
                <c:pt idx="85">
                  <c:v>885.11601908790863</c:v>
                </c:pt>
                <c:pt idx="86">
                  <c:v>885.11601908790863</c:v>
                </c:pt>
                <c:pt idx="87">
                  <c:v>885.11601908790863</c:v>
                </c:pt>
                <c:pt idx="88">
                  <c:v>885.11601908790863</c:v>
                </c:pt>
                <c:pt idx="89">
                  <c:v>885.11601908790863</c:v>
                </c:pt>
                <c:pt idx="90">
                  <c:v>885.11601908790863</c:v>
                </c:pt>
                <c:pt idx="91">
                  <c:v>885.11601908790863</c:v>
                </c:pt>
                <c:pt idx="92">
                  <c:v>885.11601908790863</c:v>
                </c:pt>
                <c:pt idx="93">
                  <c:v>885.11601908790863</c:v>
                </c:pt>
                <c:pt idx="94">
                  <c:v>885.11601908790863</c:v>
                </c:pt>
                <c:pt idx="95">
                  <c:v>885.11601908790863</c:v>
                </c:pt>
                <c:pt idx="96">
                  <c:v>885.11601908790863</c:v>
                </c:pt>
                <c:pt idx="97">
                  <c:v>885.11601908790863</c:v>
                </c:pt>
                <c:pt idx="98">
                  <c:v>885.11601908790863</c:v>
                </c:pt>
                <c:pt idx="99">
                  <c:v>885.11601908790863</c:v>
                </c:pt>
                <c:pt idx="100">
                  <c:v>885.11601908790863</c:v>
                </c:pt>
                <c:pt idx="101">
                  <c:v>885.11601908790863</c:v>
                </c:pt>
                <c:pt idx="102">
                  <c:v>885.11601908790863</c:v>
                </c:pt>
                <c:pt idx="103">
                  <c:v>885.11601908790863</c:v>
                </c:pt>
                <c:pt idx="104">
                  <c:v>885.11601908790863</c:v>
                </c:pt>
                <c:pt idx="105">
                  <c:v>885.11601908790863</c:v>
                </c:pt>
                <c:pt idx="106">
                  <c:v>885.11601908790863</c:v>
                </c:pt>
                <c:pt idx="107">
                  <c:v>885.11601908790863</c:v>
                </c:pt>
                <c:pt idx="108">
                  <c:v>885.11601908790863</c:v>
                </c:pt>
                <c:pt idx="109">
                  <c:v>885.11601908790863</c:v>
                </c:pt>
                <c:pt idx="110">
                  <c:v>885.11601908790863</c:v>
                </c:pt>
                <c:pt idx="111">
                  <c:v>885.11601908790863</c:v>
                </c:pt>
                <c:pt idx="112">
                  <c:v>885.11601908790863</c:v>
                </c:pt>
                <c:pt idx="113">
                  <c:v>885.11601908790863</c:v>
                </c:pt>
                <c:pt idx="114">
                  <c:v>885.11601908790863</c:v>
                </c:pt>
                <c:pt idx="115">
                  <c:v>885.11601908790863</c:v>
                </c:pt>
                <c:pt idx="116">
                  <c:v>885.11601908790863</c:v>
                </c:pt>
                <c:pt idx="117">
                  <c:v>885.11601908790863</c:v>
                </c:pt>
                <c:pt idx="118">
                  <c:v>885.11601908790863</c:v>
                </c:pt>
                <c:pt idx="119">
                  <c:v>885.11601908790863</c:v>
                </c:pt>
                <c:pt idx="120">
                  <c:v>885.11601908790863</c:v>
                </c:pt>
                <c:pt idx="121">
                  <c:v>885.11601908790863</c:v>
                </c:pt>
                <c:pt idx="122">
                  <c:v>885.11601908790863</c:v>
                </c:pt>
                <c:pt idx="123">
                  <c:v>885.11601908790863</c:v>
                </c:pt>
                <c:pt idx="124">
                  <c:v>885.11601908790863</c:v>
                </c:pt>
                <c:pt idx="125">
                  <c:v>885.11601908790863</c:v>
                </c:pt>
                <c:pt idx="126">
                  <c:v>885.11601908790863</c:v>
                </c:pt>
                <c:pt idx="127">
                  <c:v>885.11601908790863</c:v>
                </c:pt>
                <c:pt idx="128">
                  <c:v>885.11601908790863</c:v>
                </c:pt>
                <c:pt idx="129">
                  <c:v>885.11601908790863</c:v>
                </c:pt>
                <c:pt idx="130">
                  <c:v>885.11601908790863</c:v>
                </c:pt>
                <c:pt idx="131">
                  <c:v>885.11601908790863</c:v>
                </c:pt>
                <c:pt idx="132">
                  <c:v>885.11601908790863</c:v>
                </c:pt>
                <c:pt idx="133">
                  <c:v>885.11601908790863</c:v>
                </c:pt>
                <c:pt idx="134">
                  <c:v>885.11601908790863</c:v>
                </c:pt>
                <c:pt idx="135">
                  <c:v>885.11601908790863</c:v>
                </c:pt>
                <c:pt idx="136">
                  <c:v>885.11601908790863</c:v>
                </c:pt>
                <c:pt idx="137">
                  <c:v>885.11601908790863</c:v>
                </c:pt>
                <c:pt idx="138">
                  <c:v>885.11601908790863</c:v>
                </c:pt>
                <c:pt idx="139">
                  <c:v>885.11601908790863</c:v>
                </c:pt>
                <c:pt idx="140">
                  <c:v>885.11601908790863</c:v>
                </c:pt>
                <c:pt idx="141">
                  <c:v>885.11601908790863</c:v>
                </c:pt>
                <c:pt idx="142">
                  <c:v>885.11601908790863</c:v>
                </c:pt>
                <c:pt idx="143">
                  <c:v>885.11601908790863</c:v>
                </c:pt>
                <c:pt idx="144">
                  <c:v>885.11601908790863</c:v>
                </c:pt>
                <c:pt idx="145">
                  <c:v>885.11601908790863</c:v>
                </c:pt>
                <c:pt idx="146">
                  <c:v>885.11601908790863</c:v>
                </c:pt>
                <c:pt idx="147">
                  <c:v>885.11601908790863</c:v>
                </c:pt>
                <c:pt idx="148">
                  <c:v>885.11601908790863</c:v>
                </c:pt>
                <c:pt idx="149">
                  <c:v>885.11601908790863</c:v>
                </c:pt>
                <c:pt idx="150">
                  <c:v>885.11601908790863</c:v>
                </c:pt>
                <c:pt idx="151">
                  <c:v>885.11601908790863</c:v>
                </c:pt>
                <c:pt idx="152">
                  <c:v>885.11601908790863</c:v>
                </c:pt>
                <c:pt idx="153">
                  <c:v>885.11601908790863</c:v>
                </c:pt>
                <c:pt idx="154">
                  <c:v>885.11601908790863</c:v>
                </c:pt>
                <c:pt idx="155">
                  <c:v>885.11601908790863</c:v>
                </c:pt>
                <c:pt idx="156">
                  <c:v>885.11601908790863</c:v>
                </c:pt>
                <c:pt idx="157">
                  <c:v>885.11601908790863</c:v>
                </c:pt>
                <c:pt idx="158">
                  <c:v>885.11601908790863</c:v>
                </c:pt>
                <c:pt idx="159">
                  <c:v>885.11601908790863</c:v>
                </c:pt>
                <c:pt idx="160">
                  <c:v>885.11601908790863</c:v>
                </c:pt>
                <c:pt idx="161">
                  <c:v>885.11601908790863</c:v>
                </c:pt>
                <c:pt idx="162">
                  <c:v>885.11601908790863</c:v>
                </c:pt>
                <c:pt idx="163">
                  <c:v>885.11601908790863</c:v>
                </c:pt>
                <c:pt idx="164">
                  <c:v>885.11601908790863</c:v>
                </c:pt>
                <c:pt idx="165">
                  <c:v>885.11601908790863</c:v>
                </c:pt>
                <c:pt idx="166">
                  <c:v>885.11601908790863</c:v>
                </c:pt>
                <c:pt idx="167">
                  <c:v>885.11601908790863</c:v>
                </c:pt>
                <c:pt idx="168">
                  <c:v>885.11601908790863</c:v>
                </c:pt>
                <c:pt idx="169">
                  <c:v>885.11601908790863</c:v>
                </c:pt>
                <c:pt idx="170">
                  <c:v>885.11601908790863</c:v>
                </c:pt>
                <c:pt idx="171">
                  <c:v>885.11601908790863</c:v>
                </c:pt>
                <c:pt idx="172">
                  <c:v>885.11601908790863</c:v>
                </c:pt>
                <c:pt idx="173">
                  <c:v>885.11601908790863</c:v>
                </c:pt>
                <c:pt idx="174">
                  <c:v>885.11601908790863</c:v>
                </c:pt>
                <c:pt idx="175">
                  <c:v>885.11601908790863</c:v>
                </c:pt>
                <c:pt idx="176">
                  <c:v>885.11601908790863</c:v>
                </c:pt>
                <c:pt idx="177">
                  <c:v>885.11601908790863</c:v>
                </c:pt>
                <c:pt idx="178">
                  <c:v>885.11601908790863</c:v>
                </c:pt>
                <c:pt idx="179">
                  <c:v>885.11601908790863</c:v>
                </c:pt>
                <c:pt idx="180">
                  <c:v>885.11601908790863</c:v>
                </c:pt>
                <c:pt idx="181">
                  <c:v>885.11601908790863</c:v>
                </c:pt>
                <c:pt idx="182">
                  <c:v>885.11601908790863</c:v>
                </c:pt>
                <c:pt idx="183">
                  <c:v>885.11601908790863</c:v>
                </c:pt>
                <c:pt idx="184">
                  <c:v>885.11601908790863</c:v>
                </c:pt>
                <c:pt idx="185">
                  <c:v>885.11601908790863</c:v>
                </c:pt>
                <c:pt idx="186">
                  <c:v>885.11601908790863</c:v>
                </c:pt>
                <c:pt idx="187">
                  <c:v>885.11601908790863</c:v>
                </c:pt>
                <c:pt idx="188">
                  <c:v>885.11601908790863</c:v>
                </c:pt>
                <c:pt idx="189">
                  <c:v>885.11601908790863</c:v>
                </c:pt>
                <c:pt idx="190">
                  <c:v>885.11601908790863</c:v>
                </c:pt>
                <c:pt idx="191">
                  <c:v>885.11601908790863</c:v>
                </c:pt>
                <c:pt idx="192">
                  <c:v>885.11601908790863</c:v>
                </c:pt>
                <c:pt idx="193">
                  <c:v>885.11601908790863</c:v>
                </c:pt>
                <c:pt idx="194">
                  <c:v>885.11601908790863</c:v>
                </c:pt>
                <c:pt idx="195">
                  <c:v>885.11601908790863</c:v>
                </c:pt>
                <c:pt idx="196">
                  <c:v>885.11601908790863</c:v>
                </c:pt>
                <c:pt idx="197">
                  <c:v>885.11601908790863</c:v>
                </c:pt>
                <c:pt idx="198">
                  <c:v>885.11601908790863</c:v>
                </c:pt>
                <c:pt idx="199">
                  <c:v>885.11601908790863</c:v>
                </c:pt>
                <c:pt idx="200">
                  <c:v>885.11601908790863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1.6419271867377201</c:v>
                </c:pt>
                <c:pt idx="2">
                  <c:v>2.2005680509970378</c:v>
                </c:pt>
                <c:pt idx="3">
                  <c:v>2.9500822227003223</c:v>
                </c:pt>
                <c:pt idx="4">
                  <c:v>3.9559455701571538</c:v>
                </c:pt>
                <c:pt idx="5">
                  <c:v>5.3061776306446271</c:v>
                </c:pt>
                <c:pt idx="6">
                  <c:v>7.1191301438871548</c:v>
                </c:pt>
                <c:pt idx="7">
                  <c:v>9.5539749064720088</c:v>
                </c:pt>
                <c:pt idx="8">
                  <c:v>12.824829163250916</c:v>
                </c:pt>
                <c:pt idx="9">
                  <c:v>17.219783705380699</c:v>
                </c:pt>
                <c:pt idx="10">
                  <c:v>23.126540005827355</c:v>
                </c:pt>
                <c:pt idx="11">
                  <c:v>31.0669580703407</c:v>
                </c:pt>
                <c:pt idx="12">
                  <c:v>41.743620214662549</c:v>
                </c:pt>
                <c:pt idx="13">
                  <c:v>56.102600643537734</c:v>
                </c:pt>
                <c:pt idx="14">
                  <c:v>75.418095056240773</c:v>
                </c:pt>
                <c:pt idx="15">
                  <c:v>101.40654169751237</c:v>
                </c:pt>
                <c:pt idx="16">
                  <c:v>129.08344037411621</c:v>
                </c:pt>
                <c:pt idx="17">
                  <c:v>156.61609434461207</c:v>
                </c:pt>
                <c:pt idx="18">
                  <c:v>184.03353707055848</c:v>
                </c:pt>
                <c:pt idx="19">
                  <c:v>211.35538144796092</c:v>
                </c:pt>
                <c:pt idx="20">
                  <c:v>238.59573324490532</c:v>
                </c:pt>
                <c:pt idx="21">
                  <c:v>199.42548241866655</c:v>
                </c:pt>
                <c:pt idx="22">
                  <c:v>232.95201893246733</c:v>
                </c:pt>
                <c:pt idx="23">
                  <c:v>266.36823346870545</c:v>
                </c:pt>
                <c:pt idx="24">
                  <c:v>299.68991361092009</c:v>
                </c:pt>
                <c:pt idx="25">
                  <c:v>332.92904287941263</c:v>
                </c:pt>
                <c:pt idx="26">
                  <c:v>283.64224516951549</c:v>
                </c:pt>
                <c:pt idx="27">
                  <c:v>318.52155741988031</c:v>
                </c:pt>
                <c:pt idx="28">
                  <c:v>353.31628382059779</c:v>
                </c:pt>
                <c:pt idx="29">
                  <c:v>388.03591688356778</c:v>
                </c:pt>
                <c:pt idx="30">
                  <c:v>422.68811168338493</c:v>
                </c:pt>
                <c:pt idx="31">
                  <c:v>372.87972993501268</c:v>
                </c:pt>
                <c:pt idx="32">
                  <c:v>406.764014604328</c:v>
                </c:pt>
                <c:pt idx="33">
                  <c:v>440.58731622566688</c:v>
                </c:pt>
                <c:pt idx="34">
                  <c:v>474.35496773005622</c:v>
                </c:pt>
                <c:pt idx="35">
                  <c:v>508.07148149252947</c:v>
                </c:pt>
                <c:pt idx="36">
                  <c:v>456.48461552128651</c:v>
                </c:pt>
                <c:pt idx="37">
                  <c:v>488.24419789739932</c:v>
                </c:pt>
                <c:pt idx="38">
                  <c:v>519.95995877310202</c:v>
                </c:pt>
                <c:pt idx="39">
                  <c:v>551.63494285164984</c:v>
                </c:pt>
                <c:pt idx="40">
                  <c:v>583.27181709550734</c:v>
                </c:pt>
                <c:pt idx="41">
                  <c:v>529.66462428371926</c:v>
                </c:pt>
                <c:pt idx="42">
                  <c:v>559.15205854563135</c:v>
                </c:pt>
                <c:pt idx="43">
                  <c:v>588.60695345087686</c:v>
                </c:pt>
                <c:pt idx="44">
                  <c:v>618.03116389548916</c:v>
                </c:pt>
                <c:pt idx="45">
                  <c:v>647.4263539919084</c:v>
                </c:pt>
                <c:pt idx="46">
                  <c:v>591.96559606486471</c:v>
                </c:pt>
                <c:pt idx="47">
                  <c:v>619.41278333107039</c:v>
                </c:pt>
                <c:pt idx="48">
                  <c:v>646.83478077762095</c:v>
                </c:pt>
                <c:pt idx="49">
                  <c:v>674.23280499191242</c:v>
                </c:pt>
                <c:pt idx="50">
                  <c:v>701.60796576320536</c:v>
                </c:pt>
                <c:pt idx="51">
                  <c:v>649.3981842342821</c:v>
                </c:pt>
                <c:pt idx="52">
                  <c:v>675.02089382685983</c:v>
                </c:pt>
                <c:pt idx="53">
                  <c:v>700.62363238092314</c:v>
                </c:pt>
                <c:pt idx="54">
                  <c:v>726.20723136598963</c:v>
                </c:pt>
                <c:pt idx="55">
                  <c:v>751.77245897300372</c:v>
                </c:pt>
                <c:pt idx="56">
                  <c:v>706.52920967846251</c:v>
                </c:pt>
                <c:pt idx="57">
                  <c:v>730.14152063681979</c:v>
                </c:pt>
                <c:pt idx="58">
                  <c:v>753.73827475643657</c:v>
                </c:pt>
                <c:pt idx="59">
                  <c:v>777.32002696073312</c:v>
                </c:pt>
                <c:pt idx="60">
                  <c:v>800.88729580434904</c:v>
                </c:pt>
                <c:pt idx="61">
                  <c:v>760.02818683550061</c:v>
                </c:pt>
                <c:pt idx="62">
                  <c:v>782.0346234048319</c:v>
                </c:pt>
                <c:pt idx="63">
                  <c:v>804.02853046951634</c:v>
                </c:pt>
                <c:pt idx="64">
                  <c:v>826.01029857265269</c:v>
                </c:pt>
                <c:pt idx="65">
                  <c:v>847.98029580441369</c:v>
                </c:pt>
                <c:pt idx="66">
                  <c:v>809.13250899918137</c:v>
                </c:pt>
                <c:pt idx="67">
                  <c:v>829.14958195166719</c:v>
                </c:pt>
                <c:pt idx="68">
                  <c:v>849.15693456209056</c:v>
                </c:pt>
                <c:pt idx="69">
                  <c:v>869.15482781931985</c:v>
                </c:pt>
                <c:pt idx="70">
                  <c:v>889.14350973873854</c:v>
                </c:pt>
                <c:pt idx="71">
                  <c:v>853.27491282283324</c:v>
                </c:pt>
                <c:pt idx="72">
                  <c:v>872.29091031281223</c:v>
                </c:pt>
                <c:pt idx="73">
                  <c:v>891.29861166394903</c:v>
                </c:pt>
                <c:pt idx="74">
                  <c:v>910.29821849396728</c:v>
                </c:pt>
                <c:pt idx="75">
                  <c:v>929.28992332904409</c:v>
                </c:pt>
                <c:pt idx="76">
                  <c:v>893.84541613151794</c:v>
                </c:pt>
                <c:pt idx="77">
                  <c:v>911.27736390190012</c:v>
                </c:pt>
                <c:pt idx="78">
                  <c:v>928.70266760032655</c:v>
                </c:pt>
                <c:pt idx="79">
                  <c:v>946.12146929869789</c:v>
                </c:pt>
                <c:pt idx="80">
                  <c:v>963.53390541766657</c:v>
                </c:pt>
                <c:pt idx="81">
                  <c:v>912.64813225213504</c:v>
                </c:pt>
                <c:pt idx="82">
                  <c:v>912.64813225213504</c:v>
                </c:pt>
                <c:pt idx="83">
                  <c:v>912.64813225213504</c:v>
                </c:pt>
                <c:pt idx="84">
                  <c:v>912.64813225213504</c:v>
                </c:pt>
                <c:pt idx="85">
                  <c:v>912.64813225213504</c:v>
                </c:pt>
                <c:pt idx="86">
                  <c:v>912.64813225213504</c:v>
                </c:pt>
                <c:pt idx="87">
                  <c:v>912.64813225213504</c:v>
                </c:pt>
                <c:pt idx="88">
                  <c:v>912.64813225213504</c:v>
                </c:pt>
                <c:pt idx="89">
                  <c:v>912.64813225213504</c:v>
                </c:pt>
                <c:pt idx="90">
                  <c:v>912.64813225213504</c:v>
                </c:pt>
                <c:pt idx="91">
                  <c:v>912.64813225213504</c:v>
                </c:pt>
                <c:pt idx="92">
                  <c:v>912.64813225213504</c:v>
                </c:pt>
                <c:pt idx="93">
                  <c:v>912.64813225213504</c:v>
                </c:pt>
                <c:pt idx="94">
                  <c:v>912.64813225213504</c:v>
                </c:pt>
                <c:pt idx="95">
                  <c:v>912.64813225213504</c:v>
                </c:pt>
                <c:pt idx="96">
                  <c:v>912.64813225213504</c:v>
                </c:pt>
                <c:pt idx="97">
                  <c:v>912.64813225213504</c:v>
                </c:pt>
                <c:pt idx="98">
                  <c:v>912.64813225213504</c:v>
                </c:pt>
                <c:pt idx="99">
                  <c:v>912.64813225213504</c:v>
                </c:pt>
                <c:pt idx="100">
                  <c:v>912.64813225213504</c:v>
                </c:pt>
                <c:pt idx="101">
                  <c:v>912.64813225213504</c:v>
                </c:pt>
                <c:pt idx="102">
                  <c:v>912.64813225213504</c:v>
                </c:pt>
                <c:pt idx="103">
                  <c:v>912.64813225213504</c:v>
                </c:pt>
                <c:pt idx="104">
                  <c:v>912.64813225213504</c:v>
                </c:pt>
                <c:pt idx="105">
                  <c:v>912.64813225213504</c:v>
                </c:pt>
                <c:pt idx="106">
                  <c:v>912.64813225213504</c:v>
                </c:pt>
                <c:pt idx="107">
                  <c:v>912.64813225213504</c:v>
                </c:pt>
                <c:pt idx="108">
                  <c:v>912.64813225213504</c:v>
                </c:pt>
                <c:pt idx="109">
                  <c:v>912.64813225213504</c:v>
                </c:pt>
                <c:pt idx="110">
                  <c:v>912.64813225213504</c:v>
                </c:pt>
                <c:pt idx="111">
                  <c:v>912.64813225213504</c:v>
                </c:pt>
                <c:pt idx="112">
                  <c:v>912.64813225213504</c:v>
                </c:pt>
                <c:pt idx="113">
                  <c:v>912.64813225213504</c:v>
                </c:pt>
                <c:pt idx="114">
                  <c:v>912.64813225213504</c:v>
                </c:pt>
                <c:pt idx="115">
                  <c:v>912.64813225213504</c:v>
                </c:pt>
                <c:pt idx="116">
                  <c:v>912.64813225213504</c:v>
                </c:pt>
                <c:pt idx="117">
                  <c:v>912.64813225213504</c:v>
                </c:pt>
                <c:pt idx="118">
                  <c:v>912.64813225213504</c:v>
                </c:pt>
                <c:pt idx="119">
                  <c:v>912.64813225213504</c:v>
                </c:pt>
                <c:pt idx="120">
                  <c:v>912.64813225213504</c:v>
                </c:pt>
                <c:pt idx="121">
                  <c:v>912.64813225213504</c:v>
                </c:pt>
                <c:pt idx="122">
                  <c:v>912.64813225213504</c:v>
                </c:pt>
                <c:pt idx="123">
                  <c:v>912.64813225213504</c:v>
                </c:pt>
                <c:pt idx="124">
                  <c:v>912.64813225213504</c:v>
                </c:pt>
                <c:pt idx="125">
                  <c:v>912.64813225213504</c:v>
                </c:pt>
                <c:pt idx="126">
                  <c:v>912.64813225213504</c:v>
                </c:pt>
                <c:pt idx="127">
                  <c:v>912.64813225213504</c:v>
                </c:pt>
                <c:pt idx="128">
                  <c:v>912.64813225213504</c:v>
                </c:pt>
                <c:pt idx="129">
                  <c:v>912.64813225213504</c:v>
                </c:pt>
                <c:pt idx="130">
                  <c:v>912.64813225213504</c:v>
                </c:pt>
                <c:pt idx="131">
                  <c:v>912.64813225213504</c:v>
                </c:pt>
                <c:pt idx="132">
                  <c:v>912.64813225213504</c:v>
                </c:pt>
                <c:pt idx="133">
                  <c:v>912.64813225213504</c:v>
                </c:pt>
                <c:pt idx="134">
                  <c:v>912.64813225213504</c:v>
                </c:pt>
                <c:pt idx="135">
                  <c:v>912.64813225213504</c:v>
                </c:pt>
                <c:pt idx="136">
                  <c:v>912.64813225213504</c:v>
                </c:pt>
                <c:pt idx="137">
                  <c:v>912.64813225213504</c:v>
                </c:pt>
                <c:pt idx="138">
                  <c:v>912.64813225213504</c:v>
                </c:pt>
                <c:pt idx="139">
                  <c:v>912.64813225213504</c:v>
                </c:pt>
                <c:pt idx="140">
                  <c:v>912.64813225213504</c:v>
                </c:pt>
                <c:pt idx="141">
                  <c:v>912.64813225213504</c:v>
                </c:pt>
                <c:pt idx="142">
                  <c:v>912.64813225213504</c:v>
                </c:pt>
                <c:pt idx="143">
                  <c:v>912.64813225213504</c:v>
                </c:pt>
                <c:pt idx="144">
                  <c:v>912.64813225213504</c:v>
                </c:pt>
                <c:pt idx="145">
                  <c:v>912.64813225213504</c:v>
                </c:pt>
                <c:pt idx="146">
                  <c:v>912.64813225213504</c:v>
                </c:pt>
                <c:pt idx="147">
                  <c:v>912.64813225213504</c:v>
                </c:pt>
                <c:pt idx="148">
                  <c:v>912.64813225213504</c:v>
                </c:pt>
                <c:pt idx="149">
                  <c:v>912.64813225213504</c:v>
                </c:pt>
                <c:pt idx="150">
                  <c:v>912.64813225213504</c:v>
                </c:pt>
                <c:pt idx="151">
                  <c:v>912.64813225213504</c:v>
                </c:pt>
                <c:pt idx="152">
                  <c:v>912.64813225213504</c:v>
                </c:pt>
                <c:pt idx="153">
                  <c:v>912.64813225213504</c:v>
                </c:pt>
                <c:pt idx="154">
                  <c:v>912.64813225213504</c:v>
                </c:pt>
                <c:pt idx="155">
                  <c:v>912.64813225213504</c:v>
                </c:pt>
                <c:pt idx="156">
                  <c:v>912.64813225213504</c:v>
                </c:pt>
                <c:pt idx="157">
                  <c:v>912.64813225213504</c:v>
                </c:pt>
                <c:pt idx="158">
                  <c:v>912.64813225213504</c:v>
                </c:pt>
                <c:pt idx="159">
                  <c:v>912.64813225213504</c:v>
                </c:pt>
                <c:pt idx="160">
                  <c:v>912.64813225213504</c:v>
                </c:pt>
                <c:pt idx="161">
                  <c:v>912.64813225213504</c:v>
                </c:pt>
                <c:pt idx="162">
                  <c:v>912.64813225213504</c:v>
                </c:pt>
                <c:pt idx="163">
                  <c:v>912.64813225213504</c:v>
                </c:pt>
                <c:pt idx="164">
                  <c:v>912.64813225213504</c:v>
                </c:pt>
                <c:pt idx="165">
                  <c:v>912.64813225213504</c:v>
                </c:pt>
                <c:pt idx="166">
                  <c:v>912.64813225213504</c:v>
                </c:pt>
                <c:pt idx="167">
                  <c:v>912.64813225213504</c:v>
                </c:pt>
                <c:pt idx="168">
                  <c:v>912.64813225213504</c:v>
                </c:pt>
                <c:pt idx="169">
                  <c:v>912.64813225213504</c:v>
                </c:pt>
                <c:pt idx="170">
                  <c:v>912.64813225213504</c:v>
                </c:pt>
                <c:pt idx="171">
                  <c:v>912.64813225213504</c:v>
                </c:pt>
                <c:pt idx="172">
                  <c:v>912.64813225213504</c:v>
                </c:pt>
                <c:pt idx="173">
                  <c:v>912.64813225213504</c:v>
                </c:pt>
                <c:pt idx="174">
                  <c:v>912.64813225213504</c:v>
                </c:pt>
                <c:pt idx="175">
                  <c:v>912.64813225213504</c:v>
                </c:pt>
                <c:pt idx="176">
                  <c:v>912.64813225213504</c:v>
                </c:pt>
                <c:pt idx="177">
                  <c:v>912.64813225213504</c:v>
                </c:pt>
                <c:pt idx="178">
                  <c:v>912.64813225213504</c:v>
                </c:pt>
                <c:pt idx="179">
                  <c:v>912.64813225213504</c:v>
                </c:pt>
                <c:pt idx="180">
                  <c:v>912.64813225213504</c:v>
                </c:pt>
                <c:pt idx="181">
                  <c:v>912.64813225213504</c:v>
                </c:pt>
                <c:pt idx="182">
                  <c:v>912.64813225213504</c:v>
                </c:pt>
                <c:pt idx="183">
                  <c:v>912.64813225213504</c:v>
                </c:pt>
                <c:pt idx="184">
                  <c:v>912.64813225213504</c:v>
                </c:pt>
                <c:pt idx="185">
                  <c:v>912.64813225213504</c:v>
                </c:pt>
                <c:pt idx="186">
                  <c:v>912.64813225213504</c:v>
                </c:pt>
                <c:pt idx="187">
                  <c:v>912.64813225213504</c:v>
                </c:pt>
                <c:pt idx="188">
                  <c:v>912.64813225213504</c:v>
                </c:pt>
                <c:pt idx="189">
                  <c:v>912.64813225213504</c:v>
                </c:pt>
                <c:pt idx="190">
                  <c:v>912.64813225213504</c:v>
                </c:pt>
                <c:pt idx="191">
                  <c:v>912.64813225213504</c:v>
                </c:pt>
                <c:pt idx="192">
                  <c:v>912.64813225213504</c:v>
                </c:pt>
                <c:pt idx="193">
                  <c:v>912.64813225213504</c:v>
                </c:pt>
                <c:pt idx="194">
                  <c:v>912.64813225213504</c:v>
                </c:pt>
                <c:pt idx="195">
                  <c:v>912.64813225213504</c:v>
                </c:pt>
                <c:pt idx="196">
                  <c:v>912.64813225213504</c:v>
                </c:pt>
                <c:pt idx="197">
                  <c:v>912.64813225213504</c:v>
                </c:pt>
                <c:pt idx="198">
                  <c:v>912.64813225213504</c:v>
                </c:pt>
                <c:pt idx="199">
                  <c:v>912.64813225213504</c:v>
                </c:pt>
                <c:pt idx="200">
                  <c:v>912.64813225213504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3.272196333784017</c:v>
                </c:pt>
                <c:pt idx="2">
                  <c:v>4.3468083457162265</c:v>
                </c:pt>
                <c:pt idx="3">
                  <c:v>5.7757594573306692</c:v>
                </c:pt>
                <c:pt idx="4">
                  <c:v>7.6763310117648969</c:v>
                </c:pt>
                <c:pt idx="5">
                  <c:v>10.204759451487858</c:v>
                </c:pt>
                <c:pt idx="6">
                  <c:v>13.569217275126766</c:v>
                </c:pt>
                <c:pt idx="7">
                  <c:v>18.047132482275387</c:v>
                </c:pt>
                <c:pt idx="8">
                  <c:v>24.008300439783866</c:v>
                </c:pt>
                <c:pt idx="9">
                  <c:v>31.94573054698839</c:v>
                </c:pt>
                <c:pt idx="10">
                  <c:v>42.516822975226809</c:v>
                </c:pt>
                <c:pt idx="11">
                  <c:v>58.958381860593853</c:v>
                </c:pt>
                <c:pt idx="12">
                  <c:v>90.230803796280711</c:v>
                </c:pt>
                <c:pt idx="13">
                  <c:v>121.22718363614437</c:v>
                </c:pt>
                <c:pt idx="14">
                  <c:v>152.02916982811959</c:v>
                </c:pt>
                <c:pt idx="15">
                  <c:v>182.68196779156236</c:v>
                </c:pt>
                <c:pt idx="16">
                  <c:v>127.99300373621668</c:v>
                </c:pt>
                <c:pt idx="17">
                  <c:v>161.70140970029556</c:v>
                </c:pt>
                <c:pt idx="18">
                  <c:v>195.24278318241954</c:v>
                </c:pt>
                <c:pt idx="19">
                  <c:v>228.64995281860433</c:v>
                </c:pt>
                <c:pt idx="20">
                  <c:v>261.94531000618412</c:v>
                </c:pt>
                <c:pt idx="21">
                  <c:v>209.45575121390013</c:v>
                </c:pt>
                <c:pt idx="22">
                  <c:v>244.47808276569103</c:v>
                </c:pt>
                <c:pt idx="23">
                  <c:v>279.38625176640875</c:v>
                </c:pt>
                <c:pt idx="24">
                  <c:v>314.19652766801346</c:v>
                </c:pt>
                <c:pt idx="25">
                  <c:v>348.92127422322795</c:v>
                </c:pt>
                <c:pt idx="26">
                  <c:v>295.97394986116774</c:v>
                </c:pt>
                <c:pt idx="27">
                  <c:v>329.91530269151468</c:v>
                </c:pt>
                <c:pt idx="28">
                  <c:v>363.77960344692718</c:v>
                </c:pt>
                <c:pt idx="29">
                  <c:v>397.57502530134639</c:v>
                </c:pt>
                <c:pt idx="30">
                  <c:v>431.30823874034081</c:v>
                </c:pt>
                <c:pt idx="31">
                  <c:v>376.1513920342295</c:v>
                </c:pt>
                <c:pt idx="32">
                  <c:v>407.45433407493073</c:v>
                </c:pt>
                <c:pt idx="33">
                  <c:v>438.70533103430927</c:v>
                </c:pt>
                <c:pt idx="34">
                  <c:v>469.90859842704066</c:v>
                </c:pt>
                <c:pt idx="35">
                  <c:v>501.06774674350328</c:v>
                </c:pt>
                <c:pt idx="36">
                  <c:v>441.99206601099746</c:v>
                </c:pt>
                <c:pt idx="37">
                  <c:v>469.08803973384329</c:v>
                </c:pt>
                <c:pt idx="38">
                  <c:v>496.15068169403889</c:v>
                </c:pt>
                <c:pt idx="39">
                  <c:v>523.18206342045517</c:v>
                </c:pt>
                <c:pt idx="40">
                  <c:v>550.1840251484324</c:v>
                </c:pt>
                <c:pt idx="41">
                  <c:v>491.64246508072887</c:v>
                </c:pt>
                <c:pt idx="42">
                  <c:v>514.99392273715944</c:v>
                </c:pt>
                <c:pt idx="43">
                  <c:v>538.32304075493141</c:v>
                </c:pt>
                <c:pt idx="44">
                  <c:v>561.63092245161022</c:v>
                </c:pt>
                <c:pt idx="45">
                  <c:v>584.91857219258952</c:v>
                </c:pt>
                <c:pt idx="46">
                  <c:v>551.81959936072428</c:v>
                </c:pt>
                <c:pt idx="47">
                  <c:v>571.84723871208746</c:v>
                </c:pt>
                <c:pt idx="48">
                  <c:v>591.86023292490802</c:v>
                </c:pt>
                <c:pt idx="49">
                  <c:v>611.85914647032064</c:v>
                </c:pt>
                <c:pt idx="50">
                  <c:v>631.84450394424459</c:v>
                </c:pt>
                <c:pt idx="51">
                  <c:v>606.14657668140751</c:v>
                </c:pt>
                <c:pt idx="52">
                  <c:v>623.28097854279656</c:v>
                </c:pt>
                <c:pt idx="53">
                  <c:v>640.40562962638535</c:v>
                </c:pt>
                <c:pt idx="54">
                  <c:v>657.52082719173109</c:v>
                </c:pt>
                <c:pt idx="55">
                  <c:v>674.62685177369769</c:v>
                </c:pt>
                <c:pt idx="56">
                  <c:v>653.03917318988681</c:v>
                </c:pt>
                <c:pt idx="57">
                  <c:v>668.11133540519415</c:v>
                </c:pt>
                <c:pt idx="58">
                  <c:v>683.17650762504957</c:v>
                </c:pt>
                <c:pt idx="59">
                  <c:v>698.23486559909486</c:v>
                </c:pt>
                <c:pt idx="60">
                  <c:v>713.28657688382839</c:v>
                </c:pt>
                <c:pt idx="61">
                  <c:v>690.91001835052691</c:v>
                </c:pt>
                <c:pt idx="62">
                  <c:v>703.11722207803825</c:v>
                </c:pt>
                <c:pt idx="63">
                  <c:v>715.32009094800969</c:v>
                </c:pt>
                <c:pt idx="64">
                  <c:v>727.51870929218273</c:v>
                </c:pt>
                <c:pt idx="65">
                  <c:v>739.71315838525049</c:v>
                </c:pt>
                <c:pt idx="66">
                  <c:v>717.76015201514667</c:v>
                </c:pt>
                <c:pt idx="67">
                  <c:v>728.3318013929462</c:v>
                </c:pt>
                <c:pt idx="68">
                  <c:v>738.90032323597507</c:v>
                </c:pt>
                <c:pt idx="69">
                  <c:v>749.46576856243689</c:v>
                </c:pt>
                <c:pt idx="70">
                  <c:v>760.02818683550049</c:v>
                </c:pt>
                <c:pt idx="71">
                  <c:v>739.30674308461903</c:v>
                </c:pt>
                <c:pt idx="72">
                  <c:v>749.05946156612254</c:v>
                </c:pt>
                <c:pt idx="73">
                  <c:v>758.80959920160149</c:v>
                </c:pt>
                <c:pt idx="74">
                  <c:v>768.5571938133404</c:v>
                </c:pt>
                <c:pt idx="75">
                  <c:v>778.30228218643288</c:v>
                </c:pt>
                <c:pt idx="76">
                  <c:v>757.99718537604701</c:v>
                </c:pt>
                <c:pt idx="77">
                  <c:v>766.12053153986756</c:v>
                </c:pt>
                <c:pt idx="78">
                  <c:v>774.24213095759535</c:v>
                </c:pt>
                <c:pt idx="79">
                  <c:v>782.36200452923958</c:v>
                </c:pt>
                <c:pt idx="80">
                  <c:v>790.48017268575893</c:v>
                </c:pt>
                <c:pt idx="81">
                  <c:v>764.08985958329765</c:v>
                </c:pt>
                <c:pt idx="82">
                  <c:v>764.08985958329765</c:v>
                </c:pt>
                <c:pt idx="83">
                  <c:v>764.08985958329765</c:v>
                </c:pt>
                <c:pt idx="84">
                  <c:v>764.08985958329765</c:v>
                </c:pt>
                <c:pt idx="85">
                  <c:v>764.08985958329765</c:v>
                </c:pt>
                <c:pt idx="86">
                  <c:v>764.08985958329765</c:v>
                </c:pt>
                <c:pt idx="87">
                  <c:v>764.08985958329765</c:v>
                </c:pt>
                <c:pt idx="88">
                  <c:v>764.08985958329765</c:v>
                </c:pt>
                <c:pt idx="89">
                  <c:v>764.08985958329765</c:v>
                </c:pt>
                <c:pt idx="90">
                  <c:v>764.08985958329765</c:v>
                </c:pt>
                <c:pt idx="91">
                  <c:v>764.08985958329765</c:v>
                </c:pt>
                <c:pt idx="92">
                  <c:v>764.08985958329765</c:v>
                </c:pt>
                <c:pt idx="93">
                  <c:v>764.08985958329765</c:v>
                </c:pt>
                <c:pt idx="94">
                  <c:v>764.08985958329765</c:v>
                </c:pt>
                <c:pt idx="95">
                  <c:v>764.08985958329765</c:v>
                </c:pt>
                <c:pt idx="96">
                  <c:v>764.08985958329765</c:v>
                </c:pt>
                <c:pt idx="97">
                  <c:v>764.08985958329765</c:v>
                </c:pt>
                <c:pt idx="98">
                  <c:v>764.08985958329765</c:v>
                </c:pt>
                <c:pt idx="99">
                  <c:v>764.08985958329765</c:v>
                </c:pt>
                <c:pt idx="100">
                  <c:v>764.08985958329765</c:v>
                </c:pt>
                <c:pt idx="101">
                  <c:v>764.08985958329765</c:v>
                </c:pt>
                <c:pt idx="102">
                  <c:v>764.08985958329765</c:v>
                </c:pt>
                <c:pt idx="103">
                  <c:v>764.08985958329765</c:v>
                </c:pt>
                <c:pt idx="104">
                  <c:v>764.08985958329765</c:v>
                </c:pt>
                <c:pt idx="105">
                  <c:v>764.08985958329765</c:v>
                </c:pt>
                <c:pt idx="106">
                  <c:v>764.08985958329765</c:v>
                </c:pt>
                <c:pt idx="107">
                  <c:v>764.08985958329765</c:v>
                </c:pt>
                <c:pt idx="108">
                  <c:v>764.08985958329765</c:v>
                </c:pt>
                <c:pt idx="109">
                  <c:v>764.08985958329765</c:v>
                </c:pt>
                <c:pt idx="110">
                  <c:v>764.08985958329765</c:v>
                </c:pt>
                <c:pt idx="111">
                  <c:v>764.08985958329765</c:v>
                </c:pt>
                <c:pt idx="112">
                  <c:v>764.08985958329765</c:v>
                </c:pt>
                <c:pt idx="113">
                  <c:v>764.08985958329765</c:v>
                </c:pt>
                <c:pt idx="114">
                  <c:v>764.08985958329765</c:v>
                </c:pt>
                <c:pt idx="115">
                  <c:v>764.08985958329765</c:v>
                </c:pt>
                <c:pt idx="116">
                  <c:v>764.08985958329765</c:v>
                </c:pt>
                <c:pt idx="117">
                  <c:v>764.08985958329765</c:v>
                </c:pt>
                <c:pt idx="118">
                  <c:v>764.08985958329765</c:v>
                </c:pt>
                <c:pt idx="119">
                  <c:v>764.08985958329765</c:v>
                </c:pt>
                <c:pt idx="120">
                  <c:v>764.08985958329765</c:v>
                </c:pt>
                <c:pt idx="121">
                  <c:v>764.08985958329765</c:v>
                </c:pt>
                <c:pt idx="122">
                  <c:v>764.08985958329765</c:v>
                </c:pt>
                <c:pt idx="123">
                  <c:v>764.08985958329765</c:v>
                </c:pt>
                <c:pt idx="124">
                  <c:v>764.08985958329765</c:v>
                </c:pt>
                <c:pt idx="125">
                  <c:v>764.08985958329765</c:v>
                </c:pt>
                <c:pt idx="126">
                  <c:v>764.08985958329765</c:v>
                </c:pt>
                <c:pt idx="127">
                  <c:v>764.08985958329765</c:v>
                </c:pt>
                <c:pt idx="128">
                  <c:v>764.08985958329765</c:v>
                </c:pt>
                <c:pt idx="129">
                  <c:v>764.08985958329765</c:v>
                </c:pt>
                <c:pt idx="130">
                  <c:v>764.08985958329765</c:v>
                </c:pt>
                <c:pt idx="131">
                  <c:v>764.08985958329765</c:v>
                </c:pt>
                <c:pt idx="132">
                  <c:v>764.08985958329765</c:v>
                </c:pt>
                <c:pt idx="133">
                  <c:v>764.08985958329765</c:v>
                </c:pt>
                <c:pt idx="134">
                  <c:v>764.08985958329765</c:v>
                </c:pt>
                <c:pt idx="135">
                  <c:v>764.08985958329765</c:v>
                </c:pt>
                <c:pt idx="136">
                  <c:v>764.08985958329765</c:v>
                </c:pt>
                <c:pt idx="137">
                  <c:v>764.08985958329765</c:v>
                </c:pt>
                <c:pt idx="138">
                  <c:v>764.08985958329765</c:v>
                </c:pt>
                <c:pt idx="139">
                  <c:v>764.08985958329765</c:v>
                </c:pt>
                <c:pt idx="140">
                  <c:v>764.08985958329765</c:v>
                </c:pt>
                <c:pt idx="141">
                  <c:v>764.08985958329765</c:v>
                </c:pt>
                <c:pt idx="142">
                  <c:v>764.08985958329765</c:v>
                </c:pt>
                <c:pt idx="143">
                  <c:v>764.08985958329765</c:v>
                </c:pt>
                <c:pt idx="144">
                  <c:v>764.08985958329765</c:v>
                </c:pt>
                <c:pt idx="145">
                  <c:v>764.08985958329765</c:v>
                </c:pt>
                <c:pt idx="146">
                  <c:v>764.08985958329765</c:v>
                </c:pt>
                <c:pt idx="147">
                  <c:v>764.08985958329765</c:v>
                </c:pt>
                <c:pt idx="148">
                  <c:v>764.08985958329765</c:v>
                </c:pt>
                <c:pt idx="149">
                  <c:v>764.08985958329765</c:v>
                </c:pt>
                <c:pt idx="150">
                  <c:v>764.08985958329765</c:v>
                </c:pt>
                <c:pt idx="151">
                  <c:v>764.08985958329765</c:v>
                </c:pt>
                <c:pt idx="152">
                  <c:v>764.08985958329765</c:v>
                </c:pt>
                <c:pt idx="153">
                  <c:v>764.08985958329765</c:v>
                </c:pt>
                <c:pt idx="154">
                  <c:v>764.08985958329765</c:v>
                </c:pt>
                <c:pt idx="155">
                  <c:v>764.08985958329765</c:v>
                </c:pt>
                <c:pt idx="156">
                  <c:v>764.08985958329765</c:v>
                </c:pt>
                <c:pt idx="157">
                  <c:v>764.08985958329765</c:v>
                </c:pt>
                <c:pt idx="158">
                  <c:v>764.08985958329765</c:v>
                </c:pt>
                <c:pt idx="159">
                  <c:v>764.08985958329765</c:v>
                </c:pt>
                <c:pt idx="160">
                  <c:v>764.08985958329765</c:v>
                </c:pt>
                <c:pt idx="161">
                  <c:v>764.08985958329765</c:v>
                </c:pt>
                <c:pt idx="162">
                  <c:v>764.08985958329765</c:v>
                </c:pt>
                <c:pt idx="163">
                  <c:v>764.08985958329765</c:v>
                </c:pt>
                <c:pt idx="164">
                  <c:v>764.08985958329765</c:v>
                </c:pt>
                <c:pt idx="165">
                  <c:v>764.08985958329765</c:v>
                </c:pt>
                <c:pt idx="166">
                  <c:v>764.08985958329765</c:v>
                </c:pt>
                <c:pt idx="167">
                  <c:v>764.08985958329765</c:v>
                </c:pt>
                <c:pt idx="168">
                  <c:v>764.08985958329765</c:v>
                </c:pt>
                <c:pt idx="169">
                  <c:v>764.08985958329765</c:v>
                </c:pt>
                <c:pt idx="170">
                  <c:v>764.08985958329765</c:v>
                </c:pt>
                <c:pt idx="171">
                  <c:v>764.08985958329765</c:v>
                </c:pt>
                <c:pt idx="172">
                  <c:v>764.08985958329765</c:v>
                </c:pt>
                <c:pt idx="173">
                  <c:v>764.08985958329765</c:v>
                </c:pt>
                <c:pt idx="174">
                  <c:v>764.08985958329765</c:v>
                </c:pt>
                <c:pt idx="175">
                  <c:v>764.08985958329765</c:v>
                </c:pt>
                <c:pt idx="176">
                  <c:v>764.08985958329765</c:v>
                </c:pt>
                <c:pt idx="177">
                  <c:v>764.08985958329765</c:v>
                </c:pt>
                <c:pt idx="178">
                  <c:v>764.08985958329765</c:v>
                </c:pt>
                <c:pt idx="179">
                  <c:v>764.08985958329765</c:v>
                </c:pt>
                <c:pt idx="180">
                  <c:v>764.08985958329765</c:v>
                </c:pt>
                <c:pt idx="181">
                  <c:v>764.08985958329765</c:v>
                </c:pt>
                <c:pt idx="182">
                  <c:v>764.08985958329765</c:v>
                </c:pt>
                <c:pt idx="183">
                  <c:v>764.08985958329765</c:v>
                </c:pt>
                <c:pt idx="184">
                  <c:v>764.08985958329765</c:v>
                </c:pt>
                <c:pt idx="185">
                  <c:v>764.08985958329765</c:v>
                </c:pt>
                <c:pt idx="186">
                  <c:v>764.08985958329765</c:v>
                </c:pt>
                <c:pt idx="187">
                  <c:v>764.08985958329765</c:v>
                </c:pt>
                <c:pt idx="188">
                  <c:v>764.08985958329765</c:v>
                </c:pt>
                <c:pt idx="189">
                  <c:v>764.08985958329765</c:v>
                </c:pt>
                <c:pt idx="190">
                  <c:v>764.08985958329765</c:v>
                </c:pt>
                <c:pt idx="191">
                  <c:v>764.08985958329765</c:v>
                </c:pt>
                <c:pt idx="192">
                  <c:v>764.08985958329765</c:v>
                </c:pt>
                <c:pt idx="193">
                  <c:v>764.08985958329765</c:v>
                </c:pt>
                <c:pt idx="194">
                  <c:v>764.08985958329765</c:v>
                </c:pt>
                <c:pt idx="195">
                  <c:v>764.08985958329765</c:v>
                </c:pt>
                <c:pt idx="196">
                  <c:v>764.08985958329765</c:v>
                </c:pt>
                <c:pt idx="197">
                  <c:v>764.08985958329765</c:v>
                </c:pt>
                <c:pt idx="198">
                  <c:v>764.08985958329765</c:v>
                </c:pt>
                <c:pt idx="199">
                  <c:v>764.08985958329765</c:v>
                </c:pt>
                <c:pt idx="200">
                  <c:v>764.08985958329765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3.6277162303004009</c:v>
                </c:pt>
                <c:pt idx="2">
                  <c:v>4.8195185745216378</c:v>
                </c:pt>
                <c:pt idx="3">
                  <c:v>6.4044367808856295</c:v>
                </c:pt>
                <c:pt idx="4">
                  <c:v>8.512628356706216</c:v>
                </c:pt>
                <c:pt idx="5">
                  <c:v>11.317495522198413</c:v>
                </c:pt>
                <c:pt idx="6">
                  <c:v>15.050099505558387</c:v>
                </c:pt>
                <c:pt idx="7">
                  <c:v>20.018393571096873</c:v>
                </c:pt>
                <c:pt idx="8">
                  <c:v>26.632890019745123</c:v>
                </c:pt>
                <c:pt idx="9">
                  <c:v>35.440919145833035</c:v>
                </c:pt>
                <c:pt idx="10">
                  <c:v>47.172363648455985</c:v>
                </c:pt>
                <c:pt idx="11">
                  <c:v>65.420112472510155</c:v>
                </c:pt>
                <c:pt idx="12">
                  <c:v>100.13132401779355</c:v>
                </c:pt>
                <c:pt idx="13">
                  <c:v>134.53912892670354</c:v>
                </c:pt>
                <c:pt idx="14">
                  <c:v>168.73326960203974</c:v>
                </c:pt>
                <c:pt idx="15">
                  <c:v>202.7634327562281</c:v>
                </c:pt>
                <c:pt idx="16">
                  <c:v>142.04989216192445</c:v>
                </c:pt>
                <c:pt idx="17">
                  <c:v>179.47104913917383</c:v>
                </c:pt>
                <c:pt idx="18">
                  <c:v>216.70861540949173</c:v>
                </c:pt>
                <c:pt idx="19">
                  <c:v>253.79867396956942</c:v>
                </c:pt>
                <c:pt idx="20">
                  <c:v>290.76583591551019</c:v>
                </c:pt>
                <c:pt idx="21">
                  <c:v>232.4882903723784</c:v>
                </c:pt>
                <c:pt idx="22">
                  <c:v>271.37218356115181</c:v>
                </c:pt>
                <c:pt idx="23">
                  <c:v>310.1305970635114</c:v>
                </c:pt>
                <c:pt idx="24">
                  <c:v>348.78141315092802</c:v>
                </c:pt>
                <c:pt idx="25">
                  <c:v>387.33822121677053</c:v>
                </c:pt>
                <c:pt idx="26">
                  <c:v>328.5482515646346</c:v>
                </c:pt>
                <c:pt idx="27">
                  <c:v>366.2347272721891</c:v>
                </c:pt>
                <c:pt idx="28">
                  <c:v>403.83651259651884</c:v>
                </c:pt>
                <c:pt idx="29">
                  <c:v>441.36259093273458</c:v>
                </c:pt>
                <c:pt idx="30">
                  <c:v>478.82029402342158</c:v>
                </c:pt>
                <c:pt idx="31">
                  <c:v>417.57392988530086</c:v>
                </c:pt>
                <c:pt idx="32">
                  <c:v>452.33260619209045</c:v>
                </c:pt>
                <c:pt idx="33">
                  <c:v>487.03418800989158</c:v>
                </c:pt>
                <c:pt idx="34">
                  <c:v>521.68330874479648</c:v>
                </c:pt>
                <c:pt idx="35">
                  <c:v>556.28393680147121</c:v>
                </c:pt>
                <c:pt idx="36">
                  <c:v>490.6838605492531</c:v>
                </c:pt>
                <c:pt idx="37">
                  <c:v>520.77212718922112</c:v>
                </c:pt>
                <c:pt idx="38">
                  <c:v>550.82375783003147</c:v>
                </c:pt>
                <c:pt idx="39">
                  <c:v>580.84102935487113</c:v>
                </c:pt>
                <c:pt idx="40">
                  <c:v>610.82596442485954</c:v>
                </c:pt>
                <c:pt idx="41">
                  <c:v>545.81759687725526</c:v>
                </c:pt>
                <c:pt idx="42">
                  <c:v>571.74838952524453</c:v>
                </c:pt>
                <c:pt idx="43">
                  <c:v>597.65462796673489</c:v>
                </c:pt>
                <c:pt idx="44">
                  <c:v>623.53752489311125</c:v>
                </c:pt>
                <c:pt idx="45">
                  <c:v>649.39818423428244</c:v>
                </c:pt>
                <c:pt idx="46">
                  <c:v>612.64223485726745</c:v>
                </c:pt>
                <c:pt idx="47">
                  <c:v>634.8825955016714</c:v>
                </c:pt>
                <c:pt idx="48">
                  <c:v>657.10685920908043</c:v>
                </c:pt>
                <c:pt idx="49">
                  <c:v>679.31564640764952</c:v>
                </c:pt>
                <c:pt idx="50">
                  <c:v>701.50953369741853</c:v>
                </c:pt>
                <c:pt idx="51">
                  <c:v>672.97182347707292</c:v>
                </c:pt>
                <c:pt idx="52">
                  <c:v>691.99965688460543</c:v>
                </c:pt>
                <c:pt idx="53">
                  <c:v>711.01677290251075</c:v>
                </c:pt>
                <c:pt idx="54">
                  <c:v>730.02349825821148</c:v>
                </c:pt>
                <c:pt idx="55">
                  <c:v>749.02014129648762</c:v>
                </c:pt>
                <c:pt idx="56">
                  <c:v>725.04653311549464</c:v>
                </c:pt>
                <c:pt idx="57">
                  <c:v>741.78449484387409</c:v>
                </c:pt>
                <c:pt idx="58">
                  <c:v>758.5147736462053</c:v>
                </c:pt>
                <c:pt idx="59">
                  <c:v>775.23756269450269</c:v>
                </c:pt>
                <c:pt idx="60">
                  <c:v>791.95304615543648</c:v>
                </c:pt>
                <c:pt idx="61">
                  <c:v>767.10307553239488</c:v>
                </c:pt>
                <c:pt idx="62">
                  <c:v>780.65959237351797</c:v>
                </c:pt>
                <c:pt idx="63">
                  <c:v>794.21134463501573</c:v>
                </c:pt>
                <c:pt idx="64">
                  <c:v>807.75842500858482</c:v>
                </c:pt>
                <c:pt idx="65">
                  <c:v>821.30092282582257</c:v>
                </c:pt>
                <c:pt idx="66">
                  <c:v>796.92113155492189</c:v>
                </c:pt>
                <c:pt idx="67">
                  <c:v>808.66139979522961</c:v>
                </c:pt>
                <c:pt idx="68">
                  <c:v>820.39823046272056</c:v>
                </c:pt>
                <c:pt idx="69">
                  <c:v>832.13167963312344</c:v>
                </c:pt>
                <c:pt idx="70">
                  <c:v>843.86180167297755</c:v>
                </c:pt>
                <c:pt idx="71">
                  <c:v>820.84957914370432</c:v>
                </c:pt>
                <c:pt idx="72">
                  <c:v>831.68045499172024</c:v>
                </c:pt>
                <c:pt idx="73">
                  <c:v>842.50849414988704</c:v>
                </c:pt>
                <c:pt idx="74">
                  <c:v>853.33373818987855</c:v>
                </c:pt>
                <c:pt idx="75">
                  <c:v>864.15622754335902</c:v>
                </c:pt>
                <c:pt idx="76">
                  <c:v>841.60626487707111</c:v>
                </c:pt>
                <c:pt idx="77">
                  <c:v>850.62768699205606</c:v>
                </c:pt>
                <c:pt idx="78">
                  <c:v>859.64718920292296</c:v>
                </c:pt>
                <c:pt idx="79">
                  <c:v>868.66479448153507</c:v>
                </c:pt>
                <c:pt idx="80">
                  <c:v>877.68052528420856</c:v>
                </c:pt>
                <c:pt idx="81">
                  <c:v>848.37251236323561</c:v>
                </c:pt>
                <c:pt idx="82">
                  <c:v>848.37251236323561</c:v>
                </c:pt>
                <c:pt idx="83">
                  <c:v>848.37251236323561</c:v>
                </c:pt>
                <c:pt idx="84">
                  <c:v>848.37251236323561</c:v>
                </c:pt>
                <c:pt idx="85">
                  <c:v>848.37251236323561</c:v>
                </c:pt>
                <c:pt idx="86">
                  <c:v>848.37251236323561</c:v>
                </c:pt>
                <c:pt idx="87">
                  <c:v>848.37251236323561</c:v>
                </c:pt>
                <c:pt idx="88">
                  <c:v>848.37251236323561</c:v>
                </c:pt>
                <c:pt idx="89">
                  <c:v>848.37251236323561</c:v>
                </c:pt>
                <c:pt idx="90">
                  <c:v>848.37251236323561</c:v>
                </c:pt>
                <c:pt idx="91">
                  <c:v>848.37251236323561</c:v>
                </c:pt>
                <c:pt idx="92">
                  <c:v>848.37251236323561</c:v>
                </c:pt>
                <c:pt idx="93">
                  <c:v>848.37251236323561</c:v>
                </c:pt>
                <c:pt idx="94">
                  <c:v>848.37251236323561</c:v>
                </c:pt>
                <c:pt idx="95">
                  <c:v>848.37251236323561</c:v>
                </c:pt>
                <c:pt idx="96">
                  <c:v>848.37251236323561</c:v>
                </c:pt>
                <c:pt idx="97">
                  <c:v>848.37251236323561</c:v>
                </c:pt>
                <c:pt idx="98">
                  <c:v>848.37251236323561</c:v>
                </c:pt>
                <c:pt idx="99">
                  <c:v>848.37251236323561</c:v>
                </c:pt>
                <c:pt idx="100">
                  <c:v>848.37251236323561</c:v>
                </c:pt>
                <c:pt idx="101">
                  <c:v>848.37251236323561</c:v>
                </c:pt>
                <c:pt idx="102">
                  <c:v>848.37251236323561</c:v>
                </c:pt>
                <c:pt idx="103">
                  <c:v>848.37251236323561</c:v>
                </c:pt>
                <c:pt idx="104">
                  <c:v>848.37251236323561</c:v>
                </c:pt>
                <c:pt idx="105">
                  <c:v>848.37251236323561</c:v>
                </c:pt>
                <c:pt idx="106">
                  <c:v>848.37251236323561</c:v>
                </c:pt>
                <c:pt idx="107">
                  <c:v>848.37251236323561</c:v>
                </c:pt>
                <c:pt idx="108">
                  <c:v>848.37251236323561</c:v>
                </c:pt>
                <c:pt idx="109">
                  <c:v>848.37251236323561</c:v>
                </c:pt>
                <c:pt idx="110">
                  <c:v>848.37251236323561</c:v>
                </c:pt>
                <c:pt idx="111">
                  <c:v>848.37251236323561</c:v>
                </c:pt>
                <c:pt idx="112">
                  <c:v>848.37251236323561</c:v>
                </c:pt>
                <c:pt idx="113">
                  <c:v>848.37251236323561</c:v>
                </c:pt>
                <c:pt idx="114">
                  <c:v>848.37251236323561</c:v>
                </c:pt>
                <c:pt idx="115">
                  <c:v>848.37251236323561</c:v>
                </c:pt>
                <c:pt idx="116">
                  <c:v>848.37251236323561</c:v>
                </c:pt>
                <c:pt idx="117">
                  <c:v>848.37251236323561</c:v>
                </c:pt>
                <c:pt idx="118">
                  <c:v>848.37251236323561</c:v>
                </c:pt>
                <c:pt idx="119">
                  <c:v>848.37251236323561</c:v>
                </c:pt>
                <c:pt idx="120">
                  <c:v>848.37251236323561</c:v>
                </c:pt>
                <c:pt idx="121">
                  <c:v>848.37251236323561</c:v>
                </c:pt>
                <c:pt idx="122">
                  <c:v>848.37251236323561</c:v>
                </c:pt>
                <c:pt idx="123">
                  <c:v>848.37251236323561</c:v>
                </c:pt>
                <c:pt idx="124">
                  <c:v>848.37251236323561</c:v>
                </c:pt>
                <c:pt idx="125">
                  <c:v>848.37251236323561</c:v>
                </c:pt>
                <c:pt idx="126">
                  <c:v>848.37251236323561</c:v>
                </c:pt>
                <c:pt idx="127">
                  <c:v>848.37251236323561</c:v>
                </c:pt>
                <c:pt idx="128">
                  <c:v>848.37251236323561</c:v>
                </c:pt>
                <c:pt idx="129">
                  <c:v>848.37251236323561</c:v>
                </c:pt>
                <c:pt idx="130">
                  <c:v>848.37251236323561</c:v>
                </c:pt>
                <c:pt idx="131">
                  <c:v>848.37251236323561</c:v>
                </c:pt>
                <c:pt idx="132">
                  <c:v>848.37251236323561</c:v>
                </c:pt>
                <c:pt idx="133">
                  <c:v>848.37251236323561</c:v>
                </c:pt>
                <c:pt idx="134">
                  <c:v>848.37251236323561</c:v>
                </c:pt>
                <c:pt idx="135">
                  <c:v>848.37251236323561</c:v>
                </c:pt>
                <c:pt idx="136">
                  <c:v>848.37251236323561</c:v>
                </c:pt>
                <c:pt idx="137">
                  <c:v>848.37251236323561</c:v>
                </c:pt>
                <c:pt idx="138">
                  <c:v>848.37251236323561</c:v>
                </c:pt>
                <c:pt idx="139">
                  <c:v>848.37251236323561</c:v>
                </c:pt>
                <c:pt idx="140">
                  <c:v>848.37251236323561</c:v>
                </c:pt>
                <c:pt idx="141">
                  <c:v>848.37251236323561</c:v>
                </c:pt>
                <c:pt idx="142">
                  <c:v>848.37251236323561</c:v>
                </c:pt>
                <c:pt idx="143">
                  <c:v>848.37251236323561</c:v>
                </c:pt>
                <c:pt idx="144">
                  <c:v>848.37251236323561</c:v>
                </c:pt>
                <c:pt idx="145">
                  <c:v>848.37251236323561</c:v>
                </c:pt>
                <c:pt idx="146">
                  <c:v>848.37251236323561</c:v>
                </c:pt>
                <c:pt idx="147">
                  <c:v>848.37251236323561</c:v>
                </c:pt>
                <c:pt idx="148">
                  <c:v>848.37251236323561</c:v>
                </c:pt>
                <c:pt idx="149">
                  <c:v>848.37251236323561</c:v>
                </c:pt>
                <c:pt idx="150">
                  <c:v>848.37251236323561</c:v>
                </c:pt>
                <c:pt idx="151">
                  <c:v>848.37251236323561</c:v>
                </c:pt>
                <c:pt idx="152">
                  <c:v>848.37251236323561</c:v>
                </c:pt>
                <c:pt idx="153">
                  <c:v>848.37251236323561</c:v>
                </c:pt>
                <c:pt idx="154">
                  <c:v>848.37251236323561</c:v>
                </c:pt>
                <c:pt idx="155">
                  <c:v>848.37251236323561</c:v>
                </c:pt>
                <c:pt idx="156">
                  <c:v>848.37251236323561</c:v>
                </c:pt>
                <c:pt idx="157">
                  <c:v>848.37251236323561</c:v>
                </c:pt>
                <c:pt idx="158">
                  <c:v>848.37251236323561</c:v>
                </c:pt>
                <c:pt idx="159">
                  <c:v>848.37251236323561</c:v>
                </c:pt>
                <c:pt idx="160">
                  <c:v>848.37251236323561</c:v>
                </c:pt>
                <c:pt idx="161">
                  <c:v>848.37251236323561</c:v>
                </c:pt>
                <c:pt idx="162">
                  <c:v>848.37251236323561</c:v>
                </c:pt>
                <c:pt idx="163">
                  <c:v>848.37251236323561</c:v>
                </c:pt>
                <c:pt idx="164">
                  <c:v>848.37251236323561</c:v>
                </c:pt>
                <c:pt idx="165">
                  <c:v>848.37251236323561</c:v>
                </c:pt>
                <c:pt idx="166">
                  <c:v>848.37251236323561</c:v>
                </c:pt>
                <c:pt idx="167">
                  <c:v>848.37251236323561</c:v>
                </c:pt>
                <c:pt idx="168">
                  <c:v>848.37251236323561</c:v>
                </c:pt>
                <c:pt idx="169">
                  <c:v>848.37251236323561</c:v>
                </c:pt>
                <c:pt idx="170">
                  <c:v>848.37251236323561</c:v>
                </c:pt>
                <c:pt idx="171">
                  <c:v>848.37251236323561</c:v>
                </c:pt>
                <c:pt idx="172">
                  <c:v>848.37251236323561</c:v>
                </c:pt>
                <c:pt idx="173">
                  <c:v>848.37251236323561</c:v>
                </c:pt>
                <c:pt idx="174">
                  <c:v>848.37251236323561</c:v>
                </c:pt>
                <c:pt idx="175">
                  <c:v>848.37251236323561</c:v>
                </c:pt>
                <c:pt idx="176">
                  <c:v>848.37251236323561</c:v>
                </c:pt>
                <c:pt idx="177">
                  <c:v>848.37251236323561</c:v>
                </c:pt>
                <c:pt idx="178">
                  <c:v>848.37251236323561</c:v>
                </c:pt>
                <c:pt idx="179">
                  <c:v>848.37251236323561</c:v>
                </c:pt>
                <c:pt idx="180">
                  <c:v>848.37251236323561</c:v>
                </c:pt>
                <c:pt idx="181">
                  <c:v>848.37251236323561</c:v>
                </c:pt>
                <c:pt idx="182">
                  <c:v>848.37251236323561</c:v>
                </c:pt>
                <c:pt idx="183">
                  <c:v>848.37251236323561</c:v>
                </c:pt>
                <c:pt idx="184">
                  <c:v>848.37251236323561</c:v>
                </c:pt>
                <c:pt idx="185">
                  <c:v>848.37251236323561</c:v>
                </c:pt>
                <c:pt idx="186">
                  <c:v>848.37251236323561</c:v>
                </c:pt>
                <c:pt idx="187">
                  <c:v>848.37251236323561</c:v>
                </c:pt>
                <c:pt idx="188">
                  <c:v>848.37251236323561</c:v>
                </c:pt>
                <c:pt idx="189">
                  <c:v>848.37251236323561</c:v>
                </c:pt>
                <c:pt idx="190">
                  <c:v>848.37251236323561</c:v>
                </c:pt>
                <c:pt idx="191">
                  <c:v>848.37251236323561</c:v>
                </c:pt>
                <c:pt idx="192">
                  <c:v>848.37251236323561</c:v>
                </c:pt>
                <c:pt idx="193">
                  <c:v>848.37251236323561</c:v>
                </c:pt>
                <c:pt idx="194">
                  <c:v>848.37251236323561</c:v>
                </c:pt>
                <c:pt idx="195">
                  <c:v>848.37251236323561</c:v>
                </c:pt>
                <c:pt idx="196">
                  <c:v>848.37251236323561</c:v>
                </c:pt>
                <c:pt idx="197">
                  <c:v>848.37251236323561</c:v>
                </c:pt>
                <c:pt idx="198">
                  <c:v>848.37251236323561</c:v>
                </c:pt>
                <c:pt idx="199">
                  <c:v>848.37251236323561</c:v>
                </c:pt>
                <c:pt idx="200">
                  <c:v>848.37251236323561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3.6478320842809002</c:v>
                </c:pt>
                <c:pt idx="2">
                  <c:v>5.4888113938390939</c:v>
                </c:pt>
                <c:pt idx="3">
                  <c:v>8.2630711961834677</c:v>
                </c:pt>
                <c:pt idx="4">
                  <c:v>12.445716776587718</c:v>
                </c:pt>
                <c:pt idx="5">
                  <c:v>18.754649901949108</c:v>
                </c:pt>
                <c:pt idx="6">
                  <c:v>28.275085946356018</c:v>
                </c:pt>
                <c:pt idx="7">
                  <c:v>42.648134594681913</c:v>
                </c:pt>
                <c:pt idx="8">
                  <c:v>64.356500432720807</c:v>
                </c:pt>
                <c:pt idx="9">
                  <c:v>97.157461088554427</c:v>
                </c:pt>
                <c:pt idx="10">
                  <c:v>146.73924981884886</c:v>
                </c:pt>
                <c:pt idx="11">
                  <c:v>152.12419837927632</c:v>
                </c:pt>
                <c:pt idx="12">
                  <c:v>178.15925645679491</c:v>
                </c:pt>
                <c:pt idx="13">
                  <c:v>204.10499633865859</c:v>
                </c:pt>
                <c:pt idx="14">
                  <c:v>229.97437815272824</c:v>
                </c:pt>
                <c:pt idx="15">
                  <c:v>255.77720054110179</c:v>
                </c:pt>
                <c:pt idx="16">
                  <c:v>243.08836905362054</c:v>
                </c:pt>
                <c:pt idx="17">
                  <c:v>267.2258199663134</c:v>
                </c:pt>
                <c:pt idx="18">
                  <c:v>291.31415591858644</c:v>
                </c:pt>
                <c:pt idx="19">
                  <c:v>315.35800710080184</c:v>
                </c:pt>
                <c:pt idx="20">
                  <c:v>339.36123992303641</c:v>
                </c:pt>
                <c:pt idx="21">
                  <c:v>314.13644855888282</c:v>
                </c:pt>
                <c:pt idx="22">
                  <c:v>335.70221902604521</c:v>
                </c:pt>
                <c:pt idx="23">
                  <c:v>357.23748471969321</c:v>
                </c:pt>
                <c:pt idx="24">
                  <c:v>378.74434206791716</c:v>
                </c:pt>
                <c:pt idx="25">
                  <c:v>400.22463007117284</c:v>
                </c:pt>
                <c:pt idx="26">
                  <c:v>364.95065602483146</c:v>
                </c:pt>
                <c:pt idx="27">
                  <c:v>384.42089256182908</c:v>
                </c:pt>
                <c:pt idx="28">
                  <c:v>403.86970679521164</c:v>
                </c:pt>
                <c:pt idx="29">
                  <c:v>423.29827493076988</c:v>
                </c:pt>
                <c:pt idx="30">
                  <c:v>442.70765644555922</c:v>
                </c:pt>
                <c:pt idx="31">
                  <c:v>401.8447524749663</c:v>
                </c:pt>
                <c:pt idx="32">
                  <c:v>419.65691037033866</c:v>
                </c:pt>
                <c:pt idx="33">
                  <c:v>437.45278720748735</c:v>
                </c:pt>
                <c:pt idx="34">
                  <c:v>455.23313822520032</c:v>
                </c:pt>
                <c:pt idx="35">
                  <c:v>472.99865488119264</c:v>
                </c:pt>
                <c:pt idx="36">
                  <c:v>428.96128205537462</c:v>
                </c:pt>
                <c:pt idx="37">
                  <c:v>445.53664668300212</c:v>
                </c:pt>
                <c:pt idx="38">
                  <c:v>462.09881038696238</c:v>
                </c:pt>
                <c:pt idx="39">
                  <c:v>478.64831272470036</c:v>
                </c:pt>
                <c:pt idx="40">
                  <c:v>495.1856529153103</c:v>
                </c:pt>
                <c:pt idx="41">
                  <c:v>447.96118916963201</c:v>
                </c:pt>
                <c:pt idx="42">
                  <c:v>463.31017262893664</c:v>
                </c:pt>
                <c:pt idx="43">
                  <c:v>478.64831272470025</c:v>
                </c:pt>
                <c:pt idx="44">
                  <c:v>493.9760057473502</c:v>
                </c:pt>
                <c:pt idx="45">
                  <c:v>509.29362139720416</c:v>
                </c:pt>
                <c:pt idx="46">
                  <c:v>462.09881038696216</c:v>
                </c:pt>
                <c:pt idx="47">
                  <c:v>477.43779176321937</c:v>
                </c:pt>
                <c:pt idx="48">
                  <c:v>492.76629578266881</c:v>
                </c:pt>
                <c:pt idx="49">
                  <c:v>508.08469414781143</c:v>
                </c:pt>
                <c:pt idx="50">
                  <c:v>523.39333432879209</c:v>
                </c:pt>
                <c:pt idx="51">
                  <c:v>475.01655378575657</c:v>
                </c:pt>
                <c:pt idx="52">
                  <c:v>489.13678734186618</c:v>
                </c:pt>
                <c:pt idx="53">
                  <c:v>503.24837540475619</c:v>
                </c:pt>
                <c:pt idx="54">
                  <c:v>517.35159448620539</c:v>
                </c:pt>
                <c:pt idx="55">
                  <c:v>531.44670479747981</c:v>
                </c:pt>
                <c:pt idx="56">
                  <c:v>484.29655280391262</c:v>
                </c:pt>
                <c:pt idx="57">
                  <c:v>497.60475956110258</c:v>
                </c:pt>
                <c:pt idx="58">
                  <c:v>510.90543009043807</c:v>
                </c:pt>
                <c:pt idx="59">
                  <c:v>524.19878818539246</c:v>
                </c:pt>
                <c:pt idx="60">
                  <c:v>537.48504536607982</c:v>
                </c:pt>
                <c:pt idx="61">
                  <c:v>490.34668675751186</c:v>
                </c:pt>
                <c:pt idx="62">
                  <c:v>503.65143938740738</c:v>
                </c:pt>
                <c:pt idx="63">
                  <c:v>516.94875910132259</c:v>
                </c:pt>
                <c:pt idx="64">
                  <c:v>530.23886398734817</c:v>
                </c:pt>
                <c:pt idx="65">
                  <c:v>543.52196031239748</c:v>
                </c:pt>
                <c:pt idx="66">
                  <c:v>497.60475956110258</c:v>
                </c:pt>
                <c:pt idx="67">
                  <c:v>510.09953919582307</c:v>
                </c:pt>
                <c:pt idx="68">
                  <c:v>522.58785434745266</c:v>
                </c:pt>
                <c:pt idx="69">
                  <c:v>535.06988124028646</c:v>
                </c:pt>
                <c:pt idx="70">
                  <c:v>547.5457872078947</c:v>
                </c:pt>
                <c:pt idx="71">
                  <c:v>502.84530459138995</c:v>
                </c:pt>
                <c:pt idx="72">
                  <c:v>514.53160747513618</c:v>
                </c:pt>
                <c:pt idx="73">
                  <c:v>526.21230883170017</c:v>
                </c:pt>
                <c:pt idx="74">
                  <c:v>537.88755051291139</c:v>
                </c:pt>
                <c:pt idx="75">
                  <c:v>549.55746771122074</c:v>
                </c:pt>
                <c:pt idx="76">
                  <c:v>506.47269652918186</c:v>
                </c:pt>
                <c:pt idx="77">
                  <c:v>517.75442325269705</c:v>
                </c:pt>
                <c:pt idx="78">
                  <c:v>529.03096526266233</c:v>
                </c:pt>
                <c:pt idx="79">
                  <c:v>540.30244864194128</c:v>
                </c:pt>
                <c:pt idx="80">
                  <c:v>551.56899378437436</c:v>
                </c:pt>
                <c:pt idx="81">
                  <c:v>510.09953919582313</c:v>
                </c:pt>
                <c:pt idx="82">
                  <c:v>520.97681582637517</c:v>
                </c:pt>
                <c:pt idx="83">
                  <c:v>531.84930555696269</c:v>
                </c:pt>
                <c:pt idx="84">
                  <c:v>542.71712003460118</c:v>
                </c:pt>
                <c:pt idx="85">
                  <c:v>553.58036607052361</c:v>
                </c:pt>
                <c:pt idx="86">
                  <c:v>513.32294183422573</c:v>
                </c:pt>
                <c:pt idx="87">
                  <c:v>523.39333432879232</c:v>
                </c:pt>
                <c:pt idx="88">
                  <c:v>533.45964452335932</c:v>
                </c:pt>
                <c:pt idx="89">
                  <c:v>543.52196031239748</c:v>
                </c:pt>
                <c:pt idx="90">
                  <c:v>553.58036607052361</c:v>
                </c:pt>
                <c:pt idx="91">
                  <c:v>515.33735125988142</c:v>
                </c:pt>
                <c:pt idx="92">
                  <c:v>525.40692008667054</c:v>
                </c:pt>
                <c:pt idx="93">
                  <c:v>535.47242448427414</c:v>
                </c:pt>
                <c:pt idx="94">
                  <c:v>545.533951626109</c:v>
                </c:pt>
                <c:pt idx="95">
                  <c:v>555.59158520777839</c:v>
                </c:pt>
                <c:pt idx="96">
                  <c:v>518.56006095402699</c:v>
                </c:pt>
                <c:pt idx="97">
                  <c:v>527.82300847233626</c:v>
                </c:pt>
                <c:pt idx="98">
                  <c:v>537.08253388331389</c:v>
                </c:pt>
                <c:pt idx="99">
                  <c:v>546.33870450994368</c:v>
                </c:pt>
                <c:pt idx="100">
                  <c:v>555.59158520777862</c:v>
                </c:pt>
                <c:pt idx="101">
                  <c:v>520.17125719416083</c:v>
                </c:pt>
                <c:pt idx="102">
                  <c:v>529.03096526266245</c:v>
                </c:pt>
                <c:pt idx="103">
                  <c:v>537.88755051291139</c:v>
                </c:pt>
                <c:pt idx="104">
                  <c:v>546.74107162107305</c:v>
                </c:pt>
                <c:pt idx="105">
                  <c:v>555.59158520777839</c:v>
                </c:pt>
                <c:pt idx="106">
                  <c:v>513.32294183422573</c:v>
                </c:pt>
                <c:pt idx="107">
                  <c:v>513.32294183422573</c:v>
                </c:pt>
                <c:pt idx="108">
                  <c:v>513.32294183422573</c:v>
                </c:pt>
                <c:pt idx="109">
                  <c:v>513.32294183422573</c:v>
                </c:pt>
                <c:pt idx="110">
                  <c:v>513.32294183422573</c:v>
                </c:pt>
                <c:pt idx="111">
                  <c:v>513.32294183422573</c:v>
                </c:pt>
                <c:pt idx="112">
                  <c:v>513.32294183422573</c:v>
                </c:pt>
                <c:pt idx="113">
                  <c:v>513.32294183422573</c:v>
                </c:pt>
                <c:pt idx="114">
                  <c:v>513.32294183422573</c:v>
                </c:pt>
                <c:pt idx="115">
                  <c:v>513.32294183422573</c:v>
                </c:pt>
                <c:pt idx="116">
                  <c:v>513.32294183422573</c:v>
                </c:pt>
                <c:pt idx="117">
                  <c:v>513.32294183422573</c:v>
                </c:pt>
                <c:pt idx="118">
                  <c:v>513.32294183422573</c:v>
                </c:pt>
                <c:pt idx="119">
                  <c:v>513.32294183422573</c:v>
                </c:pt>
                <c:pt idx="120">
                  <c:v>513.32294183422573</c:v>
                </c:pt>
                <c:pt idx="121">
                  <c:v>513.32294183422573</c:v>
                </c:pt>
                <c:pt idx="122">
                  <c:v>513.32294183422573</c:v>
                </c:pt>
                <c:pt idx="123">
                  <c:v>513.32294183422573</c:v>
                </c:pt>
                <c:pt idx="124">
                  <c:v>513.32294183422573</c:v>
                </c:pt>
                <c:pt idx="125">
                  <c:v>513.32294183422573</c:v>
                </c:pt>
                <c:pt idx="126">
                  <c:v>513.32294183422573</c:v>
                </c:pt>
                <c:pt idx="127">
                  <c:v>513.32294183422573</c:v>
                </c:pt>
                <c:pt idx="128">
                  <c:v>513.32294183422573</c:v>
                </c:pt>
                <c:pt idx="129">
                  <c:v>513.32294183422573</c:v>
                </c:pt>
                <c:pt idx="130">
                  <c:v>513.32294183422573</c:v>
                </c:pt>
                <c:pt idx="131">
                  <c:v>513.32294183422573</c:v>
                </c:pt>
                <c:pt idx="132">
                  <c:v>513.32294183422573</c:v>
                </c:pt>
                <c:pt idx="133">
                  <c:v>513.32294183422573</c:v>
                </c:pt>
                <c:pt idx="134">
                  <c:v>513.32294183422573</c:v>
                </c:pt>
                <c:pt idx="135">
                  <c:v>513.32294183422573</c:v>
                </c:pt>
                <c:pt idx="136">
                  <c:v>513.32294183422573</c:v>
                </c:pt>
                <c:pt idx="137">
                  <c:v>513.32294183422573</c:v>
                </c:pt>
                <c:pt idx="138">
                  <c:v>513.32294183422573</c:v>
                </c:pt>
                <c:pt idx="139">
                  <c:v>513.32294183422573</c:v>
                </c:pt>
                <c:pt idx="140">
                  <c:v>513.32294183422573</c:v>
                </c:pt>
                <c:pt idx="141">
                  <c:v>513.32294183422573</c:v>
                </c:pt>
                <c:pt idx="142">
                  <c:v>513.32294183422573</c:v>
                </c:pt>
                <c:pt idx="143">
                  <c:v>513.32294183422573</c:v>
                </c:pt>
                <c:pt idx="144">
                  <c:v>513.32294183422573</c:v>
                </c:pt>
                <c:pt idx="145">
                  <c:v>513.32294183422573</c:v>
                </c:pt>
                <c:pt idx="146">
                  <c:v>513.32294183422573</c:v>
                </c:pt>
                <c:pt idx="147">
                  <c:v>513.32294183422573</c:v>
                </c:pt>
                <c:pt idx="148">
                  <c:v>513.32294183422573</c:v>
                </c:pt>
                <c:pt idx="149">
                  <c:v>513.32294183422573</c:v>
                </c:pt>
                <c:pt idx="150">
                  <c:v>513.32294183422573</c:v>
                </c:pt>
                <c:pt idx="151">
                  <c:v>513.32294183422573</c:v>
                </c:pt>
                <c:pt idx="152">
                  <c:v>513.32294183422573</c:v>
                </c:pt>
                <c:pt idx="153">
                  <c:v>513.32294183422573</c:v>
                </c:pt>
                <c:pt idx="154">
                  <c:v>513.32294183422573</c:v>
                </c:pt>
                <c:pt idx="155">
                  <c:v>513.32294183422573</c:v>
                </c:pt>
                <c:pt idx="156">
                  <c:v>513.32294183422573</c:v>
                </c:pt>
                <c:pt idx="157">
                  <c:v>513.32294183422573</c:v>
                </c:pt>
                <c:pt idx="158">
                  <c:v>513.32294183422573</c:v>
                </c:pt>
                <c:pt idx="159">
                  <c:v>513.32294183422573</c:v>
                </c:pt>
                <c:pt idx="160">
                  <c:v>513.32294183422573</c:v>
                </c:pt>
                <c:pt idx="161">
                  <c:v>513.32294183422573</c:v>
                </c:pt>
                <c:pt idx="162">
                  <c:v>513.32294183422573</c:v>
                </c:pt>
                <c:pt idx="163">
                  <c:v>513.32294183422573</c:v>
                </c:pt>
                <c:pt idx="164">
                  <c:v>513.32294183422573</c:v>
                </c:pt>
                <c:pt idx="165">
                  <c:v>513.32294183422573</c:v>
                </c:pt>
                <c:pt idx="166">
                  <c:v>513.32294183422573</c:v>
                </c:pt>
                <c:pt idx="167">
                  <c:v>513.32294183422573</c:v>
                </c:pt>
                <c:pt idx="168">
                  <c:v>513.32294183422573</c:v>
                </c:pt>
                <c:pt idx="169">
                  <c:v>513.32294183422573</c:v>
                </c:pt>
                <c:pt idx="170">
                  <c:v>513.32294183422573</c:v>
                </c:pt>
                <c:pt idx="171">
                  <c:v>513.32294183422573</c:v>
                </c:pt>
                <c:pt idx="172">
                  <c:v>513.32294183422573</c:v>
                </c:pt>
                <c:pt idx="173">
                  <c:v>513.32294183422573</c:v>
                </c:pt>
                <c:pt idx="174">
                  <c:v>513.32294183422573</c:v>
                </c:pt>
                <c:pt idx="175">
                  <c:v>513.32294183422573</c:v>
                </c:pt>
                <c:pt idx="176">
                  <c:v>513.32294183422573</c:v>
                </c:pt>
                <c:pt idx="177">
                  <c:v>513.32294183422573</c:v>
                </c:pt>
                <c:pt idx="178">
                  <c:v>513.32294183422573</c:v>
                </c:pt>
                <c:pt idx="179">
                  <c:v>513.32294183422573</c:v>
                </c:pt>
                <c:pt idx="180">
                  <c:v>513.32294183422573</c:v>
                </c:pt>
                <c:pt idx="181">
                  <c:v>513.32294183422573</c:v>
                </c:pt>
                <c:pt idx="182">
                  <c:v>513.32294183422573</c:v>
                </c:pt>
                <c:pt idx="183">
                  <c:v>513.32294183422573</c:v>
                </c:pt>
                <c:pt idx="184">
                  <c:v>513.32294183422573</c:v>
                </c:pt>
                <c:pt idx="185">
                  <c:v>513.32294183422573</c:v>
                </c:pt>
                <c:pt idx="186">
                  <c:v>513.32294183422573</c:v>
                </c:pt>
                <c:pt idx="187">
                  <c:v>513.32294183422573</c:v>
                </c:pt>
                <c:pt idx="188">
                  <c:v>513.32294183422573</c:v>
                </c:pt>
                <c:pt idx="189">
                  <c:v>513.32294183422573</c:v>
                </c:pt>
                <c:pt idx="190">
                  <c:v>513.32294183422573</c:v>
                </c:pt>
                <c:pt idx="191">
                  <c:v>513.32294183422573</c:v>
                </c:pt>
                <c:pt idx="192">
                  <c:v>513.32294183422573</c:v>
                </c:pt>
                <c:pt idx="193">
                  <c:v>513.32294183422573</c:v>
                </c:pt>
                <c:pt idx="194">
                  <c:v>513.32294183422573</c:v>
                </c:pt>
                <c:pt idx="195">
                  <c:v>513.32294183422573</c:v>
                </c:pt>
                <c:pt idx="196">
                  <c:v>513.32294183422573</c:v>
                </c:pt>
                <c:pt idx="197">
                  <c:v>513.32294183422573</c:v>
                </c:pt>
                <c:pt idx="198">
                  <c:v>513.32294183422573</c:v>
                </c:pt>
                <c:pt idx="199">
                  <c:v>513.32294183422573</c:v>
                </c:pt>
                <c:pt idx="200">
                  <c:v>513.32294183422573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3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3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3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3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3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3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3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3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3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3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3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3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3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3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3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3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3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3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75" zoomScaleNormal="75" workbookViewId="0">
      <selection activeCell="G23" sqref="G23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57" t="s">
        <v>190</v>
      </c>
      <c r="D1" s="257"/>
      <c r="E1" s="25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2" t="s">
        <v>192</v>
      </c>
      <c r="C3" s="263"/>
      <c r="D3" s="263"/>
      <c r="E3" s="263"/>
      <c r="F3" s="264"/>
      <c r="G3" s="88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9"/>
      <c r="B4" s="89"/>
      <c r="C4" s="89"/>
      <c r="D4" s="89"/>
      <c r="E4" s="89"/>
      <c r="F4" s="89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7" t="s">
        <v>231</v>
      </c>
      <c r="B5" s="267"/>
      <c r="C5" s="24">
        <v>17.27</v>
      </c>
      <c r="D5" s="268" t="s">
        <v>229</v>
      </c>
      <c r="E5" s="269"/>
      <c r="F5" s="89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0"/>
      <c r="B6" s="90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6" t="s">
        <v>226</v>
      </c>
      <c r="B7" s="266"/>
      <c r="C7" s="89"/>
      <c r="D7" s="89"/>
      <c r="E7" s="4"/>
      <c r="F7" s="89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14</v>
      </c>
      <c r="C9" s="32">
        <v>9.8066342320057356E-2</v>
      </c>
      <c r="D9" s="33">
        <f t="shared" ref="D9:D18" si="0">C9*$C$5</f>
        <v>1.6936057318673905</v>
      </c>
      <c r="E9" s="34">
        <v>115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12</v>
      </c>
      <c r="C10" s="32">
        <v>1.2735888612994462E-2</v>
      </c>
      <c r="D10" s="33">
        <f t="shared" si="0"/>
        <v>0.21994879634641434</v>
      </c>
      <c r="E10" s="34">
        <v>115</v>
      </c>
      <c r="F10" s="35" t="str">
        <f t="array" ref="F10">IF(E10="","",IF(INDEX(A:A,MAX(IF(ISNUMBER($A$62:$A$81),ROW($A$62:$A$81),"")))&lt;&gt;E10,"Corrigez : révolution incorrecte","OK"))</f>
        <v>OK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44</v>
      </c>
      <c r="C11" s="32">
        <v>0.13850278866631477</v>
      </c>
      <c r="D11" s="33">
        <f t="shared" si="0"/>
        <v>2.3919431602672558</v>
      </c>
      <c r="E11" s="34">
        <v>45</v>
      </c>
      <c r="F11" s="35" t="str">
        <f t="array" ref="F11">IF(E11="","",IF(INDEX(A:A,MAX(IF(ISNUMBER($A$88:$A$107),ROW($A$88:$A$107),"")))&lt;&gt;E11,"Corrigez : révolution incorrecte","OK"))</f>
        <v>OK</v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13</v>
      </c>
      <c r="C12" s="32">
        <v>5.263105969319961E-2</v>
      </c>
      <c r="D12" s="33">
        <f t="shared" si="0"/>
        <v>0.9089384009015572</v>
      </c>
      <c r="E12" s="34">
        <v>55</v>
      </c>
      <c r="F12" s="35" t="str">
        <f t="array" ref="F12">IF(E12="","",IF(INDEX(A:A,MAX(IF(ISNUMBER($A$114:$A$133),ROW($A$114:$A$133),"")))&lt;&gt;E12,"Corrigez : révolution incorrecte","OK"))</f>
        <v>OK</v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18</v>
      </c>
      <c r="C13" s="32">
        <v>0.38336011308034057</v>
      </c>
      <c r="D13" s="33">
        <f t="shared" si="0"/>
        <v>6.6206291528974814</v>
      </c>
      <c r="E13" s="34">
        <v>65</v>
      </c>
      <c r="F13" s="35" t="str">
        <f t="array" ref="F13">IF(E13="","",IF(INDEX(A:A,MAX(IF(ISNUMBER($A$140:$A$159),ROW($A$140:$A$159),"")))&lt;&gt;E13,"Corrigez : révolution incorrecte","OK"))</f>
        <v>OK</v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164</v>
      </c>
      <c r="C14" s="32">
        <v>4.9861003919873317E-2</v>
      </c>
      <c r="D14" s="33">
        <f t="shared" si="0"/>
        <v>0.86109953769621217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1</v>
      </c>
      <c r="C15" s="32">
        <v>2.5471777225988923E-2</v>
      </c>
      <c r="D15" s="33">
        <f t="shared" si="0"/>
        <v>0.43989759269282869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52</v>
      </c>
      <c r="C16" s="32">
        <v>2.5471777225988923E-2</v>
      </c>
      <c r="D16" s="33">
        <f t="shared" si="0"/>
        <v>0.43989759269282869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 t="s">
        <v>6</v>
      </c>
      <c r="C17" s="32">
        <v>4.0595644953919846E-2</v>
      </c>
      <c r="D17" s="33">
        <f t="shared" si="0"/>
        <v>0.70108678835419569</v>
      </c>
      <c r="E17" s="34">
        <v>105</v>
      </c>
      <c r="F17" s="35" t="str">
        <f t="array" ref="F17">IF(E17="","",IF(INDEX(A:A,MAX(IF(ISNUMBER($A$244:$A$263),ROW($A$244:$A$263),"")))&lt;&gt;E17,"Corrigez : révolution incorrecte","OK"))</f>
        <v>OK</v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 t="s">
        <v>5</v>
      </c>
      <c r="C18" s="32">
        <v>0.17330360430132213</v>
      </c>
      <c r="D18" s="33">
        <f t="shared" si="0"/>
        <v>2.9929532462838333</v>
      </c>
      <c r="E18" s="34">
        <v>80</v>
      </c>
      <c r="F18" s="35" t="str">
        <f t="array" ref="F18">IF(E18="","",IF(INDEX(A:A,MAX(IF(ISNUMBER($A$270:$A$289),ROW($A$270:$A$289),"")))&lt;&gt;E18,"Corrigez : révolution incorrecte","OK"))</f>
        <v>OK</v>
      </c>
      <c r="G18" s="23" t="s">
        <v>324</v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17.269999999999996</v>
      </c>
      <c r="E19" s="4"/>
      <c r="F19" s="91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2"/>
      <c r="F24" s="92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3"/>
      <c r="E25" s="4"/>
      <c r="F25" s="93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</v>
      </c>
      <c r="D26" s="44" t="s">
        <v>234</v>
      </c>
      <c r="E26" s="92"/>
      <c r="F26" s="92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2"/>
      <c r="F27" s="92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4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20</v>
      </c>
      <c r="B36" s="60">
        <v>73</v>
      </c>
      <c r="C36" s="60">
        <v>1</v>
      </c>
      <c r="D36" s="60">
        <v>6</v>
      </c>
      <c r="E36" s="51"/>
      <c r="F36" s="51"/>
      <c r="G36" s="51"/>
      <c r="H36" s="51">
        <v>1</v>
      </c>
      <c r="I36" s="49">
        <f>IFERROR(B36/A36,"")</f>
        <v>3.65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25</v>
      </c>
      <c r="B37" s="60">
        <v>103</v>
      </c>
      <c r="C37" s="60">
        <v>2</v>
      </c>
      <c r="D37" s="60">
        <v>28</v>
      </c>
      <c r="E37" s="51"/>
      <c r="F37" s="51"/>
      <c r="G37" s="51"/>
      <c r="H37" s="51">
        <v>1</v>
      </c>
      <c r="I37" s="53">
        <f t="shared" ref="I37:I55" si="1">IF(A37&lt;&gt;0,(B37-(B36-D36))/(A37-A36),"")</f>
        <v>7.2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30</v>
      </c>
      <c r="B38" s="60">
        <v>121</v>
      </c>
      <c r="C38" s="60">
        <v>3</v>
      </c>
      <c r="D38" s="60">
        <v>28</v>
      </c>
      <c r="E38" s="51"/>
      <c r="F38" s="51"/>
      <c r="G38" s="51"/>
      <c r="H38" s="51">
        <v>1</v>
      </c>
      <c r="I38" s="53">
        <f t="shared" si="1"/>
        <v>9.1999999999999993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35</v>
      </c>
      <c r="B39" s="60">
        <v>147</v>
      </c>
      <c r="C39" s="60">
        <v>4</v>
      </c>
      <c r="D39" s="60">
        <v>28</v>
      </c>
      <c r="E39" s="51">
        <v>1</v>
      </c>
      <c r="F39" s="51"/>
      <c r="G39" s="51"/>
      <c r="H39" s="51"/>
      <c r="I39" s="49">
        <f t="shared" si="1"/>
        <v>10.8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40</v>
      </c>
      <c r="B40" s="60">
        <v>175</v>
      </c>
      <c r="C40" s="60">
        <v>5</v>
      </c>
      <c r="D40" s="60">
        <v>28</v>
      </c>
      <c r="E40" s="51">
        <v>1</v>
      </c>
      <c r="F40" s="51"/>
      <c r="G40" s="51"/>
      <c r="H40" s="51"/>
      <c r="I40" s="49">
        <f t="shared" si="1"/>
        <v>11.2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45</v>
      </c>
      <c r="B41" s="60">
        <v>204</v>
      </c>
      <c r="C41" s="60">
        <v>6</v>
      </c>
      <c r="D41" s="60">
        <v>28</v>
      </c>
      <c r="E41" s="51">
        <v>1</v>
      </c>
      <c r="F41" s="51"/>
      <c r="G41" s="51"/>
      <c r="H41" s="51"/>
      <c r="I41" s="53">
        <f t="shared" si="1"/>
        <v>11.4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50</v>
      </c>
      <c r="B42" s="60">
        <v>231</v>
      </c>
      <c r="C42" s="60">
        <v>7</v>
      </c>
      <c r="D42" s="60">
        <v>28</v>
      </c>
      <c r="E42" s="51">
        <v>1</v>
      </c>
      <c r="F42" s="51"/>
      <c r="G42" s="51"/>
      <c r="H42" s="51"/>
      <c r="I42" s="53">
        <f t="shared" si="1"/>
        <v>11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55</v>
      </c>
      <c r="B43" s="60">
        <v>254</v>
      </c>
      <c r="C43" s="60">
        <v>8</v>
      </c>
      <c r="D43" s="60">
        <v>28</v>
      </c>
      <c r="E43" s="51">
        <v>1</v>
      </c>
      <c r="F43" s="51"/>
      <c r="G43" s="51"/>
      <c r="H43" s="51"/>
      <c r="I43" s="49">
        <f t="shared" si="1"/>
        <v>10.199999999999999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60</v>
      </c>
      <c r="B44" s="60">
        <v>273</v>
      </c>
      <c r="C44" s="60">
        <v>9</v>
      </c>
      <c r="D44" s="60">
        <v>28</v>
      </c>
      <c r="E44" s="51">
        <v>1</v>
      </c>
      <c r="F44" s="51"/>
      <c r="G44" s="51"/>
      <c r="H44" s="51"/>
      <c r="I44" s="49">
        <f t="shared" si="1"/>
        <v>9.4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65</v>
      </c>
      <c r="B45" s="60">
        <v>289</v>
      </c>
      <c r="C45" s="60">
        <v>10</v>
      </c>
      <c r="D45" s="60">
        <v>28</v>
      </c>
      <c r="E45" s="51">
        <v>1</v>
      </c>
      <c r="F45" s="51"/>
      <c r="G45" s="51"/>
      <c r="H45" s="51"/>
      <c r="I45" s="49">
        <f t="shared" si="1"/>
        <v>8.8000000000000007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70</v>
      </c>
      <c r="B46" s="60">
        <v>302</v>
      </c>
      <c r="C46" s="60">
        <v>11</v>
      </c>
      <c r="D46" s="60">
        <v>28</v>
      </c>
      <c r="E46" s="51">
        <v>1</v>
      </c>
      <c r="F46" s="51"/>
      <c r="G46" s="51"/>
      <c r="H46" s="51"/>
      <c r="I46" s="49">
        <f t="shared" si="1"/>
        <v>8.1999999999999993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>
        <v>75</v>
      </c>
      <c r="B47" s="60">
        <v>312</v>
      </c>
      <c r="C47" s="60">
        <v>12</v>
      </c>
      <c r="D47" s="60">
        <v>28</v>
      </c>
      <c r="E47" s="51">
        <v>1</v>
      </c>
      <c r="F47" s="51"/>
      <c r="G47" s="51"/>
      <c r="H47" s="51"/>
      <c r="I47" s="49">
        <f t="shared" si="1"/>
        <v>7.6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>
        <v>80</v>
      </c>
      <c r="B48" s="60">
        <v>320</v>
      </c>
      <c r="C48" s="60">
        <v>13</v>
      </c>
      <c r="D48" s="60">
        <v>28</v>
      </c>
      <c r="E48" s="51">
        <v>1</v>
      </c>
      <c r="F48" s="51"/>
      <c r="G48" s="51"/>
      <c r="H48" s="51"/>
      <c r="I48" s="49">
        <f t="shared" si="1"/>
        <v>7.2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>
        <v>85</v>
      </c>
      <c r="B49" s="60">
        <v>326</v>
      </c>
      <c r="C49" s="60">
        <v>14</v>
      </c>
      <c r="D49" s="60">
        <v>28</v>
      </c>
      <c r="E49" s="51">
        <v>1</v>
      </c>
      <c r="F49" s="51"/>
      <c r="G49" s="51"/>
      <c r="H49" s="51"/>
      <c r="I49" s="49">
        <f t="shared" si="1"/>
        <v>6.8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>
        <v>90</v>
      </c>
      <c r="B50" s="50">
        <v>330</v>
      </c>
      <c r="C50" s="60">
        <v>15</v>
      </c>
      <c r="D50" s="60">
        <v>28</v>
      </c>
      <c r="E50" s="51">
        <v>1</v>
      </c>
      <c r="F50" s="51"/>
      <c r="G50" s="51"/>
      <c r="H50" s="51"/>
      <c r="I50" s="49">
        <f t="shared" si="1"/>
        <v>6.4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>
        <v>95</v>
      </c>
      <c r="B51" s="50">
        <v>333</v>
      </c>
      <c r="C51" s="60">
        <v>16</v>
      </c>
      <c r="D51" s="60">
        <v>28</v>
      </c>
      <c r="E51" s="51">
        <v>1</v>
      </c>
      <c r="F51" s="51"/>
      <c r="G51" s="51"/>
      <c r="H51" s="51"/>
      <c r="I51" s="49">
        <f t="shared" si="1"/>
        <v>6.2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>
        <v>100</v>
      </c>
      <c r="B52" s="50">
        <v>333</v>
      </c>
      <c r="C52" s="60">
        <v>17</v>
      </c>
      <c r="D52" s="60">
        <v>27</v>
      </c>
      <c r="E52" s="51">
        <v>1</v>
      </c>
      <c r="F52" s="51"/>
      <c r="G52" s="51"/>
      <c r="H52" s="51"/>
      <c r="I52" s="49">
        <f t="shared" si="1"/>
        <v>5.6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>
        <v>105</v>
      </c>
      <c r="B53" s="50">
        <v>333</v>
      </c>
      <c r="C53" s="60">
        <v>18</v>
      </c>
      <c r="D53" s="60">
        <v>26</v>
      </c>
      <c r="E53" s="51">
        <v>1</v>
      </c>
      <c r="F53" s="51"/>
      <c r="G53" s="51"/>
      <c r="H53" s="51"/>
      <c r="I53" s="49">
        <f t="shared" si="1"/>
        <v>5.4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>
        <v>110</v>
      </c>
      <c r="B54" s="50">
        <v>332</v>
      </c>
      <c r="C54" s="60">
        <v>19</v>
      </c>
      <c r="D54" s="60">
        <v>25</v>
      </c>
      <c r="E54" s="51">
        <v>1</v>
      </c>
      <c r="F54" s="51"/>
      <c r="G54" s="51"/>
      <c r="H54" s="51"/>
      <c r="I54" s="49">
        <f t="shared" si="1"/>
        <v>5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>
        <v>115</v>
      </c>
      <c r="B55" s="50">
        <v>331</v>
      </c>
      <c r="C55" s="60">
        <v>20</v>
      </c>
      <c r="D55" s="60">
        <v>24</v>
      </c>
      <c r="E55" s="51">
        <v>1</v>
      </c>
      <c r="F55" s="51"/>
      <c r="G55" s="51"/>
      <c r="H55" s="51"/>
      <c r="I55" s="49">
        <f t="shared" si="1"/>
        <v>4.8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pubescent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5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4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73</v>
      </c>
      <c r="C62" s="60">
        <v>1</v>
      </c>
      <c r="D62" s="60">
        <v>6</v>
      </c>
      <c r="E62" s="51"/>
      <c r="F62" s="51"/>
      <c r="G62" s="51"/>
      <c r="H62" s="51">
        <v>1</v>
      </c>
      <c r="I62" s="53">
        <f>IFERROR(B62/A62,"")</f>
        <v>3.65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25</v>
      </c>
      <c r="B63" s="60">
        <v>103</v>
      </c>
      <c r="C63" s="60">
        <v>2</v>
      </c>
      <c r="D63" s="60">
        <v>28</v>
      </c>
      <c r="E63" s="51"/>
      <c r="F63" s="51"/>
      <c r="G63" s="51"/>
      <c r="H63" s="51">
        <v>1</v>
      </c>
      <c r="I63" s="49">
        <f>IF(A63&lt;&gt;0,(B63-(B62-D62))/(A63-A62),"")</f>
        <v>7.2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30</v>
      </c>
      <c r="B64" s="60">
        <v>121</v>
      </c>
      <c r="C64" s="60">
        <v>3</v>
      </c>
      <c r="D64" s="60">
        <v>28</v>
      </c>
      <c r="E64" s="51"/>
      <c r="F64" s="51"/>
      <c r="G64" s="51"/>
      <c r="H64" s="51">
        <v>1</v>
      </c>
      <c r="I64" s="49">
        <f>IF(A64&lt;&gt;0,(B64-(B63-D63))/(A64-A63),"")</f>
        <v>9.1999999999999993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35</v>
      </c>
      <c r="B65" s="60">
        <v>147</v>
      </c>
      <c r="C65" s="60">
        <v>4</v>
      </c>
      <c r="D65" s="60">
        <v>28</v>
      </c>
      <c r="E65" s="51">
        <v>1</v>
      </c>
      <c r="F65" s="51"/>
      <c r="G65" s="51"/>
      <c r="H65" s="51"/>
      <c r="I65" s="49">
        <f>IF(A65&lt;&gt;0,(B65-(B64-D64))/(A65-A64),"")</f>
        <v>10.8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40</v>
      </c>
      <c r="B66" s="60">
        <v>175</v>
      </c>
      <c r="C66" s="60">
        <v>5</v>
      </c>
      <c r="D66" s="60">
        <v>28</v>
      </c>
      <c r="E66" s="51">
        <v>1</v>
      </c>
      <c r="F66" s="51"/>
      <c r="G66" s="51"/>
      <c r="H66" s="51"/>
      <c r="I66" s="49">
        <f t="shared" ref="I66:I81" si="2">IF(A66&lt;&gt;0,(B66-(B65-D65))/(A66-A65),"")</f>
        <v>11.2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45</v>
      </c>
      <c r="B67" s="60">
        <v>204</v>
      </c>
      <c r="C67" s="60">
        <v>6</v>
      </c>
      <c r="D67" s="60">
        <v>28</v>
      </c>
      <c r="E67" s="51">
        <v>1</v>
      </c>
      <c r="F67" s="51"/>
      <c r="G67" s="51"/>
      <c r="H67" s="51"/>
      <c r="I67" s="49">
        <f t="shared" si="2"/>
        <v>11.4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50</v>
      </c>
      <c r="B68" s="60">
        <v>231</v>
      </c>
      <c r="C68" s="60">
        <v>7</v>
      </c>
      <c r="D68" s="60">
        <v>28</v>
      </c>
      <c r="E68" s="51">
        <v>1</v>
      </c>
      <c r="F68" s="51"/>
      <c r="G68" s="51"/>
      <c r="H68" s="51"/>
      <c r="I68" s="49">
        <f t="shared" si="2"/>
        <v>11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55</v>
      </c>
      <c r="B69" s="60">
        <v>254</v>
      </c>
      <c r="C69" s="60">
        <v>8</v>
      </c>
      <c r="D69" s="60">
        <v>28</v>
      </c>
      <c r="E69" s="51">
        <v>1</v>
      </c>
      <c r="F69" s="51"/>
      <c r="G69" s="51"/>
      <c r="H69" s="51"/>
      <c r="I69" s="49">
        <f t="shared" si="2"/>
        <v>10.199999999999999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60</v>
      </c>
      <c r="B70" s="60">
        <v>273</v>
      </c>
      <c r="C70" s="60">
        <v>9</v>
      </c>
      <c r="D70" s="60">
        <v>28</v>
      </c>
      <c r="E70" s="51">
        <v>1</v>
      </c>
      <c r="F70" s="51"/>
      <c r="G70" s="51"/>
      <c r="H70" s="51"/>
      <c r="I70" s="49">
        <f t="shared" si="2"/>
        <v>9.4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65</v>
      </c>
      <c r="B71" s="60">
        <v>289</v>
      </c>
      <c r="C71" s="60">
        <v>10</v>
      </c>
      <c r="D71" s="60">
        <v>28</v>
      </c>
      <c r="E71" s="51">
        <v>1</v>
      </c>
      <c r="F71" s="51"/>
      <c r="G71" s="51"/>
      <c r="H71" s="51"/>
      <c r="I71" s="49">
        <f t="shared" si="2"/>
        <v>8.8000000000000007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70</v>
      </c>
      <c r="B72" s="60">
        <v>302</v>
      </c>
      <c r="C72" s="60">
        <v>11</v>
      </c>
      <c r="D72" s="60">
        <v>28</v>
      </c>
      <c r="E72" s="51">
        <v>1</v>
      </c>
      <c r="F72" s="51"/>
      <c r="G72" s="51"/>
      <c r="H72" s="51"/>
      <c r="I72" s="49">
        <f t="shared" si="2"/>
        <v>8.1999999999999993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75</v>
      </c>
      <c r="B73" s="60">
        <v>312</v>
      </c>
      <c r="C73" s="60">
        <v>12</v>
      </c>
      <c r="D73" s="60">
        <v>28</v>
      </c>
      <c r="E73" s="51">
        <v>1</v>
      </c>
      <c r="F73" s="51"/>
      <c r="G73" s="51"/>
      <c r="H73" s="51"/>
      <c r="I73" s="49">
        <f t="shared" si="2"/>
        <v>7.6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80</v>
      </c>
      <c r="B74" s="60">
        <v>320</v>
      </c>
      <c r="C74" s="60">
        <v>13</v>
      </c>
      <c r="D74" s="60">
        <v>28</v>
      </c>
      <c r="E74" s="51">
        <v>1</v>
      </c>
      <c r="F74" s="51"/>
      <c r="G74" s="51"/>
      <c r="H74" s="51"/>
      <c r="I74" s="49">
        <f t="shared" si="2"/>
        <v>7.2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85</v>
      </c>
      <c r="B75" s="60">
        <v>326</v>
      </c>
      <c r="C75" s="60">
        <v>14</v>
      </c>
      <c r="D75" s="60">
        <v>28</v>
      </c>
      <c r="E75" s="51">
        <v>1</v>
      </c>
      <c r="F75" s="51"/>
      <c r="G75" s="51"/>
      <c r="H75" s="51"/>
      <c r="I75" s="49">
        <f t="shared" si="2"/>
        <v>6.8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90</v>
      </c>
      <c r="B76" s="50">
        <v>330</v>
      </c>
      <c r="C76" s="60">
        <v>15</v>
      </c>
      <c r="D76" s="60">
        <v>28</v>
      </c>
      <c r="E76" s="51">
        <v>1</v>
      </c>
      <c r="F76" s="51"/>
      <c r="G76" s="51"/>
      <c r="H76" s="51"/>
      <c r="I76" s="49">
        <f t="shared" si="2"/>
        <v>6.4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>
        <v>95</v>
      </c>
      <c r="B77" s="50">
        <v>333</v>
      </c>
      <c r="C77" s="60">
        <v>16</v>
      </c>
      <c r="D77" s="60">
        <v>28</v>
      </c>
      <c r="E77" s="51">
        <v>1</v>
      </c>
      <c r="F77" s="51"/>
      <c r="G77" s="51"/>
      <c r="H77" s="51"/>
      <c r="I77" s="49">
        <f t="shared" si="2"/>
        <v>6.2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>
        <v>100</v>
      </c>
      <c r="B78" s="50">
        <v>333</v>
      </c>
      <c r="C78" s="60">
        <v>17</v>
      </c>
      <c r="D78" s="60">
        <v>27</v>
      </c>
      <c r="E78" s="51">
        <v>1</v>
      </c>
      <c r="F78" s="51"/>
      <c r="G78" s="51"/>
      <c r="H78" s="51"/>
      <c r="I78" s="49">
        <f t="shared" si="2"/>
        <v>5.6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>
        <v>105</v>
      </c>
      <c r="B79" s="50">
        <v>333</v>
      </c>
      <c r="C79" s="60">
        <v>18</v>
      </c>
      <c r="D79" s="60">
        <v>26</v>
      </c>
      <c r="E79" s="51">
        <v>1</v>
      </c>
      <c r="F79" s="51"/>
      <c r="G79" s="51"/>
      <c r="H79" s="51"/>
      <c r="I79" s="49">
        <f t="shared" si="2"/>
        <v>5.4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>
        <v>110</v>
      </c>
      <c r="B80" s="50">
        <v>332</v>
      </c>
      <c r="C80" s="60">
        <v>19</v>
      </c>
      <c r="D80" s="60">
        <v>25</v>
      </c>
      <c r="E80" s="51">
        <v>1</v>
      </c>
      <c r="F80" s="51"/>
      <c r="G80" s="51"/>
      <c r="H80" s="51"/>
      <c r="I80" s="49">
        <f t="shared" si="2"/>
        <v>5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>
        <v>115</v>
      </c>
      <c r="B81" s="50">
        <v>331</v>
      </c>
      <c r="C81" s="60">
        <v>20</v>
      </c>
      <c r="D81" s="60">
        <v>24</v>
      </c>
      <c r="E81" s="51">
        <v>1</v>
      </c>
      <c r="F81" s="51"/>
      <c r="G81" s="51"/>
      <c r="H81" s="51"/>
      <c r="I81" s="49">
        <f t="shared" si="2"/>
        <v>4.8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Robinier faux-acacia</v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5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5</v>
      </c>
      <c r="B88" s="60">
        <v>41</v>
      </c>
      <c r="C88" s="60">
        <v>1</v>
      </c>
      <c r="D88" s="60">
        <v>8</v>
      </c>
      <c r="E88" s="51"/>
      <c r="F88" s="51"/>
      <c r="G88" s="51"/>
      <c r="H88" s="87">
        <v>1</v>
      </c>
      <c r="I88" s="53">
        <f>IFERROR(B88/A88,"")</f>
        <v>8.1999999999999993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10</v>
      </c>
      <c r="B89" s="60">
        <v>121</v>
      </c>
      <c r="C89" s="60">
        <v>2</v>
      </c>
      <c r="D89" s="60">
        <v>37</v>
      </c>
      <c r="E89" s="51"/>
      <c r="F89" s="51"/>
      <c r="G89" s="51"/>
      <c r="H89" s="87">
        <v>1</v>
      </c>
      <c r="I89" s="53">
        <f t="shared" ref="I89:I107" si="3">IF(A89&lt;&gt;0,(B89-(B88-D88))/(A89-A88),"")</f>
        <v>17.600000000000001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15</v>
      </c>
      <c r="B90" s="60">
        <v>169</v>
      </c>
      <c r="C90" s="60">
        <v>3</v>
      </c>
      <c r="D90" s="60">
        <v>29</v>
      </c>
      <c r="E90" s="87"/>
      <c r="F90" s="87"/>
      <c r="G90" s="87"/>
      <c r="H90" s="87">
        <v>1</v>
      </c>
      <c r="I90" s="53">
        <f t="shared" si="3"/>
        <v>17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20</v>
      </c>
      <c r="B91" s="60">
        <v>217</v>
      </c>
      <c r="C91" s="60">
        <v>4</v>
      </c>
      <c r="D91" s="60">
        <v>23</v>
      </c>
      <c r="E91" s="87"/>
      <c r="F91" s="87"/>
      <c r="G91" s="87"/>
      <c r="H91" s="87">
        <v>1</v>
      </c>
      <c r="I91" s="53">
        <f t="shared" si="3"/>
        <v>15.4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25</v>
      </c>
      <c r="B92" s="60">
        <v>259</v>
      </c>
      <c r="C92" s="60">
        <v>5</v>
      </c>
      <c r="D92" s="60">
        <v>18</v>
      </c>
      <c r="E92" s="87"/>
      <c r="F92" s="87"/>
      <c r="G92" s="87"/>
      <c r="H92" s="87">
        <v>1</v>
      </c>
      <c r="I92" s="53">
        <f t="shared" si="3"/>
        <v>13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30</v>
      </c>
      <c r="B93" s="60">
        <v>294</v>
      </c>
      <c r="C93" s="60">
        <v>6</v>
      </c>
      <c r="D93" s="60">
        <v>14</v>
      </c>
      <c r="E93" s="87"/>
      <c r="F93" s="87"/>
      <c r="G93" s="87"/>
      <c r="H93" s="87">
        <v>1</v>
      </c>
      <c r="I93" s="53">
        <f t="shared" si="3"/>
        <v>10.6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35</v>
      </c>
      <c r="B94" s="60">
        <v>323</v>
      </c>
      <c r="C94" s="60">
        <v>7</v>
      </c>
      <c r="D94" s="60">
        <v>11</v>
      </c>
      <c r="E94" s="87">
        <v>1</v>
      </c>
      <c r="F94" s="87"/>
      <c r="G94" s="87"/>
      <c r="H94" s="87"/>
      <c r="I94" s="53">
        <f t="shared" si="3"/>
        <v>8.6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50">
        <v>40</v>
      </c>
      <c r="B95" s="60">
        <v>350</v>
      </c>
      <c r="C95" s="60">
        <v>8</v>
      </c>
      <c r="D95" s="60">
        <v>9</v>
      </c>
      <c r="E95" s="87">
        <v>1</v>
      </c>
      <c r="F95" s="87"/>
      <c r="G95" s="87"/>
      <c r="H95" s="87"/>
      <c r="I95" s="53">
        <f t="shared" si="3"/>
        <v>7.6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50">
        <v>45</v>
      </c>
      <c r="B96" s="60">
        <v>378</v>
      </c>
      <c r="C96" s="60">
        <v>9</v>
      </c>
      <c r="D96" s="60">
        <v>9</v>
      </c>
      <c r="E96" s="87">
        <v>1</v>
      </c>
      <c r="F96" s="87"/>
      <c r="G96" s="87"/>
      <c r="H96" s="87"/>
      <c r="I96" s="53">
        <f t="shared" si="3"/>
        <v>7.4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Chêne rouge d'Amérique</v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5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15</v>
      </c>
      <c r="B114" s="60">
        <v>107</v>
      </c>
      <c r="C114" s="50">
        <v>1</v>
      </c>
      <c r="D114" s="60">
        <v>34</v>
      </c>
      <c r="E114" s="51"/>
      <c r="F114" s="51"/>
      <c r="G114" s="51"/>
      <c r="H114" s="51">
        <v>1</v>
      </c>
      <c r="I114" s="53">
        <f>IFERROR(B114/A114,"")</f>
        <v>7.1333333333333337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20</v>
      </c>
      <c r="B115" s="60">
        <v>154</v>
      </c>
      <c r="C115" s="50">
        <v>2</v>
      </c>
      <c r="D115" s="60">
        <v>50</v>
      </c>
      <c r="E115" s="51"/>
      <c r="F115" s="51"/>
      <c r="G115" s="51"/>
      <c r="H115" s="51">
        <v>1</v>
      </c>
      <c r="I115" s="53">
        <f t="shared" ref="I115:I133" si="4">IF(A115&lt;&gt;0,(B115-(B114-D114))/(A115-A114),"")</f>
        <v>16.2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25</v>
      </c>
      <c r="B116" s="60">
        <v>183</v>
      </c>
      <c r="C116" s="50">
        <v>3</v>
      </c>
      <c r="D116" s="60">
        <v>52</v>
      </c>
      <c r="E116" s="51"/>
      <c r="F116" s="51"/>
      <c r="G116" s="51"/>
      <c r="H116" s="51">
        <v>1</v>
      </c>
      <c r="I116" s="53">
        <f t="shared" si="4"/>
        <v>15.8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30</v>
      </c>
      <c r="B117" s="60">
        <v>205</v>
      </c>
      <c r="C117" s="50">
        <v>4</v>
      </c>
      <c r="D117" s="60">
        <v>51</v>
      </c>
      <c r="E117" s="51"/>
      <c r="F117" s="51"/>
      <c r="G117" s="51"/>
      <c r="H117" s="51">
        <v>1</v>
      </c>
      <c r="I117" s="53">
        <f t="shared" si="4"/>
        <v>14.8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35</v>
      </c>
      <c r="B118" s="60">
        <v>222</v>
      </c>
      <c r="C118" s="50">
        <v>5</v>
      </c>
      <c r="D118" s="60">
        <v>49</v>
      </c>
      <c r="E118" s="51">
        <v>1</v>
      </c>
      <c r="F118" s="51"/>
      <c r="G118" s="51"/>
      <c r="H118" s="51"/>
      <c r="I118" s="53">
        <f t="shared" si="4"/>
        <v>13.6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40</v>
      </c>
      <c r="B119" s="60">
        <v>235</v>
      </c>
      <c r="C119" s="50">
        <v>6</v>
      </c>
      <c r="D119" s="60">
        <v>45</v>
      </c>
      <c r="E119" s="51">
        <v>1</v>
      </c>
      <c r="F119" s="51"/>
      <c r="G119" s="51"/>
      <c r="H119" s="51"/>
      <c r="I119" s="53">
        <f t="shared" si="4"/>
        <v>12.4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50">
        <v>45</v>
      </c>
      <c r="B120" s="60">
        <v>245</v>
      </c>
      <c r="C120" s="50">
        <v>7</v>
      </c>
      <c r="D120" s="60">
        <v>41</v>
      </c>
      <c r="E120" s="51">
        <v>1</v>
      </c>
      <c r="F120" s="87"/>
      <c r="G120" s="87"/>
      <c r="H120" s="87"/>
      <c r="I120" s="53">
        <f t="shared" si="4"/>
        <v>11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50">
        <v>50</v>
      </c>
      <c r="B121" s="60">
        <v>252</v>
      </c>
      <c r="C121" s="50">
        <v>8</v>
      </c>
      <c r="D121" s="60">
        <v>37</v>
      </c>
      <c r="E121" s="51">
        <v>1</v>
      </c>
      <c r="F121" s="87"/>
      <c r="G121" s="87"/>
      <c r="H121" s="87"/>
      <c r="I121" s="53">
        <f t="shared" si="4"/>
        <v>9.6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50">
        <v>55</v>
      </c>
      <c r="B122" s="60">
        <v>258</v>
      </c>
      <c r="C122" s="50">
        <v>9</v>
      </c>
      <c r="D122" s="60">
        <v>34</v>
      </c>
      <c r="E122" s="51">
        <v>1</v>
      </c>
      <c r="F122" s="87"/>
      <c r="G122" s="87"/>
      <c r="H122" s="87"/>
      <c r="I122" s="53">
        <f t="shared" si="4"/>
        <v>8.6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Douglas</v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5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15</v>
      </c>
      <c r="B140" s="60">
        <v>162</v>
      </c>
      <c r="C140" s="60"/>
      <c r="D140" s="60"/>
      <c r="E140" s="51"/>
      <c r="F140" s="51"/>
      <c r="G140" s="51"/>
      <c r="H140" s="51"/>
      <c r="I140" s="57">
        <f>IFERROR(B140/A140,"")</f>
        <v>10.8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20</v>
      </c>
      <c r="B141" s="60">
        <v>303</v>
      </c>
      <c r="C141" s="50">
        <v>1</v>
      </c>
      <c r="D141" s="60">
        <v>43</v>
      </c>
      <c r="E141" s="51"/>
      <c r="F141" s="51"/>
      <c r="G141" s="51">
        <v>1</v>
      </c>
      <c r="H141" s="51"/>
      <c r="I141" s="57">
        <f t="shared" ref="I141:I159" si="5">IF(A141&lt;&gt;0,(B141-(B140-D140))/(A141-A140),"")</f>
        <v>28.2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25</v>
      </c>
      <c r="B142" s="60">
        <v>419</v>
      </c>
      <c r="C142" s="50">
        <v>2</v>
      </c>
      <c r="D142" s="60">
        <v>60</v>
      </c>
      <c r="E142" s="51"/>
      <c r="F142" s="51">
        <v>1</v>
      </c>
      <c r="G142" s="51"/>
      <c r="H142" s="51"/>
      <c r="I142" s="57">
        <f t="shared" si="5"/>
        <v>31.8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30</v>
      </c>
      <c r="B143" s="60">
        <v>524</v>
      </c>
      <c r="C143" s="50">
        <v>3</v>
      </c>
      <c r="D143" s="60">
        <v>90</v>
      </c>
      <c r="E143" s="51"/>
      <c r="F143" s="51">
        <v>1</v>
      </c>
      <c r="G143" s="51"/>
      <c r="H143" s="51"/>
      <c r="I143" s="57">
        <f t="shared" si="5"/>
        <v>33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35</v>
      </c>
      <c r="B144" s="60">
        <v>576</v>
      </c>
      <c r="C144" s="50">
        <v>4</v>
      </c>
      <c r="D144" s="60">
        <v>72</v>
      </c>
      <c r="E144" s="51">
        <v>1</v>
      </c>
      <c r="F144" s="51"/>
      <c r="G144" s="51"/>
      <c r="H144" s="51"/>
      <c r="I144" s="57">
        <f t="shared" si="5"/>
        <v>28.4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40</v>
      </c>
      <c r="B145" s="60">
        <v>639</v>
      </c>
      <c r="C145" s="50">
        <v>5</v>
      </c>
      <c r="D145" s="60">
        <v>77</v>
      </c>
      <c r="E145" s="51">
        <v>1</v>
      </c>
      <c r="F145" s="51"/>
      <c r="G145" s="51"/>
      <c r="H145" s="51"/>
      <c r="I145" s="57">
        <f t="shared" si="5"/>
        <v>27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45</v>
      </c>
      <c r="B146" s="60">
        <v>686</v>
      </c>
      <c r="C146" s="50">
        <v>6</v>
      </c>
      <c r="D146" s="60">
        <v>64</v>
      </c>
      <c r="E146" s="51">
        <v>1</v>
      </c>
      <c r="F146" s="51"/>
      <c r="G146" s="51"/>
      <c r="H146" s="51"/>
      <c r="I146" s="57">
        <f t="shared" si="5"/>
        <v>24.8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50</v>
      </c>
      <c r="B147" s="60">
        <v>724</v>
      </c>
      <c r="C147" s="50">
        <v>7</v>
      </c>
      <c r="D147" s="60">
        <v>62</v>
      </c>
      <c r="E147" s="51">
        <v>1</v>
      </c>
      <c r="F147" s="51"/>
      <c r="G147" s="51"/>
      <c r="H147" s="51"/>
      <c r="I147" s="57">
        <f>IF(A147&lt;&gt;0,(B147-(B146-D146))/(A147-A146),"")</f>
        <v>20.399999999999999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55</v>
      </c>
      <c r="B148" s="60">
        <v>739</v>
      </c>
      <c r="C148" s="50">
        <v>8</v>
      </c>
      <c r="D148" s="60">
        <v>46</v>
      </c>
      <c r="E148" s="51">
        <v>1</v>
      </c>
      <c r="F148" s="51"/>
      <c r="G148" s="51"/>
      <c r="H148" s="51"/>
      <c r="I148" s="57">
        <f t="shared" si="5"/>
        <v>15.4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60</v>
      </c>
      <c r="B149" s="60">
        <v>754</v>
      </c>
      <c r="C149" s="50">
        <v>9</v>
      </c>
      <c r="D149" s="60">
        <v>35</v>
      </c>
      <c r="E149" s="51">
        <v>1</v>
      </c>
      <c r="F149" s="51"/>
      <c r="G149" s="51"/>
      <c r="H149" s="51"/>
      <c r="I149" s="57">
        <f t="shared" si="5"/>
        <v>12.2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65</v>
      </c>
      <c r="B150" s="60">
        <v>769</v>
      </c>
      <c r="C150" s="50">
        <v>10</v>
      </c>
      <c r="D150" s="60">
        <v>29</v>
      </c>
      <c r="E150" s="51">
        <v>1</v>
      </c>
      <c r="F150" s="51"/>
      <c r="G150" s="51"/>
      <c r="H150" s="51"/>
      <c r="I150" s="57">
        <f t="shared" si="5"/>
        <v>10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Cèdre de l'Atlas</v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5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15</v>
      </c>
      <c r="B166" s="60">
        <v>96</v>
      </c>
      <c r="C166" s="50"/>
      <c r="D166" s="60">
        <v>0</v>
      </c>
      <c r="E166" s="51"/>
      <c r="F166" s="51"/>
      <c r="G166" s="51"/>
      <c r="H166" s="51"/>
      <c r="I166" s="49">
        <f>IFERROR(B166/A166,"")</f>
        <v>6.4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20</v>
      </c>
      <c r="B167" s="60">
        <v>231</v>
      </c>
      <c r="C167" s="50">
        <v>1</v>
      </c>
      <c r="D167" s="60">
        <v>72</v>
      </c>
      <c r="E167" s="51"/>
      <c r="F167" s="51"/>
      <c r="G167" s="51">
        <v>1</v>
      </c>
      <c r="H167" s="51"/>
      <c r="I167" s="49">
        <f t="shared" ref="I167:I185" si="6">IF(A167&lt;&gt;0,(B167-(B166-D166))/(A167-A166),"")</f>
        <v>27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25</v>
      </c>
      <c r="B168" s="60">
        <v>325</v>
      </c>
      <c r="C168" s="50">
        <v>2</v>
      </c>
      <c r="D168" s="60">
        <v>84</v>
      </c>
      <c r="E168" s="51"/>
      <c r="F168" s="51">
        <v>1</v>
      </c>
      <c r="G168" s="51"/>
      <c r="H168" s="51"/>
      <c r="I168" s="49">
        <f t="shared" si="6"/>
        <v>33.200000000000003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30</v>
      </c>
      <c r="B169" s="60">
        <v>415</v>
      </c>
      <c r="C169" s="50">
        <v>3</v>
      </c>
      <c r="D169" s="60">
        <v>84</v>
      </c>
      <c r="E169" s="51"/>
      <c r="F169" s="51">
        <v>1</v>
      </c>
      <c r="G169" s="51"/>
      <c r="H169" s="51"/>
      <c r="I169" s="49">
        <f t="shared" si="6"/>
        <v>34.799999999999997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35</v>
      </c>
      <c r="B170" s="60">
        <v>501</v>
      </c>
      <c r="C170" s="50">
        <v>4</v>
      </c>
      <c r="D170" s="60">
        <v>84</v>
      </c>
      <c r="E170" s="51">
        <v>1</v>
      </c>
      <c r="F170" s="51"/>
      <c r="G170" s="51"/>
      <c r="H170" s="51"/>
      <c r="I170" s="49">
        <f t="shared" si="6"/>
        <v>34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40</v>
      </c>
      <c r="B171" s="60">
        <v>577</v>
      </c>
      <c r="C171" s="60">
        <v>5</v>
      </c>
      <c r="D171" s="60">
        <v>84</v>
      </c>
      <c r="E171" s="51">
        <v>1</v>
      </c>
      <c r="F171" s="51"/>
      <c r="G171" s="51"/>
      <c r="H171" s="51"/>
      <c r="I171" s="49">
        <f t="shared" si="6"/>
        <v>32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45</v>
      </c>
      <c r="B172" s="60">
        <v>642</v>
      </c>
      <c r="C172" s="60">
        <v>6</v>
      </c>
      <c r="D172" s="60">
        <v>84</v>
      </c>
      <c r="E172" s="51">
        <v>1</v>
      </c>
      <c r="F172" s="51"/>
      <c r="G172" s="51"/>
      <c r="H172" s="51"/>
      <c r="I172" s="49">
        <f t="shared" si="6"/>
        <v>29.8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50</v>
      </c>
      <c r="B173" s="50">
        <v>697</v>
      </c>
      <c r="C173" s="50">
        <v>7</v>
      </c>
      <c r="D173" s="50">
        <v>79</v>
      </c>
      <c r="E173" s="51">
        <v>1</v>
      </c>
      <c r="F173" s="51"/>
      <c r="G173" s="51"/>
      <c r="H173" s="51"/>
      <c r="I173" s="49">
        <f t="shared" si="6"/>
        <v>27.8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55</v>
      </c>
      <c r="B174" s="50">
        <v>748</v>
      </c>
      <c r="C174" s="50">
        <v>8</v>
      </c>
      <c r="D174" s="50">
        <v>70</v>
      </c>
      <c r="E174" s="51">
        <v>1</v>
      </c>
      <c r="F174" s="51"/>
      <c r="G174" s="51"/>
      <c r="H174" s="51"/>
      <c r="I174" s="49">
        <f t="shared" si="6"/>
        <v>26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60</v>
      </c>
      <c r="B175" s="50">
        <v>798</v>
      </c>
      <c r="C175" s="50">
        <v>9</v>
      </c>
      <c r="D175" s="50">
        <v>64</v>
      </c>
      <c r="E175" s="51">
        <v>1</v>
      </c>
      <c r="F175" s="51"/>
      <c r="G175" s="51"/>
      <c r="H175" s="51"/>
      <c r="I175" s="49">
        <f t="shared" si="6"/>
        <v>24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65</v>
      </c>
      <c r="B176" s="50">
        <v>846</v>
      </c>
      <c r="C176" s="50">
        <v>10</v>
      </c>
      <c r="D176" s="50">
        <v>60</v>
      </c>
      <c r="E176" s="51">
        <v>1</v>
      </c>
      <c r="F176" s="51"/>
      <c r="G176" s="51"/>
      <c r="H176" s="51"/>
      <c r="I176" s="49">
        <f t="shared" si="6"/>
        <v>22.4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70</v>
      </c>
      <c r="B177" s="50">
        <v>888</v>
      </c>
      <c r="C177" s="60">
        <v>11</v>
      </c>
      <c r="D177" s="50">
        <v>56</v>
      </c>
      <c r="E177" s="51">
        <v>1</v>
      </c>
      <c r="F177" s="51"/>
      <c r="G177" s="51"/>
      <c r="H177" s="51"/>
      <c r="I177" s="49">
        <f t="shared" si="6"/>
        <v>20.399999999999999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75</v>
      </c>
      <c r="B178" s="50">
        <v>929</v>
      </c>
      <c r="C178" s="60">
        <v>12</v>
      </c>
      <c r="D178" s="50">
        <v>54</v>
      </c>
      <c r="E178" s="51">
        <v>1</v>
      </c>
      <c r="F178" s="51"/>
      <c r="G178" s="51"/>
      <c r="H178" s="51"/>
      <c r="I178" s="49">
        <f t="shared" si="6"/>
        <v>19.399999999999999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80</v>
      </c>
      <c r="B179" s="50">
        <v>964</v>
      </c>
      <c r="C179" s="50">
        <v>13</v>
      </c>
      <c r="D179" s="50">
        <v>52</v>
      </c>
      <c r="E179" s="51">
        <v>1</v>
      </c>
      <c r="F179" s="51"/>
      <c r="G179" s="51"/>
      <c r="H179" s="51"/>
      <c r="I179" s="49">
        <f t="shared" si="6"/>
        <v>17.8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Alisier torminal</v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5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10</v>
      </c>
      <c r="B192" s="60">
        <v>19</v>
      </c>
      <c r="C192" s="50">
        <v>1</v>
      </c>
      <c r="D192" s="60">
        <v>7</v>
      </c>
      <c r="E192" s="51"/>
      <c r="F192" s="51"/>
      <c r="G192" s="51"/>
      <c r="H192" s="51">
        <v>1</v>
      </c>
      <c r="I192" s="49">
        <f>IFERROR(B192/A192,"")</f>
        <v>1.9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15</v>
      </c>
      <c r="B193" s="60">
        <v>85</v>
      </c>
      <c r="C193" s="50">
        <v>2</v>
      </c>
      <c r="D193" s="60">
        <v>42</v>
      </c>
      <c r="E193" s="51"/>
      <c r="F193" s="51"/>
      <c r="G193" s="51"/>
      <c r="H193" s="51">
        <v>1</v>
      </c>
      <c r="I193" s="49">
        <f t="shared" ref="I193:I211" si="7">IF(A193&lt;&gt;0,(B193-(B192-D192))/(A193-A192),"")</f>
        <v>14.6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20</v>
      </c>
      <c r="B194" s="60">
        <v>123</v>
      </c>
      <c r="C194" s="50">
        <v>3</v>
      </c>
      <c r="D194" s="60">
        <v>42</v>
      </c>
      <c r="E194" s="51"/>
      <c r="F194" s="51"/>
      <c r="G194" s="51"/>
      <c r="H194" s="51">
        <v>1</v>
      </c>
      <c r="I194" s="49">
        <f t="shared" si="7"/>
        <v>16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25</v>
      </c>
      <c r="B195" s="60">
        <v>165</v>
      </c>
      <c r="C195" s="50">
        <v>4</v>
      </c>
      <c r="D195" s="60">
        <v>42</v>
      </c>
      <c r="E195" s="51"/>
      <c r="F195" s="51"/>
      <c r="G195" s="51"/>
      <c r="H195" s="51">
        <v>1</v>
      </c>
      <c r="I195" s="49">
        <f t="shared" si="7"/>
        <v>16.8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30</v>
      </c>
      <c r="B196" s="60">
        <v>205</v>
      </c>
      <c r="C196" s="50">
        <v>5</v>
      </c>
      <c r="D196" s="60">
        <v>42</v>
      </c>
      <c r="E196" s="51"/>
      <c r="F196" s="51"/>
      <c r="G196" s="51"/>
      <c r="H196" s="51">
        <v>1</v>
      </c>
      <c r="I196" s="49">
        <f t="shared" si="7"/>
        <v>16.399999999999999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35</v>
      </c>
      <c r="B197" s="60">
        <v>239</v>
      </c>
      <c r="C197" s="50">
        <v>6</v>
      </c>
      <c r="D197" s="50">
        <v>42</v>
      </c>
      <c r="E197" s="51">
        <v>1</v>
      </c>
      <c r="F197" s="51"/>
      <c r="G197" s="51"/>
      <c r="H197" s="51"/>
      <c r="I197" s="49">
        <f t="shared" si="7"/>
        <v>15.2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40</v>
      </c>
      <c r="B198" s="60">
        <v>263</v>
      </c>
      <c r="C198" s="50">
        <v>7</v>
      </c>
      <c r="D198" s="60">
        <v>40</v>
      </c>
      <c r="E198" s="51">
        <v>1</v>
      </c>
      <c r="F198" s="51"/>
      <c r="G198" s="51"/>
      <c r="H198" s="51"/>
      <c r="I198" s="49">
        <f t="shared" si="7"/>
        <v>13.2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45</v>
      </c>
      <c r="B199" s="50">
        <v>280</v>
      </c>
      <c r="C199" s="50">
        <v>8</v>
      </c>
      <c r="D199" s="60">
        <v>26</v>
      </c>
      <c r="E199" s="51">
        <v>1</v>
      </c>
      <c r="F199" s="51"/>
      <c r="G199" s="51"/>
      <c r="H199" s="51"/>
      <c r="I199" s="49">
        <f t="shared" si="7"/>
        <v>11.4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50</v>
      </c>
      <c r="B200" s="50">
        <v>303</v>
      </c>
      <c r="C200" s="50">
        <v>9</v>
      </c>
      <c r="D200" s="50">
        <v>21</v>
      </c>
      <c r="E200" s="51">
        <v>1</v>
      </c>
      <c r="F200" s="51"/>
      <c r="G200" s="51"/>
      <c r="H200" s="51"/>
      <c r="I200" s="49">
        <f t="shared" si="7"/>
        <v>9.8000000000000007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>
        <v>55</v>
      </c>
      <c r="B201" s="50">
        <v>324</v>
      </c>
      <c r="C201" s="50">
        <v>10</v>
      </c>
      <c r="D201" s="50">
        <v>18</v>
      </c>
      <c r="E201" s="51">
        <v>1</v>
      </c>
      <c r="F201" s="51"/>
      <c r="G201" s="51"/>
      <c r="H201" s="51"/>
      <c r="I201" s="49">
        <f t="shared" si="7"/>
        <v>8.4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>
        <v>60</v>
      </c>
      <c r="B202" s="50">
        <v>343</v>
      </c>
      <c r="C202" s="50">
        <v>11</v>
      </c>
      <c r="D202" s="50">
        <v>17</v>
      </c>
      <c r="E202" s="51">
        <v>1</v>
      </c>
      <c r="F202" s="51"/>
      <c r="G202" s="51"/>
      <c r="H202" s="51"/>
      <c r="I202" s="49">
        <f t="shared" si="7"/>
        <v>7.4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>
        <v>65</v>
      </c>
      <c r="B203" s="50">
        <v>356</v>
      </c>
      <c r="C203" s="50">
        <v>12</v>
      </c>
      <c r="D203" s="50">
        <v>16</v>
      </c>
      <c r="E203" s="51">
        <v>1</v>
      </c>
      <c r="F203" s="51"/>
      <c r="G203" s="51"/>
      <c r="H203" s="51"/>
      <c r="I203" s="49">
        <f t="shared" si="7"/>
        <v>6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>
        <v>70</v>
      </c>
      <c r="B204" s="50">
        <v>366</v>
      </c>
      <c r="C204" s="50">
        <v>13</v>
      </c>
      <c r="D204" s="50">
        <v>15</v>
      </c>
      <c r="E204" s="51">
        <v>1</v>
      </c>
      <c r="F204" s="51"/>
      <c r="G204" s="51"/>
      <c r="H204" s="51"/>
      <c r="I204" s="49">
        <f t="shared" si="7"/>
        <v>5.2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>
        <v>75</v>
      </c>
      <c r="B205" s="50">
        <v>375</v>
      </c>
      <c r="C205" s="50">
        <v>14</v>
      </c>
      <c r="D205" s="50">
        <v>14</v>
      </c>
      <c r="E205" s="51">
        <v>1</v>
      </c>
      <c r="F205" s="51"/>
      <c r="G205" s="51"/>
      <c r="H205" s="51"/>
      <c r="I205" s="49">
        <f t="shared" si="7"/>
        <v>4.8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>
        <v>80</v>
      </c>
      <c r="B206" s="50">
        <v>381</v>
      </c>
      <c r="C206" s="50">
        <v>15</v>
      </c>
      <c r="D206" s="50">
        <v>13</v>
      </c>
      <c r="E206" s="51">
        <v>1</v>
      </c>
      <c r="F206" s="51"/>
      <c r="G206" s="51"/>
      <c r="H206" s="51"/>
      <c r="I206" s="49">
        <f t="shared" si="7"/>
        <v>4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Cormier</v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5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>
        <v>10</v>
      </c>
      <c r="B218" s="60">
        <v>19</v>
      </c>
      <c r="C218" s="50">
        <v>1</v>
      </c>
      <c r="D218" s="60">
        <v>7</v>
      </c>
      <c r="E218" s="51"/>
      <c r="F218" s="51"/>
      <c r="G218" s="51"/>
      <c r="H218" s="51">
        <v>1</v>
      </c>
      <c r="I218" s="53">
        <f>IFERROR(B218/A218,"")</f>
        <v>1.9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>
        <v>15</v>
      </c>
      <c r="B219" s="60">
        <v>85</v>
      </c>
      <c r="C219" s="50">
        <v>2</v>
      </c>
      <c r="D219" s="60">
        <v>42</v>
      </c>
      <c r="E219" s="51"/>
      <c r="F219" s="51"/>
      <c r="G219" s="51"/>
      <c r="H219" s="51">
        <v>1</v>
      </c>
      <c r="I219" s="53">
        <f t="shared" ref="I219:I237" si="8">IF(A219&lt;&gt;0,(B219-(B218-D218))/(A219-A218),"")</f>
        <v>14.6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>
        <v>20</v>
      </c>
      <c r="B220" s="60">
        <v>123</v>
      </c>
      <c r="C220" s="50">
        <v>3</v>
      </c>
      <c r="D220" s="60">
        <v>42</v>
      </c>
      <c r="E220" s="51"/>
      <c r="F220" s="51"/>
      <c r="G220" s="51"/>
      <c r="H220" s="51">
        <v>1</v>
      </c>
      <c r="I220" s="53">
        <f t="shared" si="8"/>
        <v>16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0">
        <v>25</v>
      </c>
      <c r="B221" s="60">
        <v>165</v>
      </c>
      <c r="C221" s="50">
        <v>4</v>
      </c>
      <c r="D221" s="60">
        <v>42</v>
      </c>
      <c r="E221" s="51"/>
      <c r="F221" s="51"/>
      <c r="G221" s="51"/>
      <c r="H221" s="51">
        <v>1</v>
      </c>
      <c r="I221" s="53">
        <f t="shared" si="8"/>
        <v>16.8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0">
        <v>30</v>
      </c>
      <c r="B222" s="60">
        <v>205</v>
      </c>
      <c r="C222" s="50">
        <v>5</v>
      </c>
      <c r="D222" s="60">
        <v>42</v>
      </c>
      <c r="E222" s="51"/>
      <c r="F222" s="51"/>
      <c r="G222" s="51"/>
      <c r="H222" s="51">
        <v>1</v>
      </c>
      <c r="I222" s="53">
        <f t="shared" si="8"/>
        <v>16.399999999999999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0">
        <v>35</v>
      </c>
      <c r="B223" s="60">
        <v>239</v>
      </c>
      <c r="C223" s="50">
        <v>6</v>
      </c>
      <c r="D223" s="50">
        <v>42</v>
      </c>
      <c r="E223" s="51">
        <v>1</v>
      </c>
      <c r="F223" s="51"/>
      <c r="G223" s="51"/>
      <c r="H223" s="51"/>
      <c r="I223" s="53">
        <f t="shared" si="8"/>
        <v>15.2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0">
        <v>40</v>
      </c>
      <c r="B224" s="60">
        <v>263</v>
      </c>
      <c r="C224" s="50">
        <v>7</v>
      </c>
      <c r="D224" s="60">
        <v>40</v>
      </c>
      <c r="E224" s="51">
        <v>1</v>
      </c>
      <c r="F224" s="51"/>
      <c r="G224" s="51"/>
      <c r="H224" s="51"/>
      <c r="I224" s="53">
        <f t="shared" si="8"/>
        <v>13.2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0">
        <v>45</v>
      </c>
      <c r="B225" s="50">
        <v>280</v>
      </c>
      <c r="C225" s="50">
        <v>8</v>
      </c>
      <c r="D225" s="60">
        <v>26</v>
      </c>
      <c r="E225" s="51">
        <v>1</v>
      </c>
      <c r="F225" s="51"/>
      <c r="G225" s="51"/>
      <c r="H225" s="51"/>
      <c r="I225" s="53">
        <f t="shared" si="8"/>
        <v>11.4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0">
        <v>50</v>
      </c>
      <c r="B226" s="50">
        <v>303</v>
      </c>
      <c r="C226" s="50">
        <v>9</v>
      </c>
      <c r="D226" s="50">
        <v>21</v>
      </c>
      <c r="E226" s="51">
        <v>1</v>
      </c>
      <c r="F226" s="51"/>
      <c r="G226" s="51"/>
      <c r="H226" s="51"/>
      <c r="I226" s="53">
        <f t="shared" si="8"/>
        <v>9.8000000000000007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0">
        <v>55</v>
      </c>
      <c r="B227" s="50">
        <v>324</v>
      </c>
      <c r="C227" s="50">
        <v>10</v>
      </c>
      <c r="D227" s="50">
        <v>18</v>
      </c>
      <c r="E227" s="51">
        <v>1</v>
      </c>
      <c r="F227" s="51"/>
      <c r="G227" s="51"/>
      <c r="H227" s="51"/>
      <c r="I227" s="53">
        <f t="shared" si="8"/>
        <v>8.4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0">
        <v>60</v>
      </c>
      <c r="B228" s="50">
        <v>343</v>
      </c>
      <c r="C228" s="50">
        <v>11</v>
      </c>
      <c r="D228" s="50">
        <v>17</v>
      </c>
      <c r="E228" s="51">
        <v>1</v>
      </c>
      <c r="F228" s="51"/>
      <c r="G228" s="51"/>
      <c r="H228" s="51"/>
      <c r="I228" s="53">
        <f t="shared" si="8"/>
        <v>7.4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0">
        <v>65</v>
      </c>
      <c r="B229" s="50">
        <v>356</v>
      </c>
      <c r="C229" s="50">
        <v>12</v>
      </c>
      <c r="D229" s="50">
        <v>16</v>
      </c>
      <c r="E229" s="51">
        <v>1</v>
      </c>
      <c r="F229" s="51"/>
      <c r="G229" s="51"/>
      <c r="H229" s="51"/>
      <c r="I229" s="53">
        <f t="shared" si="8"/>
        <v>6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0">
        <v>70</v>
      </c>
      <c r="B230" s="50">
        <v>366</v>
      </c>
      <c r="C230" s="50">
        <v>13</v>
      </c>
      <c r="D230" s="50">
        <v>15</v>
      </c>
      <c r="E230" s="51">
        <v>1</v>
      </c>
      <c r="F230" s="51"/>
      <c r="G230" s="51"/>
      <c r="H230" s="51"/>
      <c r="I230" s="53">
        <f t="shared" si="8"/>
        <v>5.2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50">
        <v>75</v>
      </c>
      <c r="B231" s="50">
        <v>375</v>
      </c>
      <c r="C231" s="50">
        <v>14</v>
      </c>
      <c r="D231" s="50">
        <v>14</v>
      </c>
      <c r="E231" s="51">
        <v>1</v>
      </c>
      <c r="F231" s="51"/>
      <c r="G231" s="51"/>
      <c r="H231" s="51"/>
      <c r="I231" s="53">
        <f t="shared" si="8"/>
        <v>4.8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>
        <v>80</v>
      </c>
      <c r="B232" s="50">
        <v>381</v>
      </c>
      <c r="C232" s="50">
        <v>15</v>
      </c>
      <c r="D232" s="50">
        <v>13</v>
      </c>
      <c r="E232" s="51">
        <v>1</v>
      </c>
      <c r="F232" s="51"/>
      <c r="G232" s="51"/>
      <c r="H232" s="51"/>
      <c r="I232" s="53">
        <f t="shared" si="8"/>
        <v>4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1"/>
      <c r="F233" s="51"/>
      <c r="G233" s="51"/>
      <c r="H233" s="51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1"/>
      <c r="F234" s="51"/>
      <c r="G234" s="51"/>
      <c r="H234" s="51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1"/>
      <c r="F235" s="51"/>
      <c r="G235" s="51"/>
      <c r="H235" s="51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1"/>
      <c r="F236" s="51"/>
      <c r="G236" s="51"/>
      <c r="H236" s="51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1"/>
      <c r="F237" s="51"/>
      <c r="G237" s="51"/>
      <c r="H237" s="51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>Charme</v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5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>
        <v>10</v>
      </c>
      <c r="B244" s="60">
        <v>69</v>
      </c>
      <c r="C244" s="60">
        <v>1</v>
      </c>
      <c r="D244" s="60">
        <v>10</v>
      </c>
      <c r="E244" s="51"/>
      <c r="F244" s="51"/>
      <c r="G244" s="51"/>
      <c r="H244" s="63">
        <v>1</v>
      </c>
      <c r="I244" s="53">
        <f>IFERROR(B244/A244,"")</f>
        <v>6.9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>
        <v>15</v>
      </c>
      <c r="B245" s="60">
        <v>122</v>
      </c>
      <c r="C245" s="60">
        <v>2</v>
      </c>
      <c r="D245" s="60">
        <v>18</v>
      </c>
      <c r="E245" s="51"/>
      <c r="F245" s="63"/>
      <c r="G245" s="63"/>
      <c r="H245" s="63">
        <v>1</v>
      </c>
      <c r="I245" s="53">
        <f>IF(A245&lt;&gt;0,(B245-(B244-D244))/(A245-A244),"")</f>
        <v>12.6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>
        <v>20</v>
      </c>
      <c r="B246" s="60">
        <v>163</v>
      </c>
      <c r="C246" s="60">
        <v>3</v>
      </c>
      <c r="D246" s="60">
        <v>23</v>
      </c>
      <c r="E246" s="51"/>
      <c r="F246" s="63"/>
      <c r="G246" s="63"/>
      <c r="H246" s="63">
        <v>1</v>
      </c>
      <c r="I246" s="53">
        <f>IF(A246&lt;&gt;0,(B246-(B245-D245))/(A246-A245),"")</f>
        <v>11.8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>
        <v>25</v>
      </c>
      <c r="B247" s="60">
        <v>193</v>
      </c>
      <c r="C247" s="60">
        <v>4</v>
      </c>
      <c r="D247" s="60">
        <v>27</v>
      </c>
      <c r="E247" s="51"/>
      <c r="F247" s="63"/>
      <c r="G247" s="63"/>
      <c r="H247" s="63">
        <v>1</v>
      </c>
      <c r="I247" s="53">
        <f t="shared" ref="I247:I263" si="9">IF(A247&lt;&gt;0,(B247-(B246-D246))/(A247-A246),"")</f>
        <v>10.6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>
        <v>30</v>
      </c>
      <c r="B248" s="60">
        <v>214</v>
      </c>
      <c r="C248" s="60">
        <v>5</v>
      </c>
      <c r="D248" s="60">
        <v>29</v>
      </c>
      <c r="E248" s="51"/>
      <c r="F248" s="63"/>
      <c r="G248" s="63"/>
      <c r="H248" s="63">
        <v>1</v>
      </c>
      <c r="I248" s="53">
        <f t="shared" si="9"/>
        <v>9.6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>
        <v>35</v>
      </c>
      <c r="B249" s="60">
        <v>229</v>
      </c>
      <c r="C249" s="60">
        <v>6</v>
      </c>
      <c r="D249" s="60">
        <v>30</v>
      </c>
      <c r="E249" s="51">
        <v>1</v>
      </c>
      <c r="F249" s="63"/>
      <c r="G249" s="63"/>
      <c r="H249" s="63"/>
      <c r="I249" s="53">
        <f t="shared" si="9"/>
        <v>8.8000000000000007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>
        <v>40</v>
      </c>
      <c r="B250" s="60">
        <v>240</v>
      </c>
      <c r="C250" s="60">
        <v>7</v>
      </c>
      <c r="D250" s="60">
        <v>31</v>
      </c>
      <c r="E250" s="51">
        <v>1</v>
      </c>
      <c r="F250" s="63"/>
      <c r="G250" s="63"/>
      <c r="H250" s="63"/>
      <c r="I250" s="53">
        <f t="shared" si="9"/>
        <v>8.1999999999999993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0">
        <v>45</v>
      </c>
      <c r="B251" s="55">
        <v>247</v>
      </c>
      <c r="C251" s="60">
        <v>8</v>
      </c>
      <c r="D251" s="55">
        <v>31</v>
      </c>
      <c r="E251" s="51">
        <v>1</v>
      </c>
      <c r="F251" s="63"/>
      <c r="G251" s="63"/>
      <c r="H251" s="63"/>
      <c r="I251" s="53">
        <f t="shared" si="9"/>
        <v>7.6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0">
        <v>50</v>
      </c>
      <c r="B252" s="55">
        <v>254</v>
      </c>
      <c r="C252" s="60">
        <v>9</v>
      </c>
      <c r="D252" s="55">
        <v>31</v>
      </c>
      <c r="E252" s="51">
        <v>1</v>
      </c>
      <c r="F252" s="63"/>
      <c r="G252" s="63"/>
      <c r="H252" s="63"/>
      <c r="I252" s="53">
        <f t="shared" si="9"/>
        <v>7.6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0">
        <v>55</v>
      </c>
      <c r="B253" s="55">
        <v>258</v>
      </c>
      <c r="C253" s="60">
        <v>10</v>
      </c>
      <c r="D253" s="55">
        <v>30</v>
      </c>
      <c r="E253" s="51">
        <v>1</v>
      </c>
      <c r="F253" s="63"/>
      <c r="G253" s="63"/>
      <c r="H253" s="63"/>
      <c r="I253" s="53">
        <f t="shared" si="9"/>
        <v>7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0">
        <v>60</v>
      </c>
      <c r="B254" s="55">
        <v>261</v>
      </c>
      <c r="C254" s="60">
        <v>11</v>
      </c>
      <c r="D254" s="55">
        <v>30</v>
      </c>
      <c r="E254" s="51">
        <v>1</v>
      </c>
      <c r="F254" s="63"/>
      <c r="G254" s="63"/>
      <c r="H254" s="63"/>
      <c r="I254" s="53">
        <f t="shared" si="9"/>
        <v>6.6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0">
        <v>65</v>
      </c>
      <c r="B255" s="55">
        <v>264</v>
      </c>
      <c r="C255" s="60">
        <v>12</v>
      </c>
      <c r="D255" s="55">
        <v>29</v>
      </c>
      <c r="E255" s="51">
        <v>1</v>
      </c>
      <c r="F255" s="63"/>
      <c r="G255" s="63"/>
      <c r="H255" s="63"/>
      <c r="I255" s="53">
        <f t="shared" si="9"/>
        <v>6.6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0">
        <v>70</v>
      </c>
      <c r="B256" s="55">
        <v>266</v>
      </c>
      <c r="C256" s="60">
        <v>13</v>
      </c>
      <c r="D256" s="55">
        <v>28</v>
      </c>
      <c r="E256" s="51">
        <v>1</v>
      </c>
      <c r="F256" s="64"/>
      <c r="G256" s="64"/>
      <c r="H256" s="64"/>
      <c r="I256" s="53">
        <f t="shared" si="9"/>
        <v>6.2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50">
        <v>75</v>
      </c>
      <c r="B257" s="60">
        <v>267</v>
      </c>
      <c r="C257" s="60">
        <v>14</v>
      </c>
      <c r="D257" s="60">
        <v>27</v>
      </c>
      <c r="E257" s="51">
        <v>1</v>
      </c>
      <c r="F257" s="54"/>
      <c r="G257" s="54"/>
      <c r="H257" s="54"/>
      <c r="I257" s="53">
        <f t="shared" si="9"/>
        <v>5.8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>
        <v>80</v>
      </c>
      <c r="B258" s="50">
        <v>268</v>
      </c>
      <c r="C258" s="60">
        <v>15</v>
      </c>
      <c r="D258" s="50">
        <v>26</v>
      </c>
      <c r="E258" s="51">
        <v>1</v>
      </c>
      <c r="F258" s="54"/>
      <c r="G258" s="54"/>
      <c r="H258" s="54"/>
      <c r="I258" s="53">
        <f t="shared" si="9"/>
        <v>5.6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>
        <v>85</v>
      </c>
      <c r="B259" s="50">
        <v>269</v>
      </c>
      <c r="C259" s="60">
        <v>16</v>
      </c>
      <c r="D259" s="50">
        <v>25</v>
      </c>
      <c r="E259" s="51">
        <v>1</v>
      </c>
      <c r="F259" s="54"/>
      <c r="G259" s="54"/>
      <c r="H259" s="54"/>
      <c r="I259" s="53">
        <f t="shared" si="9"/>
        <v>5.4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>
        <v>90</v>
      </c>
      <c r="B260" s="50">
        <v>269</v>
      </c>
      <c r="C260" s="60">
        <v>17</v>
      </c>
      <c r="D260" s="50">
        <v>24</v>
      </c>
      <c r="E260" s="51">
        <v>1</v>
      </c>
      <c r="F260" s="54"/>
      <c r="G260" s="54"/>
      <c r="H260" s="54"/>
      <c r="I260" s="53">
        <f t="shared" si="9"/>
        <v>5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>
        <v>95</v>
      </c>
      <c r="B261" s="50">
        <v>270</v>
      </c>
      <c r="C261" s="60">
        <v>18</v>
      </c>
      <c r="D261" s="50">
        <v>23</v>
      </c>
      <c r="E261" s="51">
        <v>1</v>
      </c>
      <c r="F261" s="54"/>
      <c r="G261" s="54"/>
      <c r="H261" s="54"/>
      <c r="I261" s="53">
        <f t="shared" si="9"/>
        <v>5</v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>
        <v>100</v>
      </c>
      <c r="B262" s="50">
        <v>270</v>
      </c>
      <c r="C262" s="60">
        <v>19</v>
      </c>
      <c r="D262" s="50">
        <v>22</v>
      </c>
      <c r="E262" s="51">
        <v>1</v>
      </c>
      <c r="F262" s="54"/>
      <c r="G262" s="54"/>
      <c r="H262" s="54"/>
      <c r="I262" s="53">
        <f t="shared" si="9"/>
        <v>4.5999999999999996</v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>
        <v>105</v>
      </c>
      <c r="B263" s="50">
        <v>270</v>
      </c>
      <c r="C263" s="60">
        <v>20</v>
      </c>
      <c r="D263" s="50">
        <v>21</v>
      </c>
      <c r="E263" s="51">
        <v>1</v>
      </c>
      <c r="F263" s="54"/>
      <c r="G263" s="54"/>
      <c r="H263" s="54"/>
      <c r="I263" s="53">
        <f t="shared" si="9"/>
        <v>4.4000000000000004</v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>Bouleau verruqueux</v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5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>
        <v>10</v>
      </c>
      <c r="B270" s="60">
        <v>19</v>
      </c>
      <c r="C270" s="50">
        <v>1</v>
      </c>
      <c r="D270" s="60">
        <v>7</v>
      </c>
      <c r="E270" s="51"/>
      <c r="F270" s="51"/>
      <c r="G270" s="51"/>
      <c r="H270" s="63">
        <v>1</v>
      </c>
      <c r="I270" s="53">
        <f>IFERROR(B270/A270,"")</f>
        <v>1.9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>
        <v>15</v>
      </c>
      <c r="B271" s="60">
        <v>85</v>
      </c>
      <c r="C271" s="50">
        <v>2</v>
      </c>
      <c r="D271" s="60">
        <v>42</v>
      </c>
      <c r="E271" s="51"/>
      <c r="F271" s="63"/>
      <c r="G271" s="63"/>
      <c r="H271" s="63">
        <v>1</v>
      </c>
      <c r="I271" s="53">
        <f>IF(A271&lt;&gt;0,(B271-(B270-D270))/(A271-A270),"")</f>
        <v>14.6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>
        <v>20</v>
      </c>
      <c r="B272" s="60">
        <v>123</v>
      </c>
      <c r="C272" s="50">
        <v>3</v>
      </c>
      <c r="D272" s="60">
        <v>42</v>
      </c>
      <c r="E272" s="51"/>
      <c r="F272" s="63"/>
      <c r="G272" s="63"/>
      <c r="H272" s="63">
        <v>1</v>
      </c>
      <c r="I272" s="53">
        <f t="shared" ref="I272:I289" si="10">IF(A272&lt;&gt;0,(B272-(B271-D271))/(A272-A271),"")</f>
        <v>16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>
        <v>25</v>
      </c>
      <c r="B273" s="60">
        <v>165</v>
      </c>
      <c r="C273" s="50">
        <v>4</v>
      </c>
      <c r="D273" s="60">
        <v>42</v>
      </c>
      <c r="E273" s="51"/>
      <c r="F273" s="63"/>
      <c r="G273" s="63"/>
      <c r="H273" s="63">
        <v>1</v>
      </c>
      <c r="I273" s="53">
        <f t="shared" si="10"/>
        <v>16.8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>
        <v>30</v>
      </c>
      <c r="B274" s="60">
        <v>205</v>
      </c>
      <c r="C274" s="50">
        <v>5</v>
      </c>
      <c r="D274" s="60">
        <v>42</v>
      </c>
      <c r="E274" s="51"/>
      <c r="F274" s="63"/>
      <c r="G274" s="63"/>
      <c r="H274" s="63">
        <v>1</v>
      </c>
      <c r="I274" s="53">
        <f t="shared" si="10"/>
        <v>16.399999999999999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>
        <v>35</v>
      </c>
      <c r="B275" s="60">
        <v>239</v>
      </c>
      <c r="C275" s="50">
        <v>6</v>
      </c>
      <c r="D275" s="50">
        <v>42</v>
      </c>
      <c r="E275" s="51">
        <v>1</v>
      </c>
      <c r="F275" s="51"/>
      <c r="G275" s="51"/>
      <c r="H275" s="51"/>
      <c r="I275" s="53">
        <f t="shared" si="10"/>
        <v>15.2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>
        <v>40</v>
      </c>
      <c r="B276" s="60">
        <v>263</v>
      </c>
      <c r="C276" s="50">
        <v>7</v>
      </c>
      <c r="D276" s="60">
        <v>40</v>
      </c>
      <c r="E276" s="51">
        <v>1</v>
      </c>
      <c r="F276" s="51"/>
      <c r="G276" s="51"/>
      <c r="H276" s="51"/>
      <c r="I276" s="53">
        <f t="shared" si="10"/>
        <v>13.2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0">
        <v>45</v>
      </c>
      <c r="B277" s="50">
        <v>280</v>
      </c>
      <c r="C277" s="50">
        <v>8</v>
      </c>
      <c r="D277" s="60">
        <v>26</v>
      </c>
      <c r="E277" s="51">
        <v>1</v>
      </c>
      <c r="F277" s="51"/>
      <c r="G277" s="51"/>
      <c r="H277" s="51"/>
      <c r="I277" s="53">
        <f t="shared" si="10"/>
        <v>11.4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0">
        <v>50</v>
      </c>
      <c r="B278" s="50">
        <v>303</v>
      </c>
      <c r="C278" s="50">
        <v>9</v>
      </c>
      <c r="D278" s="50">
        <v>21</v>
      </c>
      <c r="E278" s="51">
        <v>1</v>
      </c>
      <c r="F278" s="51"/>
      <c r="G278" s="51"/>
      <c r="H278" s="51"/>
      <c r="I278" s="53">
        <f t="shared" si="10"/>
        <v>9.8000000000000007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0">
        <v>55</v>
      </c>
      <c r="B279" s="50">
        <v>324</v>
      </c>
      <c r="C279" s="50">
        <v>10</v>
      </c>
      <c r="D279" s="50">
        <v>18</v>
      </c>
      <c r="E279" s="51">
        <v>1</v>
      </c>
      <c r="F279" s="51"/>
      <c r="G279" s="51"/>
      <c r="H279" s="51"/>
      <c r="I279" s="53">
        <f t="shared" si="10"/>
        <v>8.4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0">
        <v>60</v>
      </c>
      <c r="B280" s="50">
        <v>343</v>
      </c>
      <c r="C280" s="50">
        <v>11</v>
      </c>
      <c r="D280" s="50">
        <v>17</v>
      </c>
      <c r="E280" s="51">
        <v>1</v>
      </c>
      <c r="F280" s="51"/>
      <c r="G280" s="51"/>
      <c r="H280" s="51"/>
      <c r="I280" s="53">
        <f t="shared" si="10"/>
        <v>7.4</v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0">
        <v>65</v>
      </c>
      <c r="B281" s="50">
        <v>356</v>
      </c>
      <c r="C281" s="50">
        <v>12</v>
      </c>
      <c r="D281" s="50">
        <v>16</v>
      </c>
      <c r="E281" s="51">
        <v>1</v>
      </c>
      <c r="F281" s="51"/>
      <c r="G281" s="51"/>
      <c r="H281" s="51"/>
      <c r="I281" s="53">
        <f t="shared" si="10"/>
        <v>6</v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0">
        <v>70</v>
      </c>
      <c r="B282" s="50">
        <v>366</v>
      </c>
      <c r="C282" s="50">
        <v>13</v>
      </c>
      <c r="D282" s="50">
        <v>15</v>
      </c>
      <c r="E282" s="51">
        <v>1</v>
      </c>
      <c r="F282" s="51"/>
      <c r="G282" s="51"/>
      <c r="H282" s="51"/>
      <c r="I282" s="53">
        <f t="shared" si="10"/>
        <v>5.2</v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50">
        <v>75</v>
      </c>
      <c r="B283" s="50">
        <v>375</v>
      </c>
      <c r="C283" s="50">
        <v>14</v>
      </c>
      <c r="D283" s="50">
        <v>14</v>
      </c>
      <c r="E283" s="51">
        <v>1</v>
      </c>
      <c r="F283" s="51"/>
      <c r="G283" s="51"/>
      <c r="H283" s="51"/>
      <c r="I283" s="53">
        <f t="shared" si="10"/>
        <v>4.8</v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>
        <v>80</v>
      </c>
      <c r="B284" s="50">
        <v>381</v>
      </c>
      <c r="C284" s="50">
        <v>15</v>
      </c>
      <c r="D284" s="50">
        <v>13</v>
      </c>
      <c r="E284" s="51">
        <v>1</v>
      </c>
      <c r="F284" s="51"/>
      <c r="G284" s="51"/>
      <c r="H284" s="51"/>
      <c r="I284" s="53">
        <f t="shared" si="10"/>
        <v>4</v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17" sqref="B17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6"/>
      <c r="K1" s="9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7" t="s">
        <v>296</v>
      </c>
      <c r="C5" s="97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8"/>
      <c r="B7" s="26" t="s">
        <v>295</v>
      </c>
      <c r="C7" s="99" t="s">
        <v>214</v>
      </c>
      <c r="D7" s="214"/>
      <c r="E7" s="100"/>
      <c r="F7" s="26" t="s">
        <v>295</v>
      </c>
      <c r="G7" s="99" t="s">
        <v>215</v>
      </c>
      <c r="H7" s="215"/>
      <c r="I7" s="215"/>
      <c r="J7" s="215"/>
      <c r="K7" s="215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</row>
    <row r="8" spans="1:38" ht="17.25" customHeight="1" x14ac:dyDescent="0.3">
      <c r="A8" s="104">
        <v>1</v>
      </c>
      <c r="B8" s="61">
        <v>1</v>
      </c>
      <c r="C8" s="49" t="s">
        <v>177</v>
      </c>
      <c r="D8" s="23"/>
      <c r="E8" s="104">
        <v>4</v>
      </c>
      <c r="F8" s="61">
        <v>0</v>
      </c>
      <c r="G8" s="101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4">
        <v>2</v>
      </c>
      <c r="B9" s="61">
        <v>0</v>
      </c>
      <c r="C9" s="107" t="s">
        <v>216</v>
      </c>
      <c r="D9" s="23"/>
      <c r="E9" s="104">
        <v>5</v>
      </c>
      <c r="F9" s="61">
        <v>0</v>
      </c>
      <c r="G9" s="102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4">
        <v>3</v>
      </c>
      <c r="B10" s="61">
        <v>0</v>
      </c>
      <c r="C10" s="108" t="s">
        <v>217</v>
      </c>
      <c r="D10" s="23"/>
      <c r="E10" s="4"/>
      <c r="F10" s="105">
        <f>SUM(F7:F9)</f>
        <v>0</v>
      </c>
      <c r="G10" s="103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5">
        <v>0</v>
      </c>
      <c r="C11" s="103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5"/>
      <c r="B13" s="106"/>
      <c r="C13" s="97" t="s">
        <v>273</v>
      </c>
      <c r="D13" s="215"/>
      <c r="E13" s="98"/>
      <c r="F13" s="106"/>
      <c r="G13" s="97" t="s">
        <v>301</v>
      </c>
      <c r="H13" s="215"/>
      <c r="I13" s="215"/>
      <c r="J13" s="215"/>
      <c r="K13" s="215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</row>
    <row r="14" spans="1:38" s="3" customFormat="1" ht="21" customHeight="1" x14ac:dyDescent="0.3">
      <c r="A14" s="215"/>
      <c r="B14" s="106"/>
      <c r="C14" s="97" t="s">
        <v>309</v>
      </c>
      <c r="D14" s="215"/>
      <c r="E14" s="98"/>
      <c r="F14" s="106"/>
      <c r="G14" s="97" t="s">
        <v>294</v>
      </c>
      <c r="H14" s="215"/>
      <c r="I14" s="215"/>
      <c r="J14" s="215"/>
      <c r="K14" s="215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9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09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9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5">
        <f>SUM(B16:B18)</f>
        <v>1</v>
      </c>
      <c r="C19" s="103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Chêne sessile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>Chêne pubescent</v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>Robinier faux-acacia</v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>Chêne rouge d'Amérique</v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>Douglas</v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>Cèdre de l'Atlas</v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>Alisier torminal</v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>Cormier</v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>Charme</v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>Bouleau verruqueux</v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439.19854273764042</v>
      </c>
      <c r="T3" s="59">
        <f>IF('Données projet'!E9&gt;30,$R$33-$H$33,LOOKUP('Données projet'!$E$9,$A$3:$A$203,R3:R203)-LOOKUP('Données projet'!$E$9,$A$3:$A$203,$H$3:$H$203))</f>
        <v>278.21741231699929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487.18832528146936</v>
      </c>
      <c r="AO3" s="59">
        <f>IF('Données projet'!E10&gt;30,$AM$33-$H$33,LOOKUP('Données projet'!$E$10,$A$3:$A$203,AM3:AM203)-LOOKUP('Données projet'!$E$10,$A$3:$A$203,$H$3:$H$203))</f>
        <v>306.61893266146666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436.23918637269577</v>
      </c>
      <c r="BJ3" s="59">
        <f>IF('Données projet'!E11&gt;30,$BH$33-$H$33,LOOKUP('Données projet'!$E$11,$A$3:$A$203,BH3:BH203)-LOOKUP('Données projet'!$E$11,$A$3:$A$203,$H$3:$H$203))</f>
        <v>611.43967996341894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304.32767345253382</v>
      </c>
      <c r="CE3" s="59">
        <f>IF('Données projet'!E12&gt;30,$CC$33-$H$33,LOOKUP('Données projet'!$E$12,$A$3:$A$203,CC3:CC203)-LOOKUP('Données projet'!$E$12,$A$3:$A$203,$H$3:$H$203))</f>
        <v>427.16091343339173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555.15881087162279</v>
      </c>
      <c r="CZ3" s="59">
        <f>IF('Données projet'!E13&gt;30,$CX$33-$H$33,LOOKUP('Données projet'!$E$13,$A$3:$A$203,CX3:CX203)-LOOKUP('Données projet'!$E$13,$A$3:$A$203,$H$3:$H$203))</f>
        <v>668.20427590250733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523.79180230463714</v>
      </c>
      <c r="DU3" s="59">
        <f>IF('Données projet'!E14&gt;30,$DS$33-$H$33,LOOKUP('Données projet'!$E$14,$A$3:$A$203,DS3:DS203)-LOOKUP('Données projet'!$E$14,$A$3:$A$203,$H$3:$H$203))</f>
        <v>459.3547783500515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484.41278617935654</v>
      </c>
      <c r="EP3" s="59">
        <f>IF('Données projet'!E15&gt;30,$EN$33-$H$33,LOOKUP('Données projet'!$E$15,$A$3:$A$203,EN3:EN203)-LOOKUP('Données projet'!$E$15,$A$3:$A$203,$H$3:$H$203))</f>
        <v>467.97490540700738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256.66666666666669</v>
      </c>
      <c r="FJ3" s="59">
        <f ca="1">AVERAGE(OFFSET($FI$3,0,0,'Données projet'!$E$16+1,1))-AVERAGE(OFFSET($H$3,0,0,'Données projet'!$E$16+1,1))</f>
        <v>534.54020133239135</v>
      </c>
      <c r="FK3" s="59">
        <f>IF('Données projet'!E16&gt;30,$FI$33-$H$33,LOOKUP('Données projet'!$E$16,$A$3:$A$203,FI3:FI203)-LOOKUP('Données projet'!$E$16,$A$3:$A$203,$H$3:$H$203))</f>
        <v>515.48696069008815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256.66666666666669</v>
      </c>
      <c r="GE3" s="59">
        <f ca="1">AVERAGE(OFFSET($GD$3,0,0,'Données projet'!$E$17+1,1))-AVERAGE(OFFSET($H$3,0,0,'Données projet'!$E$17+1,1))</f>
        <v>455.71329051283936</v>
      </c>
      <c r="GF3" s="59">
        <f>IF('Données projet'!E17&gt;30,$GD$33-$H$33,LOOKUP('Données projet'!$E$17,$A$3:$A$203,GD3:GD203)-LOOKUP('Données projet'!$E$17,$A$3:$A$203,$H$3:$H$203))</f>
        <v>479.3743231122258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256.66666666666669</v>
      </c>
      <c r="GZ3" s="59">
        <f ca="1">AVERAGE(OFFSET($GY$3,0,0,'Données projet'!$E$18+1,1))-AVERAGE(OFFSET($H$3,0,0,'Données projet'!$E$18+1,1))</f>
        <v>412.59676769258488</v>
      </c>
      <c r="HA3" s="59">
        <f>IF('Données projet'!E18&gt;30,$GY$33-$H$33,LOOKUP('Données projet'!$E$18,$A$3:$A$203,GY3:GY203)-LOOKUP('Données projet'!$E$18,$A$3:$A$203,$H$3:$H$203))</f>
        <v>399.90063795152133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3.65</v>
      </c>
      <c r="N4" s="13">
        <f>IF('Données projet'!$A$36&gt;35,N3+M4-V3,IF(A4&lt;'Données projet'!$A$36,$K$205^A4,IF(A4='Données projet'!$A$36,'Données projet'!$B$36,N3+M4-V3)))</f>
        <v>1.2392705892426346</v>
      </c>
      <c r="O4" s="13">
        <f>N4*VLOOKUP('Données projet'!$B$9,Paramètres!$A$1:$I$89,3,0)*VLOOKUP('Données projet'!$B$9,Paramètres!$A$1:$I$89,5,0)</f>
        <v>1.1212920291467359</v>
      </c>
      <c r="P4" s="13">
        <f>EXP(-1.0587+0.8836*LN(O4)+0.284)</f>
        <v>0.50989827066551541</v>
      </c>
      <c r="Q4" s="20">
        <f t="shared" ref="Q4:Q34" si="2">(O4+P4)*0.475*44/12</f>
        <v>2.8409897721730037</v>
      </c>
      <c r="R4" s="59">
        <f t="shared" si="0"/>
        <v>260.72987866106189</v>
      </c>
      <c r="S4" s="59">
        <f ca="1">AVERAGE(OFFSET($R$3,0,0,'Données projet'!$E$9+1,1))-AVERAGE(OFFSET($H$3,0,0,'Données projet'!$E$9+1,1))</f>
        <v>439.19854273764042</v>
      </c>
      <c r="T4" s="59">
        <f>$T$3</f>
        <v>278.21741231699929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3.65</v>
      </c>
      <c r="AI4" s="13">
        <f>IF('Données projet'!$A$62&gt;35,AI3+AH4-AQ3,IF(A4&lt;'Données projet'!$A$62,$AF$205^A4,IF(A4='Données projet'!$A$62,'Données projet'!$B$62,AI3+AH4-AQ3)))</f>
        <v>1.2392705892426346</v>
      </c>
      <c r="AJ4" s="13">
        <f>AI4*VLOOKUP('Données projet'!$B$10,Paramètres!$A$1:$I$89,3,0)*VLOOKUP('Données projet'!$B$10,Paramètres!$A$1:$I$89,5,0)</f>
        <v>1.2566203774920315</v>
      </c>
      <c r="AK4" s="13">
        <f>EXP(-1.0587+0.8836*LN(AJ4)+0.284)</f>
        <v>0.56390871417545174</v>
      </c>
      <c r="AL4" s="20">
        <f t="shared" ref="AL4:AL67" si="4">(AJ4+AK4)*0.475*44/12</f>
        <v>3.1707548346542</v>
      </c>
      <c r="AM4" s="59">
        <f t="shared" ref="AM4:AM67" si="5">AL4+(AD4+AE4)*44/12</f>
        <v>261.05964372354305</v>
      </c>
      <c r="AN4" s="59">
        <f ca="1">AVERAGE(OFFSET($AM$3,0,0,'Données projet'!$E$10+1,1))-AVERAGE(OFFSET($H$3,0,0,'Données projet'!$E$10+1,1))</f>
        <v>487.18832528146936</v>
      </c>
      <c r="AO4" s="59">
        <f>$AO$3</f>
        <v>306.61893266146666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8.1999999999999993</v>
      </c>
      <c r="BD4" s="12">
        <f>IF('Données projet'!$A$88&gt;35,BD3+BC4-BL3,IF(A4&lt;'Données projet'!$A$88,$BA$205^A4,IF(A4='Données projet'!$A$88,'Données projet'!$B$88,BD3+BC4-BL3)))</f>
        <v>2.1016324782757847</v>
      </c>
      <c r="BE4" s="13">
        <f>BD4*VLOOKUP('Données projet'!$B$11,Paramètres!$A$1:$I$89,3,0)*VLOOKUP('Données projet'!$B$11,Paramètres!$A$1:$I$89,5,0)</f>
        <v>1.9015570663439298</v>
      </c>
      <c r="BF4" s="13">
        <f>EXP(-1.0587+0.8836*LN(BE4)+0.284)</f>
        <v>0.81315455339418119</v>
      </c>
      <c r="BG4" s="20">
        <f t="shared" ref="BG4:BG67" si="7">(BE4+BF4)*0.475*44/12</f>
        <v>4.7281227377105433</v>
      </c>
      <c r="BH4" s="59">
        <f t="shared" ref="BH4:BH67" si="8">BG4+(AY4+AZ4)*44/12</f>
        <v>262.61701162659938</v>
      </c>
      <c r="BI4" s="59">
        <f ca="1">AVERAGE(OFFSET($BH$3,0,0,'Données projet'!$E$11+1,1))-AVERAGE(OFFSET($H$3,0,0,'Données projet'!$E$11+1,1))</f>
        <v>436.23918637269577</v>
      </c>
      <c r="BJ4" s="59">
        <f>$BJ$3</f>
        <v>611.43967996341894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7.1333333333333337</v>
      </c>
      <c r="BY4" s="12">
        <f>IF('Données projet'!$A$114&gt;35,BY3+BX4-CG3,IF(A4&lt;'Données projet'!$A$114,$BV$205^A4,IF(A4='Données projet'!$A$114,'Données projet'!$B$114,BY3+BX4-CG3)))</f>
        <v>1.3655017210306359</v>
      </c>
      <c r="BZ4" s="13">
        <f>BY4*VLOOKUP('Données projet'!$B$12,Paramètres!$A$1:$I$89,3,0)*VLOOKUP('Données projet'!$B$12,Paramètres!$A$1:$I$89,5,0)</f>
        <v>1.1929023034923638</v>
      </c>
      <c r="CA4" s="13">
        <f>EXP(-1.0587+0.8836*LN(BZ4)+0.284)</f>
        <v>0.53856749022761552</v>
      </c>
      <c r="CB4" s="20">
        <f t="shared" ref="CB4:CB67" si="10">(BZ4+CA4)*0.475*44/12</f>
        <v>3.015643224062297</v>
      </c>
      <c r="CC4" s="59">
        <f t="shared" ref="CC4:CC67" si="11">CB4+(BT4+BU4)*44/12</f>
        <v>260.90453211295113</v>
      </c>
      <c r="CD4" s="59">
        <f ca="1">AVERAGE(OFFSET($CC$3,0,0,'Données projet'!$E$12+1,1))-AVERAGE(OFFSET($H$3,0,0,'Données projet'!$E$12+1,1))</f>
        <v>304.32767345253382</v>
      </c>
      <c r="CE4" s="59">
        <f>$CE$3</f>
        <v>427.16091343339173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10.8</v>
      </c>
      <c r="CT4" s="12">
        <f>IF('Données projet'!$A$140&gt;35,CT3+CS4-DB3,IF(A4&lt;'Données projet'!$A$140,$CQ$205^A4,IF(A4='Données projet'!$A$140,'Données projet'!$B$140,CT3+CS4-DB3)))</f>
        <v>1.4037863041747067</v>
      </c>
      <c r="CU4" s="17">
        <f>CT4*VLOOKUP('Données projet'!$B$13,Paramètres!$A$1:$I$89,3,0)*VLOOKUP('Données projet'!$B$13,Paramètres!$A$1:$I$89,5,0)</f>
        <v>0.78471654403366109</v>
      </c>
      <c r="CV4" s="13">
        <f>EXP(-1.0587+0.8836*LN(CU4)+0.284)</f>
        <v>0.37198061042729702</v>
      </c>
      <c r="CW4" s="20">
        <f t="shared" ref="CW4:CW67" si="13">(CU4+CV4)*0.475*44/12</f>
        <v>2.0145808773528358</v>
      </c>
      <c r="CX4" s="59">
        <f t="shared" ref="CX4:CX67" si="14">CW4+(CO4+CP4)*44/12</f>
        <v>259.9034697662417</v>
      </c>
      <c r="CY4" s="59">
        <f ca="1">AVERAGE(OFFSET($CX$3,0,0,'Données projet'!$E$13+1,1))-AVERAGE(OFFSET($H$3,0,0,'Données projet'!$E$13+1,1))</f>
        <v>555.15881087162279</v>
      </c>
      <c r="CZ4" s="59">
        <f>$CZ$3</f>
        <v>668.20427590250733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6.4</v>
      </c>
      <c r="DO4" s="12">
        <f>IF('Données projet'!$A$166&gt;35,DO3+DN4-DW3,IF(A4&lt;'Données projet'!$A$166,$DL$205^A4,IF(A4='Données projet'!$A$166,'Données projet'!$B$166,DO3+DN4-DW3)))</f>
        <v>1.3556619776599483</v>
      </c>
      <c r="DP4" s="17">
        <f>DO4*VLOOKUP('Données projet'!$B$14,Paramètres!$A$1:$I$89,3,0)*VLOOKUP('Données projet'!$B$14,Paramètres!$A$1:$I$89,5,0)</f>
        <v>0.63444980554485586</v>
      </c>
      <c r="DQ4" s="13">
        <f>EXP(-1.0587+0.8836*LN(DP4)+0.284)</f>
        <v>0.30828350741460053</v>
      </c>
      <c r="DR4" s="20">
        <f t="shared" ref="DR4:DR67" si="16">(DP4+DQ4)*0.475*44/12</f>
        <v>1.6419271867377201</v>
      </c>
      <c r="DS4" s="59">
        <f t="shared" ref="DS4:DS67" si="17">DR4+(DJ4+DK4)*44/12</f>
        <v>259.5308160756266</v>
      </c>
      <c r="DT4" s="59">
        <f ca="1">AVERAGE(OFFSET($DS$3,0,0,'Données projet'!$E$14+1,1))-AVERAGE(OFFSET($H$3,0,0,'Données projet'!$E$14+1,1))</f>
        <v>523.79180230463714</v>
      </c>
      <c r="DU4" s="59">
        <f>$DU$3</f>
        <v>459.3547783500515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1.9</v>
      </c>
      <c r="EJ4" s="12">
        <f>IF('Données projet'!$A$192&gt;35,EJ3+EI4-ER3,IF(A4&lt;'Données projet'!$A$192,$EG$205^A4,IF(A4='Données projet'!$A$192,'Données projet'!$B$192,EJ3+EI4-ER3)))</f>
        <v>1.3423796509621049</v>
      </c>
      <c r="EK4" s="17">
        <f>EJ4*VLOOKUP('Données projet'!$B$15,Paramètres!$A$1:$I$89,3,0)*VLOOKUP('Données projet'!$B$15,Paramètres!$A$1:$I$89,5,0)</f>
        <v>1.2983495984105478</v>
      </c>
      <c r="EL4" s="13">
        <f>EXP(-1.0587+0.8836*LN(EK4)+0.284)</f>
        <v>0.58042341620228499</v>
      </c>
      <c r="EM4" s="20">
        <f t="shared" ref="EM4:EM67" si="19">(EK4+EL4)*0.475*44/12</f>
        <v>3.272196333784017</v>
      </c>
      <c r="EN4" s="59">
        <f t="shared" ref="EN4:EN67" si="20">EM4+(EE4+EF4)*44/12</f>
        <v>261.16108522267285</v>
      </c>
      <c r="EO4" s="59">
        <f ca="1">AVERAGE(OFFSET($EN$3,0,0,'Données projet'!$E$15+1,1))-AVERAGE(OFFSET($H$3,0,0,'Données projet'!$E$15+1,1))</f>
        <v>484.41278617935654</v>
      </c>
      <c r="EP4" s="59">
        <f>$EP$3</f>
        <v>467.97490540700738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1.9</v>
      </c>
      <c r="FE4" s="12">
        <f>IF('Données projet'!$A$218&gt;35,FE3+FD4-FM3,IF(A4&lt;'Données projet'!$A$218,$FB$205^A4,IF(A4='Données projet'!$A$218,'Données projet'!$B$218,FE3+FD4-FM3)))</f>
        <v>1.3423796509621049</v>
      </c>
      <c r="FF4" s="17">
        <f>FE4*VLOOKUP('Données projet'!$B$16,Paramètres!$A$1:$I$89,3,0)*VLOOKUP('Données projet'!$B$16,Paramètres!$A$1:$I$89,5,0)</f>
        <v>1.4449374562956097</v>
      </c>
      <c r="FG4" s="13">
        <f>EXP(-1.0587+0.8836*LN(FF4)+0.284)</f>
        <v>0.63796181469026658</v>
      </c>
      <c r="FH4" s="20">
        <f t="shared" ref="FH4:FH67" si="22">(FF4+FG4)*0.475*44/12</f>
        <v>3.6277162303004009</v>
      </c>
      <c r="FI4" s="59">
        <f t="shared" ref="FI4:FI67" si="23">FH4+(EZ4+FA4)*44/12</f>
        <v>261.51660511918925</v>
      </c>
      <c r="FJ4" s="59">
        <f ca="1">AVERAGE(OFFSET($FI$3,0,0,'Données projet'!$E$16+1,1))-AVERAGE(OFFSET($H$3,0,0,'Données projet'!$E$16+1,1))</f>
        <v>534.54020133239135</v>
      </c>
      <c r="FK4" s="59">
        <f>$FK$3</f>
        <v>515.48696069008815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6.9</v>
      </c>
      <c r="FZ4" s="12">
        <f>IF('Données projet'!$A$244&gt;35,FZ3+FY4-GH3,IF(A4&lt;'Données projet'!$A$244,$FW$205^A4,IF(A4='Données projet'!$A$244,'Données projet'!$B$244,FZ3+FY4-GH3)))</f>
        <v>1.5271612967071428</v>
      </c>
      <c r="GA4" s="17">
        <f>FZ4*VLOOKUP('Données projet'!$B$17,Paramètres!$A$1:$I$89,3,0)*VLOOKUP('Données projet'!$B$17,Paramètres!$A$1:$I$89,5,0)</f>
        <v>1.4532466899465171</v>
      </c>
      <c r="GB4" s="13">
        <f>EXP(-1.0587+0.8836*LN(GA4)+0.284)</f>
        <v>0.64120235365974165</v>
      </c>
      <c r="GC4" s="20">
        <f t="shared" ref="GC4:GC67" si="25">(GA4+GB4)*0.475*44/12</f>
        <v>3.6478320842809002</v>
      </c>
      <c r="GD4" s="59">
        <f t="shared" ref="GD4:GD67" si="26">GC4+(FU4+FV4)*44/12</f>
        <v>261.53672097316974</v>
      </c>
      <c r="GE4" s="59">
        <f ca="1">AVERAGE(OFFSET($GD$3,0,0,'Données projet'!$E$17+1,1))-AVERAGE(OFFSET($H$3,0,0,'Données projet'!$E$17+1,1))</f>
        <v>455.71329051283936</v>
      </c>
      <c r="GF4" s="59">
        <f>$GF$3</f>
        <v>479.3743231122258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1.9</v>
      </c>
      <c r="GU4" s="12">
        <f>IF('Données projet'!$A$270&gt;35,GU3+GT4-HC3,IF(A4&lt;'Données projet'!$A$270,$GR$205^A4,IF(A4='Données projet'!$A$270,'Données projet'!$B$270,GU3+GT4-HC3)))</f>
        <v>1.3423796509621049</v>
      </c>
      <c r="GV4" s="17">
        <f>GU4*VLOOKUP('Données projet'!$B$18,Paramètres!$A$1:$I$89,3,0)*VLOOKUP('Données projet'!$B$18,Paramètres!$A$1:$I$89,5,0)</f>
        <v>1.0889383728604596</v>
      </c>
      <c r="GW4" s="13">
        <f>EXP(-1.0587+0.8836*LN(GV4)+0.284)</f>
        <v>0.49687618596193051</v>
      </c>
      <c r="GX4" s="20">
        <f t="shared" ref="GX4:GX67" si="28">(GV4+GW4)*0.475*44/12</f>
        <v>2.761960356615663</v>
      </c>
      <c r="GY4" s="59">
        <f t="shared" ref="GY4:GY67" si="29">GX4+(GP4+GQ4)*44/12</f>
        <v>260.6508492455045</v>
      </c>
      <c r="GZ4" s="59">
        <f ca="1">AVERAGE(OFFSET($GY$3,0,0,'Données projet'!$E$18+1,1))-AVERAGE(OFFSET($H$3,0,0,'Données projet'!$E$18+1,1))</f>
        <v>412.59676769258488</v>
      </c>
      <c r="HA4" s="59">
        <f>$HA$3</f>
        <v>399.90063795152133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3.65</v>
      </c>
      <c r="N5" s="13">
        <f>IF('Données projet'!$A$36&gt;35,N4+M5-V4,IF(A5&lt;'Données projet'!$A$36,$K$205^A5,IF(A5='Données projet'!$A$36,'Données projet'!$B$36,N4+M5-V4)))</f>
        <v>1.5357915933617867</v>
      </c>
      <c r="O5" s="13">
        <f>N5*VLOOKUP('Données projet'!$B$9,Paramètres!$A$1:$I$89,3,0)*VLOOKUP('Données projet'!$B$9,Paramètres!$A$1:$I$89,5,0)</f>
        <v>1.3895842336737447</v>
      </c>
      <c r="P5" s="13">
        <f t="shared" ref="P5:P68" si="33">EXP(-1.0587+0.8836*LN(O5)+0.284)</f>
        <v>0.61631841327304715</v>
      </c>
      <c r="Q5" s="20">
        <f t="shared" si="2"/>
        <v>3.4936137767656628</v>
      </c>
      <c r="R5" s="59">
        <f t="shared" si="0"/>
        <v>262.60472488787678</v>
      </c>
      <c r="S5" s="59">
        <f ca="1">AVERAGE(OFFSET($R$3,0,0,'Données projet'!$E$9+1,1))-AVERAGE(OFFSET($H$3,0,0,'Données projet'!$E$9+1,1))</f>
        <v>439.19854273764042</v>
      </c>
      <c r="T5" s="59">
        <f t="shared" ref="T5:T68" si="34">$T$3</f>
        <v>278.21741231699929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3.65</v>
      </c>
      <c r="AI5" s="13">
        <f>IF('Données projet'!$A$62&gt;35,AI4+AH5-AQ4,IF(A5&lt;'Données projet'!$A$62,$AF$205^A5,IF(A5='Données projet'!$A$62,'Données projet'!$B$62,AI4+AH5-AQ4)))</f>
        <v>1.5357915933617867</v>
      </c>
      <c r="AJ5" s="13">
        <f>AI5*VLOOKUP('Données projet'!$B$10,Paramètres!$A$1:$I$89,3,0)*VLOOKUP('Données projet'!$B$10,Paramètres!$A$1:$I$89,5,0)</f>
        <v>1.5572926756688519</v>
      </c>
      <c r="AK5" s="13">
        <f t="shared" ref="AK5:AK68" si="35">EXP(-1.0587+0.8836*LN(AJ5)+0.284)</f>
        <v>0.68160129960402205</v>
      </c>
      <c r="AL5" s="20">
        <f t="shared" si="4"/>
        <v>3.8994070069335893</v>
      </c>
      <c r="AM5" s="59">
        <f t="shared" si="5"/>
        <v>263.01051811804473</v>
      </c>
      <c r="AN5" s="59">
        <f ca="1">AVERAGE(OFFSET($AM$3,0,0,'Données projet'!$E$10+1,1))-AVERAGE(OFFSET($H$3,0,0,'Données projet'!$E$10+1,1))</f>
        <v>487.18832528146936</v>
      </c>
      <c r="AO5" s="59">
        <f t="shared" ref="AO5:AO68" si="36">$AO$3</f>
        <v>306.61893266146666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8.1999999999999993</v>
      </c>
      <c r="BD5" s="12">
        <f>IF('Données projet'!$A$88&gt;35,BD4+BC5-BL4,IF(A5&lt;'Données projet'!$A$88,$BA$205^A5,IF(A5='Données projet'!$A$88,'Données projet'!$B$88,BD4+BC5-BL4)))</f>
        <v>4.4168590737436171</v>
      </c>
      <c r="BE5" s="13">
        <f>BD5*VLOOKUP('Données projet'!$B$11,Paramètres!$A$1:$I$89,3,0)*VLOOKUP('Données projet'!$B$11,Paramètres!$A$1:$I$89,5,0)</f>
        <v>3.9963740899232247</v>
      </c>
      <c r="BF5" s="13">
        <f t="shared" ref="BF5:BF68" si="37">EXP(-1.0587+0.8836*LN(BE5)+0.284)</f>
        <v>1.567415948479109</v>
      </c>
      <c r="BG5" s="20">
        <f t="shared" si="7"/>
        <v>9.6902676502173968</v>
      </c>
      <c r="BH5" s="59">
        <f t="shared" si="8"/>
        <v>268.80137876132852</v>
      </c>
      <c r="BI5" s="59">
        <f ca="1">AVERAGE(OFFSET($BH$3,0,0,'Données projet'!$E$11+1,1))-AVERAGE(OFFSET($H$3,0,0,'Données projet'!$E$11+1,1))</f>
        <v>436.23918637269577</v>
      </c>
      <c r="BJ5" s="59">
        <f t="shared" ref="BJ5:BJ68" si="38">$BJ$3</f>
        <v>611.43967996341894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7.1333333333333337</v>
      </c>
      <c r="BY5" s="12">
        <f>IF('Données projet'!$A$114&gt;35,BY4+BX5-CG4,IF(A5&lt;'Données projet'!$A$114,$BV$205^A5,IF(A5='Données projet'!$A$114,'Données projet'!$B$114,BY4+BX5-CG4)))</f>
        <v>1.8645949501376287</v>
      </c>
      <c r="BZ5" s="13">
        <f>BY5*VLOOKUP('Données projet'!$B$12,Paramètres!$A$1:$I$89,3,0)*VLOOKUP('Données projet'!$B$12,Paramètres!$A$1:$I$89,5,0)</f>
        <v>1.6289101484402326</v>
      </c>
      <c r="CA5" s="13">
        <f t="shared" ref="CA5:CA68" si="39">EXP(-1.0587+0.8836*LN(BZ5)+0.284)</f>
        <v>0.70922554238821334</v>
      </c>
      <c r="CB5" s="20">
        <f t="shared" si="10"/>
        <v>4.0722529948595438</v>
      </c>
      <c r="CC5" s="59">
        <f t="shared" si="11"/>
        <v>263.18336410597067</v>
      </c>
      <c r="CD5" s="59">
        <f ca="1">AVERAGE(OFFSET($CC$3,0,0,'Données projet'!$E$12+1,1))-AVERAGE(OFFSET($H$3,0,0,'Données projet'!$E$12+1,1))</f>
        <v>304.32767345253382</v>
      </c>
      <c r="CE5" s="59">
        <f t="shared" ref="CE5:CE68" si="40">$CE$3</f>
        <v>427.16091343339173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10.8</v>
      </c>
      <c r="CT5" s="12">
        <f>IF('Données projet'!$A$140&gt;35,CT4+CS5-DB4,IF(A5&lt;'Données projet'!$A$140,$CQ$205^A5,IF(A5='Données projet'!$A$140,'Données projet'!$B$140,CT4+CS5-DB4)))</f>
        <v>1.9706159877884823</v>
      </c>
      <c r="CU5" s="17">
        <f>CT5*VLOOKUP('Données projet'!$B$13,Paramètres!$A$1:$I$89,3,0)*VLOOKUP('Données projet'!$B$13,Paramètres!$A$1:$I$89,5,0)</f>
        <v>1.1015743371737616</v>
      </c>
      <c r="CV5" s="13">
        <f t="shared" ref="CV5:CV68" si="41">EXP(-1.0587+0.8836*LN(CU5)+0.284)</f>
        <v>0.50196734705126034</v>
      </c>
      <c r="CW5" s="20">
        <f t="shared" si="13"/>
        <v>2.7928351000252465</v>
      </c>
      <c r="CX5" s="59">
        <f t="shared" si="14"/>
        <v>261.90394621113637</v>
      </c>
      <c r="CY5" s="59">
        <f ca="1">AVERAGE(OFFSET($CX$3,0,0,'Données projet'!$E$13+1,1))-AVERAGE(OFFSET($H$3,0,0,'Données projet'!$E$13+1,1))</f>
        <v>555.15881087162279</v>
      </c>
      <c r="CZ5" s="59">
        <f t="shared" ref="CZ5:CZ68" si="42">$CZ$3</f>
        <v>668.20427590250733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6.4</v>
      </c>
      <c r="DO5" s="12">
        <f>IF('Données projet'!$A$166&gt;35,DO4+DN5-DW4,IF(A5&lt;'Données projet'!$A$166,$DL$205^A5,IF(A5='Données projet'!$A$166,'Données projet'!$B$166,DO4+DN5-DW4)))</f>
        <v>1.8378193976728823</v>
      </c>
      <c r="DP5" s="17">
        <f>DO5*VLOOKUP('Données projet'!$B$14,Paramètres!$A$1:$I$89,3,0)*VLOOKUP('Données projet'!$B$14,Paramètres!$A$1:$I$89,5,0)</f>
        <v>0.86009947811090881</v>
      </c>
      <c r="DQ5" s="13">
        <f t="shared" ref="DQ5:DQ68" si="43">EXP(-1.0587+0.8836*LN(DP5)+0.284)</f>
        <v>0.40338457030844316</v>
      </c>
      <c r="DR5" s="20">
        <f t="shared" si="16"/>
        <v>2.2005680509970378</v>
      </c>
      <c r="DS5" s="59">
        <f t="shared" si="17"/>
        <v>261.31167916210819</v>
      </c>
      <c r="DT5" s="59">
        <f ca="1">AVERAGE(OFFSET($DS$3,0,0,'Données projet'!$E$14+1,1))-AVERAGE(OFFSET($H$3,0,0,'Données projet'!$E$14+1,1))</f>
        <v>523.79180230463714</v>
      </c>
      <c r="DU5" s="59">
        <f t="shared" ref="DU5:DU68" si="44">$DU$3</f>
        <v>459.3547783500515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1.9</v>
      </c>
      <c r="EJ5" s="12">
        <f>IF('Données projet'!$A$192&gt;35,EJ4+EI5-ER4,IF(A5&lt;'Données projet'!$A$192,$EG$205^A5,IF(A5='Données projet'!$A$192,'Données projet'!$B$192,EJ4+EI5-ER4)))</f>
        <v>1.8019831273171425</v>
      </c>
      <c r="EK5" s="17">
        <f>EJ5*VLOOKUP('Données projet'!$B$15,Paramètres!$A$1:$I$89,3,0)*VLOOKUP('Données projet'!$B$15,Paramètres!$A$1:$I$89,5,0)</f>
        <v>1.7428780807411401</v>
      </c>
      <c r="EL5" s="13">
        <f t="shared" ref="EL5:EL68" si="45">EXP(-1.0587+0.8836*LN(EK5)+0.284)</f>
        <v>0.75289704598588003</v>
      </c>
      <c r="EM5" s="20">
        <f t="shared" si="19"/>
        <v>4.3468083457162265</v>
      </c>
      <c r="EN5" s="59">
        <f t="shared" si="20"/>
        <v>263.45791945682737</v>
      </c>
      <c r="EO5" s="59">
        <f ca="1">AVERAGE(OFFSET($EN$3,0,0,'Données projet'!$E$15+1,1))-AVERAGE(OFFSET($H$3,0,0,'Données projet'!$E$15+1,1))</f>
        <v>484.41278617935654</v>
      </c>
      <c r="EP5" s="59">
        <f t="shared" ref="EP5:EP68" si="46">$EP$3</f>
        <v>467.97490540700738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1.9</v>
      </c>
      <c r="FE5" s="12">
        <f>IF('Données projet'!$A$218&gt;35,FE4+FD5-FM4,IF(A5&lt;'Données projet'!$A$218,$FB$205^A5,IF(A5='Données projet'!$A$218,'Données projet'!$B$218,FE4+FD5-FM4)))</f>
        <v>1.8019831273171425</v>
      </c>
      <c r="FF5" s="17">
        <f>FE5*VLOOKUP('Données projet'!$B$16,Paramètres!$A$1:$I$89,3,0)*VLOOKUP('Données projet'!$B$16,Paramètres!$A$1:$I$89,5,0)</f>
        <v>1.9396546382441719</v>
      </c>
      <c r="FG5" s="13">
        <f t="shared" ref="FG5:FG68" si="47">EXP(-1.0587+0.8836*LN(FF5)+0.284)</f>
        <v>0.82753306004576399</v>
      </c>
      <c r="FH5" s="20">
        <f t="shared" si="22"/>
        <v>4.8195185745216378</v>
      </c>
      <c r="FI5" s="59">
        <f t="shared" si="23"/>
        <v>263.93062968563277</v>
      </c>
      <c r="FJ5" s="59">
        <f ca="1">AVERAGE(OFFSET($FI$3,0,0,'Données projet'!$E$16+1,1))-AVERAGE(OFFSET($H$3,0,0,'Données projet'!$E$16+1,1))</f>
        <v>534.54020133239135</v>
      </c>
      <c r="FK5" s="59">
        <f t="shared" ref="FK5:FK68" si="48">$FK$3</f>
        <v>515.48696069008815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6.9</v>
      </c>
      <c r="FZ5" s="12">
        <f>IF('Données projet'!$A$244&gt;35,FZ4+FY5-GH4,IF(A5&lt;'Données projet'!$A$244,$FW$205^A5,IF(A5='Données projet'!$A$244,'Données projet'!$B$244,FZ4+FY5-GH4)))</f>
        <v>2.332221626160242</v>
      </c>
      <c r="GA5" s="17">
        <f>FZ5*VLOOKUP('Données projet'!$B$17,Paramètres!$A$1:$I$89,3,0)*VLOOKUP('Données projet'!$B$17,Paramètres!$A$1:$I$89,5,0)</f>
        <v>2.219342099454086</v>
      </c>
      <c r="GB5" s="13">
        <f t="shared" ref="GB5:GB68" si="49">EXP(-1.0587+0.8836*LN(GA5)+0.284)</f>
        <v>0.93212855729563338</v>
      </c>
      <c r="GC5" s="20">
        <f t="shared" si="25"/>
        <v>5.4888113938390939</v>
      </c>
      <c r="GD5" s="59">
        <f t="shared" si="26"/>
        <v>264.59992250495026</v>
      </c>
      <c r="GE5" s="59">
        <f ca="1">AVERAGE(OFFSET($GD$3,0,0,'Données projet'!$E$17+1,1))-AVERAGE(OFFSET($H$3,0,0,'Données projet'!$E$17+1,1))</f>
        <v>455.71329051283936</v>
      </c>
      <c r="GF5" s="59">
        <f t="shared" ref="GF5:GF68" si="50">$GF$3</f>
        <v>479.3743231122258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1.9</v>
      </c>
      <c r="GU5" s="12">
        <f>IF('Données projet'!$A$270&gt;35,GU4+GT5-HC4,IF(A5&lt;'Données projet'!$A$270,$GR$205^A5,IF(A5='Données projet'!$A$270,'Données projet'!$B$270,GU4+GT5-HC4)))</f>
        <v>1.8019831273171425</v>
      </c>
      <c r="GV5" s="17">
        <f>GU5*VLOOKUP('Données projet'!$B$18,Paramètres!$A$1:$I$89,3,0)*VLOOKUP('Données projet'!$B$18,Paramètres!$A$1:$I$89,5,0)</f>
        <v>1.4617687128796659</v>
      </c>
      <c r="GW5" s="13">
        <f t="shared" ref="GW5:GW68" si="51">EXP(-1.0587+0.8836*LN(GV5)+0.284)</f>
        <v>0.64452363944787983</v>
      </c>
      <c r="GX5" s="20">
        <f t="shared" si="28"/>
        <v>3.6684591803038082</v>
      </c>
      <c r="GY5" s="59">
        <f t="shared" si="29"/>
        <v>262.77957029141493</v>
      </c>
      <c r="GZ5" s="59">
        <f ca="1">AVERAGE(OFFSET($GY$3,0,0,'Données projet'!$E$18+1,1))-AVERAGE(OFFSET($H$3,0,0,'Données projet'!$E$18+1,1))</f>
        <v>412.59676769258488</v>
      </c>
      <c r="HA5" s="59">
        <f t="shared" ref="HA5:HA68" si="52">$HA$3</f>
        <v>399.90063795152133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3.65</v>
      </c>
      <c r="N6" s="13">
        <f>IF('Données projet'!$A$36&gt;35,N5+M6-V5,IF(A6&lt;'Données projet'!$A$36,$K$205^A6,IF(A6='Données projet'!$A$36,'Données projet'!$B$36,N5+M6-V5)))</f>
        <v>1.9032613528593461</v>
      </c>
      <c r="O6" s="13">
        <f>N6*VLOOKUP('Données projet'!$B$9,Paramètres!$A$1:$I$89,3,0)*VLOOKUP('Données projet'!$B$9,Paramètres!$A$1:$I$89,5,0)</f>
        <v>1.7220708720671365</v>
      </c>
      <c r="P6" s="13">
        <f t="shared" si="33"/>
        <v>0.74494935243383209</v>
      </c>
      <c r="Q6" s="20">
        <f t="shared" si="2"/>
        <v>4.2967268910058536</v>
      </c>
      <c r="R6" s="59">
        <f t="shared" si="0"/>
        <v>264.63006022433916</v>
      </c>
      <c r="S6" s="59">
        <f ca="1">AVERAGE(OFFSET($R$3,0,0,'Données projet'!$E$9+1,1))-AVERAGE(OFFSET($H$3,0,0,'Données projet'!$E$9+1,1))</f>
        <v>439.19854273764042</v>
      </c>
      <c r="T6" s="59">
        <f t="shared" si="34"/>
        <v>278.21741231699929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3.65</v>
      </c>
      <c r="AI6" s="13">
        <f>IF('Données projet'!$A$62&gt;35,AI5+AH6-AQ5,IF(A6&lt;'Données projet'!$A$62,$AF$205^A6,IF(A6='Données projet'!$A$62,'Données projet'!$B$62,AI5+AH6-AQ5)))</f>
        <v>1.9032613528593461</v>
      </c>
      <c r="AJ6" s="13">
        <f>AI6*VLOOKUP('Données projet'!$B$10,Paramètres!$A$1:$I$89,3,0)*VLOOKUP('Données projet'!$B$10,Paramètres!$A$1:$I$89,5,0)</f>
        <v>1.9299070117993768</v>
      </c>
      <c r="AK6" s="13">
        <f t="shared" si="35"/>
        <v>0.82385733708903885</v>
      </c>
      <c r="AL6" s="20">
        <f t="shared" si="4"/>
        <v>4.7961395743139903</v>
      </c>
      <c r="AM6" s="59">
        <f t="shared" si="5"/>
        <v>265.12947290764731</v>
      </c>
      <c r="AN6" s="59">
        <f ca="1">AVERAGE(OFFSET($AM$3,0,0,'Données projet'!$E$10+1,1))-AVERAGE(OFFSET($H$3,0,0,'Données projet'!$E$10+1,1))</f>
        <v>487.18832528146936</v>
      </c>
      <c r="AO6" s="59">
        <f t="shared" si="36"/>
        <v>306.61893266146666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8.1999999999999993</v>
      </c>
      <c r="BD6" s="12">
        <f>IF('Données projet'!$A$88&gt;35,BD5+BC6-BL5,IF(A6&lt;'Données projet'!$A$88,$BA$205^A6,IF(A6='Données projet'!$A$88,'Données projet'!$B$88,BD5+BC6-BL5)))</f>
        <v>9.282614481346684</v>
      </c>
      <c r="BE6" s="13">
        <f>BD6*VLOOKUP('Données projet'!$B$11,Paramètres!$A$1:$I$89,3,0)*VLOOKUP('Données projet'!$B$11,Paramètres!$A$1:$I$89,5,0)</f>
        <v>8.3989095827224798</v>
      </c>
      <c r="BF6" s="13">
        <f t="shared" si="37"/>
        <v>3.0213109491815406</v>
      </c>
      <c r="BG6" s="20">
        <f t="shared" si="7"/>
        <v>19.890217426399502</v>
      </c>
      <c r="BH6" s="59">
        <f t="shared" si="8"/>
        <v>280.2235507597328</v>
      </c>
      <c r="BI6" s="59">
        <f ca="1">AVERAGE(OFFSET($BH$3,0,0,'Données projet'!$E$11+1,1))-AVERAGE(OFFSET($H$3,0,0,'Données projet'!$E$11+1,1))</f>
        <v>436.23918637269577</v>
      </c>
      <c r="BJ6" s="59">
        <f t="shared" si="38"/>
        <v>611.43967996341894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7.1333333333333337</v>
      </c>
      <c r="BY6" s="12">
        <f>IF('Données projet'!$A$114&gt;35,BY5+BX6-CG5,IF(A6&lt;'Données projet'!$A$114,$BV$205^A6,IF(A6='Données projet'!$A$114,'Données projet'!$B$114,BY5+BX6-CG5)))</f>
        <v>2.5461076134379645</v>
      </c>
      <c r="BZ6" s="13">
        <f>BY6*VLOOKUP('Données projet'!$B$12,Paramètres!$A$1:$I$89,3,0)*VLOOKUP('Données projet'!$B$12,Paramètres!$A$1:$I$89,5,0)</f>
        <v>2.2242796110994063</v>
      </c>
      <c r="CA6" s="13">
        <f t="shared" si="39"/>
        <v>0.93396069963909534</v>
      </c>
      <c r="CB6" s="20">
        <f t="shared" si="10"/>
        <v>5.5006018745362235</v>
      </c>
      <c r="CC6" s="59">
        <f t="shared" si="11"/>
        <v>265.83393520786956</v>
      </c>
      <c r="CD6" s="59">
        <f ca="1">AVERAGE(OFFSET($CC$3,0,0,'Données projet'!$E$12+1,1))-AVERAGE(OFFSET($H$3,0,0,'Données projet'!$E$12+1,1))</f>
        <v>304.32767345253382</v>
      </c>
      <c r="CE6" s="59">
        <f t="shared" si="40"/>
        <v>427.16091343339173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10.8</v>
      </c>
      <c r="CT6" s="12">
        <f>IF('Données projet'!$A$140&gt;35,CT5+CS6-DB5,IF(A6&lt;'Données projet'!$A$140,$CQ$205^A6,IF(A6='Données projet'!$A$140,'Données projet'!$B$140,CT5+CS6-DB5)))</f>
        <v>2.7663237344451828</v>
      </c>
      <c r="CU6" s="17">
        <f>CT6*VLOOKUP('Données projet'!$B$13,Paramètres!$A$1:$I$89,3,0)*VLOOKUP('Données projet'!$B$13,Paramètres!$A$1:$I$89,5,0)</f>
        <v>1.5463749675548573</v>
      </c>
      <c r="CV6" s="13">
        <f t="shared" si="41"/>
        <v>0.6773772891448272</v>
      </c>
      <c r="CW6" s="20">
        <f t="shared" si="13"/>
        <v>3.8730351804186167</v>
      </c>
      <c r="CX6" s="59">
        <f t="shared" si="14"/>
        <v>264.20636851375195</v>
      </c>
      <c r="CY6" s="59">
        <f ca="1">AVERAGE(OFFSET($CX$3,0,0,'Données projet'!$E$13+1,1))-AVERAGE(OFFSET($H$3,0,0,'Données projet'!$E$13+1,1))</f>
        <v>555.15881087162279</v>
      </c>
      <c r="CZ6" s="59">
        <f t="shared" si="42"/>
        <v>668.20427590250733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6.4</v>
      </c>
      <c r="DO6" s="12">
        <f>IF('Données projet'!$A$166&gt;35,DO5+DN6-DW5,IF(A6&lt;'Données projet'!$A$166,$DL$205^A6,IF(A6='Données projet'!$A$166,'Données projet'!$B$166,DO5+DN6-DW5)))</f>
        <v>2.4914618792310348</v>
      </c>
      <c r="DP6" s="17">
        <f>DO6*VLOOKUP('Données projet'!$B$14,Paramètres!$A$1:$I$89,3,0)*VLOOKUP('Données projet'!$B$14,Paramètres!$A$1:$I$89,5,0)</f>
        <v>1.1660041594801243</v>
      </c>
      <c r="DQ6" s="13">
        <f t="shared" si="43"/>
        <v>0.52782295403202251</v>
      </c>
      <c r="DR6" s="20">
        <f t="shared" si="16"/>
        <v>2.9500822227003223</v>
      </c>
      <c r="DS6" s="59">
        <f t="shared" si="17"/>
        <v>263.28341555603362</v>
      </c>
      <c r="DT6" s="59">
        <f ca="1">AVERAGE(OFFSET($DS$3,0,0,'Données projet'!$E$14+1,1))-AVERAGE(OFFSET($H$3,0,0,'Données projet'!$E$14+1,1))</f>
        <v>523.79180230463714</v>
      </c>
      <c r="DU6" s="59">
        <f t="shared" si="44"/>
        <v>459.3547783500515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1.9</v>
      </c>
      <c r="EJ6" s="12">
        <f>IF('Données projet'!$A$192&gt;35,EJ5+EI6-ER5,IF(A6&lt;'Données projet'!$A$192,$EG$205^A6,IF(A6='Données projet'!$A$192,'Données projet'!$B$192,EJ5+EI6-ER5)))</f>
        <v>2.4189454814875879</v>
      </c>
      <c r="EK6" s="17">
        <f>EJ6*VLOOKUP('Données projet'!$B$15,Paramètres!$A$1:$I$89,3,0)*VLOOKUP('Données projet'!$B$15,Paramètres!$A$1:$I$89,5,0)</f>
        <v>2.3396040696947948</v>
      </c>
      <c r="EL6" s="13">
        <f t="shared" si="45"/>
        <v>0.97662145604530259</v>
      </c>
      <c r="EM6" s="20">
        <f t="shared" si="19"/>
        <v>5.7757594573306692</v>
      </c>
      <c r="EN6" s="59">
        <f t="shared" si="20"/>
        <v>266.10909279066396</v>
      </c>
      <c r="EO6" s="59">
        <f ca="1">AVERAGE(OFFSET($EN$3,0,0,'Données projet'!$E$15+1,1))-AVERAGE(OFFSET($H$3,0,0,'Données projet'!$E$15+1,1))</f>
        <v>484.41278617935654</v>
      </c>
      <c r="EP6" s="59">
        <f t="shared" si="46"/>
        <v>467.97490540700738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1.9</v>
      </c>
      <c r="FE6" s="12">
        <f>IF('Données projet'!$A$218&gt;35,FE5+FD6-FM5,IF(A6&lt;'Données projet'!$A$218,$FB$205^A6,IF(A6='Données projet'!$A$218,'Données projet'!$B$218,FE5+FD6-FM5)))</f>
        <v>2.4189454814875879</v>
      </c>
      <c r="FF6" s="17">
        <f>FE6*VLOOKUP('Données projet'!$B$16,Paramètres!$A$1:$I$89,3,0)*VLOOKUP('Données projet'!$B$16,Paramètres!$A$1:$I$89,5,0)</f>
        <v>2.6037529162732396</v>
      </c>
      <c r="FG6" s="13">
        <f t="shared" si="47"/>
        <v>1.0734356660534379</v>
      </c>
      <c r="FH6" s="20">
        <f t="shared" si="22"/>
        <v>6.4044367808856295</v>
      </c>
      <c r="FI6" s="59">
        <f t="shared" si="23"/>
        <v>266.73777011421896</v>
      </c>
      <c r="FJ6" s="59">
        <f ca="1">AVERAGE(OFFSET($FI$3,0,0,'Données projet'!$E$16+1,1))-AVERAGE(OFFSET($H$3,0,0,'Données projet'!$E$16+1,1))</f>
        <v>534.54020133239135</v>
      </c>
      <c r="FK6" s="59">
        <f t="shared" si="48"/>
        <v>515.48696069008815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6.9</v>
      </c>
      <c r="FZ6" s="12">
        <f>IF('Données projet'!$A$244&gt;35,FZ5+FY6-GH5,IF(A6&lt;'Données projet'!$A$244,$FW$205^A6,IF(A6='Données projet'!$A$244,'Données projet'!$B$244,FZ5+FY6-GH5)))</f>
        <v>3.5616786028153165</v>
      </c>
      <c r="GA6" s="17">
        <f>FZ6*VLOOKUP('Données projet'!$B$17,Paramètres!$A$1:$I$89,3,0)*VLOOKUP('Données projet'!$B$17,Paramètres!$A$1:$I$89,5,0)</f>
        <v>3.3892933584390552</v>
      </c>
      <c r="GB6" s="13">
        <f t="shared" si="49"/>
        <v>1.3550537398481033</v>
      </c>
      <c r="GC6" s="20">
        <f t="shared" si="25"/>
        <v>8.2630711961834677</v>
      </c>
      <c r="GD6" s="59">
        <f t="shared" si="26"/>
        <v>268.5964045295168</v>
      </c>
      <c r="GE6" s="59">
        <f ca="1">AVERAGE(OFFSET($GD$3,0,0,'Données projet'!$E$17+1,1))-AVERAGE(OFFSET($H$3,0,0,'Données projet'!$E$17+1,1))</f>
        <v>455.71329051283936</v>
      </c>
      <c r="GF6" s="59">
        <f t="shared" si="50"/>
        <v>479.3743231122258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1.9</v>
      </c>
      <c r="GU6" s="12">
        <f>IF('Données projet'!$A$270&gt;35,GU5+GT6-HC5,IF(A6&lt;'Données projet'!$A$270,$GR$205^A6,IF(A6='Données projet'!$A$270,'Données projet'!$B$270,GU5+GT6-HC5)))</f>
        <v>2.4189454814875879</v>
      </c>
      <c r="GV6" s="17">
        <f>GU6*VLOOKUP('Données projet'!$B$18,Paramètres!$A$1:$I$89,3,0)*VLOOKUP('Données projet'!$B$18,Paramètres!$A$1:$I$89,5,0)</f>
        <v>1.9622485745827314</v>
      </c>
      <c r="GW6" s="13">
        <f t="shared" si="51"/>
        <v>0.83604474020610109</v>
      </c>
      <c r="GX6" s="20">
        <f t="shared" si="28"/>
        <v>4.8736941899238824</v>
      </c>
      <c r="GY6" s="59">
        <f t="shared" si="29"/>
        <v>265.20702752325718</v>
      </c>
      <c r="GZ6" s="59">
        <f ca="1">AVERAGE(OFFSET($GY$3,0,0,'Données projet'!$E$18+1,1))-AVERAGE(OFFSET($H$3,0,0,'Données projet'!$E$18+1,1))</f>
        <v>412.59676769258488</v>
      </c>
      <c r="HA6" s="59">
        <f t="shared" si="52"/>
        <v>399.90063795152133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3.65</v>
      </c>
      <c r="N7" s="13">
        <f>IF('Données projet'!$A$36&gt;35,N6+M7-V6,IF(A7&lt;'Données projet'!$A$36,$K$205^A7,IF(A7='Données projet'!$A$36,'Données projet'!$B$36,N6+M7-V6)))</f>
        <v>2.3586558182407358</v>
      </c>
      <c r="O7" s="13">
        <f>N7*VLOOKUP('Données projet'!$B$9,Paramètres!$A$1:$I$89,3,0)*VLOOKUP('Données projet'!$B$9,Paramètres!$A$1:$I$89,5,0)</f>
        <v>2.1341117843442179</v>
      </c>
      <c r="P7" s="13">
        <f t="shared" si="33"/>
        <v>0.90042667189585779</v>
      </c>
      <c r="Q7" s="20">
        <f t="shared" si="2"/>
        <v>5.2851544779514645</v>
      </c>
      <c r="R7" s="59">
        <f t="shared" si="0"/>
        <v>266.84071003350698</v>
      </c>
      <c r="S7" s="59">
        <f ca="1">AVERAGE(OFFSET($R$3,0,0,'Données projet'!$E$9+1,1))-AVERAGE(OFFSET($H$3,0,0,'Données projet'!$E$9+1,1))</f>
        <v>439.19854273764042</v>
      </c>
      <c r="T7" s="59">
        <f t="shared" si="34"/>
        <v>278.21741231699929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3.65</v>
      </c>
      <c r="AI7" s="13">
        <f>IF('Données projet'!$A$62&gt;35,AI6+AH7-AQ6,IF(A7&lt;'Données projet'!$A$62,$AF$205^A7,IF(A7='Données projet'!$A$62,'Données projet'!$B$62,AI6+AH7-AQ6)))</f>
        <v>2.3586558182407358</v>
      </c>
      <c r="AJ7" s="13">
        <f>AI7*VLOOKUP('Données projet'!$B$10,Paramètres!$A$1:$I$89,3,0)*VLOOKUP('Données projet'!$B$10,Paramètres!$A$1:$I$89,5,0)</f>
        <v>2.3916769996961063</v>
      </c>
      <c r="AK7" s="13">
        <f t="shared" si="35"/>
        <v>0.9958034297612971</v>
      </c>
      <c r="AL7" s="20">
        <f t="shared" si="4"/>
        <v>5.8998617479716442</v>
      </c>
      <c r="AM7" s="59">
        <f t="shared" si="5"/>
        <v>267.45541730352721</v>
      </c>
      <c r="AN7" s="59">
        <f ca="1">AVERAGE(OFFSET($AM$3,0,0,'Données projet'!$E$10+1,1))-AVERAGE(OFFSET($H$3,0,0,'Données projet'!$E$10+1,1))</f>
        <v>487.18832528146936</v>
      </c>
      <c r="AO7" s="59">
        <f t="shared" si="36"/>
        <v>306.61893266146666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8.1999999999999993</v>
      </c>
      <c r="BD7" s="12">
        <f>IF('Données projet'!$A$88&gt;35,BD6+BC7-BL6,IF(A7&lt;'Données projet'!$A$88,$BA$205^A7,IF(A7='Données projet'!$A$88,'Données projet'!$B$88,BD6+BC7-BL6)))</f>
        <v>19.508644077311324</v>
      </c>
      <c r="BE7" s="13">
        <f>BD7*VLOOKUP('Données projet'!$B$11,Paramètres!$A$1:$I$89,3,0)*VLOOKUP('Données projet'!$B$11,Paramètres!$A$1:$I$89,5,0)</f>
        <v>17.651421161151287</v>
      </c>
      <c r="BF7" s="13">
        <f t="shared" si="37"/>
        <v>5.8238018188481702</v>
      </c>
      <c r="BG7" s="20">
        <f t="shared" si="7"/>
        <v>40.886013356832393</v>
      </c>
      <c r="BH7" s="59">
        <f t="shared" si="8"/>
        <v>302.44156891238794</v>
      </c>
      <c r="BI7" s="59">
        <f ca="1">AVERAGE(OFFSET($BH$3,0,0,'Données projet'!$E$11+1,1))-AVERAGE(OFFSET($H$3,0,0,'Données projet'!$E$11+1,1))</f>
        <v>436.23918637269577</v>
      </c>
      <c r="BJ7" s="59">
        <f t="shared" si="38"/>
        <v>611.43967996341894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7.1333333333333337</v>
      </c>
      <c r="BY7" s="12">
        <f>IF('Données projet'!$A$114&gt;35,BY6+BX7-CG6,IF(A7&lt;'Données projet'!$A$114,$BV$205^A7,IF(A7='Données projet'!$A$114,'Données projet'!$B$114,BY6+BX7-CG6)))</f>
        <v>3.4767143280787458</v>
      </c>
      <c r="BZ7" s="13">
        <f>BY7*VLOOKUP('Données projet'!$B$12,Paramètres!$A$1:$I$89,3,0)*VLOOKUP('Données projet'!$B$12,Paramètres!$A$1:$I$89,5,0)</f>
        <v>3.0372576370095925</v>
      </c>
      <c r="CA7" s="13">
        <f t="shared" si="39"/>
        <v>1.2299085923119242</v>
      </c>
      <c r="CB7" s="20">
        <f t="shared" si="10"/>
        <v>7.4319811827349751</v>
      </c>
      <c r="CC7" s="59">
        <f t="shared" si="11"/>
        <v>268.98753673829054</v>
      </c>
      <c r="CD7" s="59">
        <f ca="1">AVERAGE(OFFSET($CC$3,0,0,'Données projet'!$E$12+1,1))-AVERAGE(OFFSET($H$3,0,0,'Données projet'!$E$12+1,1))</f>
        <v>304.32767345253382</v>
      </c>
      <c r="CE7" s="59">
        <f t="shared" si="40"/>
        <v>427.16091343339173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10.8</v>
      </c>
      <c r="CT7" s="12">
        <f>IF('Données projet'!$A$140&gt;35,CT6+CS7-DB6,IF(A7&lt;'Données projet'!$A$140,$CQ$205^A7,IF(A7='Données projet'!$A$140,'Données projet'!$B$140,CT6+CS7-DB6)))</f>
        <v>3.8833273713275762</v>
      </c>
      <c r="CU7" s="17">
        <f>CT7*VLOOKUP('Données projet'!$B$13,Paramètres!$A$1:$I$89,3,0)*VLOOKUP('Données projet'!$B$13,Paramètres!$A$1:$I$89,5,0)</f>
        <v>2.170780000572115</v>
      </c>
      <c r="CV7" s="13">
        <f t="shared" si="41"/>
        <v>0.91408334535022773</v>
      </c>
      <c r="CW7" s="20">
        <f t="shared" si="13"/>
        <v>5.3728036608147471</v>
      </c>
      <c r="CX7" s="59">
        <f t="shared" si="14"/>
        <v>266.92835921637027</v>
      </c>
      <c r="CY7" s="59">
        <f ca="1">AVERAGE(OFFSET($CX$3,0,0,'Données projet'!$E$13+1,1))-AVERAGE(OFFSET($H$3,0,0,'Données projet'!$E$13+1,1))</f>
        <v>555.15881087162279</v>
      </c>
      <c r="CZ7" s="59">
        <f t="shared" si="42"/>
        <v>668.20427590250733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6.4</v>
      </c>
      <c r="DO7" s="12">
        <f>IF('Données projet'!$A$166&gt;35,DO6+DN7-DW6,IF(A7&lt;'Données projet'!$A$166,$DL$205^A7,IF(A7='Données projet'!$A$166,'Données projet'!$B$166,DO6+DN7-DW6)))</f>
        <v>3.377580138462716</v>
      </c>
      <c r="DP7" s="17">
        <f>DO7*VLOOKUP('Données projet'!$B$14,Paramètres!$A$1:$I$89,3,0)*VLOOKUP('Données projet'!$B$14,Paramètres!$A$1:$I$89,5,0)</f>
        <v>1.580707504800551</v>
      </c>
      <c r="DQ7" s="13">
        <f t="shared" si="43"/>
        <v>0.69064880342365254</v>
      </c>
      <c r="DR7" s="20">
        <f t="shared" si="16"/>
        <v>3.9559455701571538</v>
      </c>
      <c r="DS7" s="59">
        <f t="shared" si="17"/>
        <v>265.5115011257127</v>
      </c>
      <c r="DT7" s="59">
        <f ca="1">AVERAGE(OFFSET($DS$3,0,0,'Données projet'!$E$14+1,1))-AVERAGE(OFFSET($H$3,0,0,'Données projet'!$E$14+1,1))</f>
        <v>523.79180230463714</v>
      </c>
      <c r="DU7" s="59">
        <f t="shared" si="44"/>
        <v>459.3547783500515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1.9</v>
      </c>
      <c r="EJ7" s="12">
        <f>IF('Données projet'!$A$192&gt;35,EJ6+EI7-ER6,IF(A7&lt;'Données projet'!$A$192,$EG$205^A7,IF(A7='Données projet'!$A$192,'Données projet'!$B$192,EJ6+EI7-ER6)))</f>
        <v>3.247143191135669</v>
      </c>
      <c r="EK7" s="17">
        <f>EJ7*VLOOKUP('Données projet'!$B$15,Paramètres!$A$1:$I$89,3,0)*VLOOKUP('Données projet'!$B$15,Paramètres!$A$1:$I$89,5,0)</f>
        <v>3.1406368944664189</v>
      </c>
      <c r="EL7" s="13">
        <f t="shared" si="45"/>
        <v>1.266825887408163</v>
      </c>
      <c r="EM7" s="20">
        <f t="shared" si="19"/>
        <v>7.6763310117648969</v>
      </c>
      <c r="EN7" s="59">
        <f t="shared" si="20"/>
        <v>269.23188656732043</v>
      </c>
      <c r="EO7" s="59">
        <f ca="1">AVERAGE(OFFSET($EN$3,0,0,'Données projet'!$E$15+1,1))-AVERAGE(OFFSET($H$3,0,0,'Données projet'!$E$15+1,1))</f>
        <v>484.41278617935654</v>
      </c>
      <c r="EP7" s="59">
        <f t="shared" si="46"/>
        <v>467.97490540700738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1.9</v>
      </c>
      <c r="FE7" s="12">
        <f>IF('Données projet'!$A$218&gt;35,FE6+FD7-FM6,IF(A7&lt;'Données projet'!$A$218,$FB$205^A7,IF(A7='Données projet'!$A$218,'Données projet'!$B$218,FE6+FD7-FM6)))</f>
        <v>3.247143191135669</v>
      </c>
      <c r="FF7" s="17">
        <f>FE7*VLOOKUP('Données projet'!$B$16,Paramètres!$A$1:$I$89,3,0)*VLOOKUP('Données projet'!$B$16,Paramètres!$A$1:$I$89,5,0)</f>
        <v>3.4952249309384338</v>
      </c>
      <c r="FG7" s="13">
        <f t="shared" si="47"/>
        <v>1.3924085753043698</v>
      </c>
      <c r="FH7" s="20">
        <f t="shared" si="22"/>
        <v>8.512628356706216</v>
      </c>
      <c r="FI7" s="59">
        <f t="shared" si="23"/>
        <v>270.06818391226176</v>
      </c>
      <c r="FJ7" s="59">
        <f ca="1">AVERAGE(OFFSET($FI$3,0,0,'Données projet'!$E$16+1,1))-AVERAGE(OFFSET($H$3,0,0,'Données projet'!$E$16+1,1))</f>
        <v>534.54020133239135</v>
      </c>
      <c r="FK7" s="59">
        <f t="shared" si="48"/>
        <v>515.48696069008815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6.9</v>
      </c>
      <c r="FZ7" s="12">
        <f>IF('Données projet'!$A$244&gt;35,FZ6+FY7-GH6,IF(A7&lt;'Données projet'!$A$244,$FW$205^A7,IF(A7='Données projet'!$A$244,'Données projet'!$B$244,FZ6+FY7-GH6)))</f>
        <v>5.4392577135295239</v>
      </c>
      <c r="GA7" s="17">
        <f>FZ7*VLOOKUP('Données projet'!$B$17,Paramètres!$A$1:$I$89,3,0)*VLOOKUP('Données projet'!$B$17,Paramètres!$A$1:$I$89,5,0)</f>
        <v>5.1759976401946952</v>
      </c>
      <c r="GB7" s="13">
        <f t="shared" si="49"/>
        <v>1.969868451626005</v>
      </c>
      <c r="GC7" s="20">
        <f t="shared" si="25"/>
        <v>12.445716776587718</v>
      </c>
      <c r="GD7" s="59">
        <f t="shared" si="26"/>
        <v>274.00127233214329</v>
      </c>
      <c r="GE7" s="59">
        <f ca="1">AVERAGE(OFFSET($GD$3,0,0,'Données projet'!$E$17+1,1))-AVERAGE(OFFSET($H$3,0,0,'Données projet'!$E$17+1,1))</f>
        <v>455.71329051283936</v>
      </c>
      <c r="GF7" s="59">
        <f t="shared" si="50"/>
        <v>479.3743231122258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1.9</v>
      </c>
      <c r="GU7" s="12">
        <f>IF('Données projet'!$A$270&gt;35,GU6+GT7-HC6,IF(A7&lt;'Données projet'!$A$270,$GR$205^A7,IF(A7='Données projet'!$A$270,'Données projet'!$B$270,GU6+GT7-HC6)))</f>
        <v>3.247143191135669</v>
      </c>
      <c r="GV7" s="17">
        <f>GU7*VLOOKUP('Données projet'!$B$18,Paramètres!$A$1:$I$89,3,0)*VLOOKUP('Données projet'!$B$18,Paramètres!$A$1:$I$89,5,0)</f>
        <v>2.6340825566492549</v>
      </c>
      <c r="GW7" s="13">
        <f t="shared" si="51"/>
        <v>1.0844766038760791</v>
      </c>
      <c r="GX7" s="20">
        <f t="shared" si="28"/>
        <v>6.476490537914958</v>
      </c>
      <c r="GY7" s="59">
        <f t="shared" si="29"/>
        <v>268.03204609347051</v>
      </c>
      <c r="GZ7" s="59">
        <f ca="1">AVERAGE(OFFSET($GY$3,0,0,'Données projet'!$E$18+1,1))-AVERAGE(OFFSET($H$3,0,0,'Données projet'!$E$18+1,1))</f>
        <v>412.59676769258488</v>
      </c>
      <c r="HA7" s="59">
        <f t="shared" si="52"/>
        <v>399.90063795152133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3.65</v>
      </c>
      <c r="N8" s="13">
        <f>IF('Données projet'!$A$36&gt;35,N7+M8-V7,IF(A8&lt;'Données projet'!$A$36,$K$205^A8,IF(A8='Données projet'!$A$36,'Données projet'!$B$36,N7+M8-V7)))</f>
        <v>2.9230127856917649</v>
      </c>
      <c r="O8" s="13">
        <f>N8*VLOOKUP('Données projet'!$B$9,Paramètres!$A$1:$I$89,3,0)*VLOOKUP('Données projet'!$B$9,Paramètres!$A$1:$I$89,5,0)</f>
        <v>2.6447419684939089</v>
      </c>
      <c r="P8" s="13">
        <f t="shared" si="33"/>
        <v>1.0883534414958294</v>
      </c>
      <c r="Q8" s="20">
        <f t="shared" si="2"/>
        <v>6.5018078390654601</v>
      </c>
      <c r="R8" s="59">
        <f t="shared" si="0"/>
        <v>269.27958561684324</v>
      </c>
      <c r="S8" s="59">
        <f ca="1">AVERAGE(OFFSET($R$3,0,0,'Données projet'!$E$9+1,1))-AVERAGE(OFFSET($H$3,0,0,'Données projet'!$E$9+1,1))</f>
        <v>439.19854273764042</v>
      </c>
      <c r="T8" s="59">
        <f t="shared" si="34"/>
        <v>278.21741231699929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3.65</v>
      </c>
      <c r="AI8" s="13">
        <f>IF('Données projet'!$A$62&gt;35,AI7+AH8-AQ7,IF(A8&lt;'Données projet'!$A$62,$AF$205^A8,IF(A8='Données projet'!$A$62,'Données projet'!$B$62,AI7+AH8-AQ7)))</f>
        <v>2.9230127856917649</v>
      </c>
      <c r="AJ8" s="13">
        <f>AI8*VLOOKUP('Données projet'!$B$10,Paramètres!$A$1:$I$89,3,0)*VLOOKUP('Données projet'!$B$10,Paramètres!$A$1:$I$89,5,0)</f>
        <v>2.9639349646914495</v>
      </c>
      <c r="AK8" s="13">
        <f t="shared" si="35"/>
        <v>1.2036361467970902</v>
      </c>
      <c r="AL8" s="20">
        <f t="shared" si="4"/>
        <v>7.2585196858425398</v>
      </c>
      <c r="AM8" s="59">
        <f t="shared" si="5"/>
        <v>270.03629746362031</v>
      </c>
      <c r="AN8" s="59">
        <f ca="1">AVERAGE(OFFSET($AM$3,0,0,'Données projet'!$E$10+1,1))-AVERAGE(OFFSET($H$3,0,0,'Données projet'!$E$10+1,1))</f>
        <v>487.18832528146936</v>
      </c>
      <c r="AO8" s="59">
        <f t="shared" si="36"/>
        <v>306.61893266146666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>
        <f>VLOOKUP(A8,'Données projet'!$A$87:$I$107,2,0)</f>
        <v>41</v>
      </c>
      <c r="BB8" s="12">
        <f>VLOOKUP(A8,'Données projet'!$A$87:$I$107,9,0)</f>
        <v>8.1999999999999993</v>
      </c>
      <c r="BC8" s="12">
        <f t="array" ref="BC8">INDEX(BB:BB,MIN(IF(ISNUMBER(BB8:BB204),ROW(BB8:BB204),"")))</f>
        <v>8.1999999999999993</v>
      </c>
      <c r="BD8" s="12">
        <f>IF('Données projet'!$A$88&gt;35,BD7+BC8-BL7,IF(A8&lt;'Données projet'!$A$88,$BA$205^A8,IF(A8='Données projet'!$A$88,'Données projet'!$B$88,BD7+BC8-BL7)))</f>
        <v>41</v>
      </c>
      <c r="BE8" s="13">
        <f>BD8*VLOOKUP('Données projet'!$B$11,Paramètres!$A$1:$I$89,3,0)*VLOOKUP('Données projet'!$B$11,Paramètres!$A$1:$I$89,5,0)</f>
        <v>37.096799999999995</v>
      </c>
      <c r="BF8" s="13">
        <f t="shared" si="37"/>
        <v>11.225811641270189</v>
      </c>
      <c r="BG8" s="20">
        <f t="shared" si="7"/>
        <v>84.161881941878903</v>
      </c>
      <c r="BH8" s="59">
        <f t="shared" si="8"/>
        <v>346.93965971965667</v>
      </c>
      <c r="BI8" s="59">
        <f ca="1">AVERAGE(OFFSET($BH$3,0,0,'Données projet'!$E$11+1,1))-AVERAGE(OFFSET($H$3,0,0,'Données projet'!$E$11+1,1))</f>
        <v>436.23918637269577</v>
      </c>
      <c r="BJ8" s="59">
        <f t="shared" si="38"/>
        <v>611.43967996341894</v>
      </c>
      <c r="BK8" s="15">
        <f>IF(ISNA(VLOOKUP(A8,'Données projet'!$A$87:$I$107,3,0)),0,VLOOKUP(A8,'Données projet'!$A$87:$I$107,3,0))</f>
        <v>1</v>
      </c>
      <c r="BL8" s="15">
        <f>IF(ISNA(VLOOKUP(A8,'Données projet'!$A$87:$I$107,4,0)),0,VLOOKUP(A8,'Données projet'!$A$87:$I$107,4,0))</f>
        <v>8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7.1333333333333337</v>
      </c>
      <c r="BY8" s="12">
        <f>IF('Données projet'!$A$114&gt;35,BY7+BX8-CG7,IF(A8&lt;'Données projet'!$A$114,$BV$205^A8,IF(A8='Données projet'!$A$114,'Données projet'!$B$114,BY7+BX8-CG7)))</f>
        <v>4.7474593985233984</v>
      </c>
      <c r="BZ8" s="13">
        <f>BY8*VLOOKUP('Données projet'!$B$12,Paramètres!$A$1:$I$89,3,0)*VLOOKUP('Données projet'!$B$12,Paramètres!$A$1:$I$89,5,0)</f>
        <v>4.1473805305500413</v>
      </c>
      <c r="CA8" s="13">
        <f t="shared" si="39"/>
        <v>1.6196346870133109</v>
      </c>
      <c r="CB8" s="20">
        <f t="shared" si="10"/>
        <v>10.044218170589504</v>
      </c>
      <c r="CC8" s="59">
        <f t="shared" si="11"/>
        <v>272.82199594836726</v>
      </c>
      <c r="CD8" s="59">
        <f ca="1">AVERAGE(OFFSET($CC$3,0,0,'Données projet'!$E$12+1,1))-AVERAGE(OFFSET($H$3,0,0,'Données projet'!$E$12+1,1))</f>
        <v>304.32767345253382</v>
      </c>
      <c r="CE8" s="59">
        <f t="shared" si="40"/>
        <v>427.16091343339173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10.8</v>
      </c>
      <c r="CT8" s="12">
        <f>IF('Données projet'!$A$140&gt;35,CT7+CS8-DB7,IF(A8&lt;'Données projet'!$A$140,$CQ$205^A8,IF(A8='Données projet'!$A$140,'Données projet'!$B$140,CT7+CS8-DB7)))</f>
        <v>5.451361778496417</v>
      </c>
      <c r="CU8" s="17">
        <f>CT8*VLOOKUP('Données projet'!$B$13,Paramètres!$A$1:$I$89,3,0)*VLOOKUP('Données projet'!$B$13,Paramètres!$A$1:$I$89,5,0)</f>
        <v>3.0473112341794972</v>
      </c>
      <c r="CV8" s="13">
        <f t="shared" si="41"/>
        <v>1.2335051316844765</v>
      </c>
      <c r="CW8" s="20">
        <f t="shared" si="13"/>
        <v>7.4557551705464205</v>
      </c>
      <c r="CX8" s="59">
        <f t="shared" si="14"/>
        <v>270.23353294832418</v>
      </c>
      <c r="CY8" s="59">
        <f ca="1">AVERAGE(OFFSET($CX$3,0,0,'Données projet'!$E$13+1,1))-AVERAGE(OFFSET($H$3,0,0,'Données projet'!$E$13+1,1))</f>
        <v>555.15881087162279</v>
      </c>
      <c r="CZ8" s="59">
        <f t="shared" si="42"/>
        <v>668.20427590250733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6.4</v>
      </c>
      <c r="DO8" s="12">
        <f>IF('Données projet'!$A$166&gt;35,DO7+DN8-DW7,IF(A8&lt;'Données projet'!$A$166,$DL$205^A8,IF(A8='Données projet'!$A$166,'Données projet'!$B$166,DO7+DN8-DW7)))</f>
        <v>4.5788569702133275</v>
      </c>
      <c r="DP8" s="17">
        <f>DO8*VLOOKUP('Données projet'!$B$14,Paramètres!$A$1:$I$89,3,0)*VLOOKUP('Données projet'!$B$14,Paramètres!$A$1:$I$89,5,0)</f>
        <v>2.1429050620598371</v>
      </c>
      <c r="DQ8" s="13">
        <f t="shared" si="43"/>
        <v>0.90370410386052324</v>
      </c>
      <c r="DR8" s="20">
        <f t="shared" si="16"/>
        <v>5.3061776306446271</v>
      </c>
      <c r="DS8" s="59">
        <f t="shared" si="17"/>
        <v>268.08395540842241</v>
      </c>
      <c r="DT8" s="59">
        <f ca="1">AVERAGE(OFFSET($DS$3,0,0,'Données projet'!$E$14+1,1))-AVERAGE(OFFSET($H$3,0,0,'Données projet'!$E$14+1,1))</f>
        <v>523.79180230463714</v>
      </c>
      <c r="DU8" s="59">
        <f t="shared" si="44"/>
        <v>459.3547783500515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1.9</v>
      </c>
      <c r="EJ8" s="12">
        <f>IF('Données projet'!$A$192&gt;35,EJ7+EI8-ER7,IF(A8&lt;'Données projet'!$A$192,$EG$205^A8,IF(A8='Données projet'!$A$192,'Données projet'!$B$192,EJ7+EI8-ER7)))</f>
        <v>4.3588989435406749</v>
      </c>
      <c r="EK8" s="17">
        <f>EJ8*VLOOKUP('Données projet'!$B$15,Paramètres!$A$1:$I$89,3,0)*VLOOKUP('Données projet'!$B$15,Paramètres!$A$1:$I$89,5,0)</f>
        <v>4.2159270581925412</v>
      </c>
      <c r="EL8" s="13">
        <f t="shared" si="45"/>
        <v>1.643264971369865</v>
      </c>
      <c r="EM8" s="20">
        <f t="shared" si="19"/>
        <v>10.204759451487858</v>
      </c>
      <c r="EN8" s="59">
        <f t="shared" si="20"/>
        <v>272.98253722926563</v>
      </c>
      <c r="EO8" s="59">
        <f ca="1">AVERAGE(OFFSET($EN$3,0,0,'Données projet'!$E$15+1,1))-AVERAGE(OFFSET($H$3,0,0,'Données projet'!$E$15+1,1))</f>
        <v>484.41278617935654</v>
      </c>
      <c r="EP8" s="59">
        <f t="shared" si="46"/>
        <v>467.97490540700738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1.9</v>
      </c>
      <c r="FE8" s="12">
        <f>IF('Données projet'!$A$218&gt;35,FE7+FD8-FM7,IF(A8&lt;'Données projet'!$A$218,$FB$205^A8,IF(A8='Données projet'!$A$218,'Données projet'!$B$218,FE7+FD8-FM7)))</f>
        <v>4.3588989435406749</v>
      </c>
      <c r="FF8" s="17">
        <f>FE8*VLOOKUP('Données projet'!$B$16,Paramètres!$A$1:$I$89,3,0)*VLOOKUP('Données projet'!$B$16,Paramètres!$A$1:$I$89,5,0)</f>
        <v>4.6919188228271826</v>
      </c>
      <c r="FG8" s="13">
        <f t="shared" si="47"/>
        <v>1.8061647305881741</v>
      </c>
      <c r="FH8" s="20">
        <f t="shared" si="22"/>
        <v>11.317495522198413</v>
      </c>
      <c r="FI8" s="59">
        <f t="shared" si="23"/>
        <v>274.09527329997616</v>
      </c>
      <c r="FJ8" s="59">
        <f ca="1">AVERAGE(OFFSET($FI$3,0,0,'Données projet'!$E$16+1,1))-AVERAGE(OFFSET($H$3,0,0,'Données projet'!$E$16+1,1))</f>
        <v>534.54020133239135</v>
      </c>
      <c r="FK8" s="59">
        <f t="shared" si="48"/>
        <v>515.48696069008815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6.9</v>
      </c>
      <c r="FZ8" s="12">
        <f>IF('Données projet'!$A$244&gt;35,FZ7+FY8-GH7,IF(A8&lt;'Données projet'!$A$244,$FW$205^A8,IF(A8='Données projet'!$A$244,'Données projet'!$B$244,FZ7+FY8-GH7)))</f>
        <v>8.3066238629180766</v>
      </c>
      <c r="GA8" s="17">
        <f>FZ8*VLOOKUP('Données projet'!$B$17,Paramètres!$A$1:$I$89,3,0)*VLOOKUP('Données projet'!$B$17,Paramètres!$A$1:$I$89,5,0)</f>
        <v>7.9045832679528427</v>
      </c>
      <c r="GB8" s="13">
        <f t="shared" si="49"/>
        <v>2.8636367714437734</v>
      </c>
      <c r="GC8" s="20">
        <f t="shared" si="25"/>
        <v>18.754649901949108</v>
      </c>
      <c r="GD8" s="59">
        <f t="shared" si="26"/>
        <v>281.53242767972688</v>
      </c>
      <c r="GE8" s="59">
        <f ca="1">AVERAGE(OFFSET($GD$3,0,0,'Données projet'!$E$17+1,1))-AVERAGE(OFFSET($H$3,0,0,'Données projet'!$E$17+1,1))</f>
        <v>455.71329051283936</v>
      </c>
      <c r="GF8" s="59">
        <f t="shared" si="50"/>
        <v>479.3743231122258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1.9</v>
      </c>
      <c r="GU8" s="12">
        <f>IF('Données projet'!$A$270&gt;35,GU7+GT8-HC7,IF(A8&lt;'Données projet'!$A$270,$GR$205^A8,IF(A8='Données projet'!$A$270,'Données projet'!$B$270,GU7+GT8-HC7)))</f>
        <v>4.3588989435406749</v>
      </c>
      <c r="GV8" s="17">
        <f>GU8*VLOOKUP('Données projet'!$B$18,Paramètres!$A$1:$I$89,3,0)*VLOOKUP('Données projet'!$B$18,Paramètres!$A$1:$I$89,5,0)</f>
        <v>3.5359388230001954</v>
      </c>
      <c r="GW8" s="13">
        <f t="shared" si="51"/>
        <v>1.4067303432405609</v>
      </c>
      <c r="GX8" s="20">
        <f t="shared" si="28"/>
        <v>8.6084821312026509</v>
      </c>
      <c r="GY8" s="59">
        <f t="shared" si="29"/>
        <v>271.38625990898043</v>
      </c>
      <c r="GZ8" s="59">
        <f ca="1">AVERAGE(OFFSET($GY$3,0,0,'Données projet'!$E$18+1,1))-AVERAGE(OFFSET($H$3,0,0,'Données projet'!$E$18+1,1))</f>
        <v>412.59676769258488</v>
      </c>
      <c r="HA8" s="59">
        <f t="shared" si="52"/>
        <v>399.90063795152133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3.65</v>
      </c>
      <c r="N9" s="13">
        <f>IF('Données projet'!$A$36&gt;35,N8+M9-V8,IF(A9&lt;'Données projet'!$A$36,$K$205^A9,IF(A9='Données projet'!$A$36,'Données projet'!$B$36,N8+M9-V8)))</f>
        <v>3.6224037772879885</v>
      </c>
      <c r="O9" s="13">
        <f>N9*VLOOKUP('Données projet'!$B$9,Paramètres!$A$1:$I$89,3,0)*VLOOKUP('Données projet'!$B$9,Paramètres!$A$1:$I$89,5,0)</f>
        <v>3.2775509376901719</v>
      </c>
      <c r="P9" s="13">
        <f t="shared" si="33"/>
        <v>1.315502139804245</v>
      </c>
      <c r="Q9" s="20">
        <f t="shared" si="2"/>
        <v>7.9995674433027766</v>
      </c>
      <c r="R9" s="59">
        <f t="shared" si="0"/>
        <v>271.99956744330279</v>
      </c>
      <c r="S9" s="59">
        <f ca="1">AVERAGE(OFFSET($R$3,0,0,'Données projet'!$E$9+1,1))-AVERAGE(OFFSET($H$3,0,0,'Données projet'!$E$9+1,1))</f>
        <v>439.19854273764042</v>
      </c>
      <c r="T9" s="59">
        <f t="shared" si="34"/>
        <v>278.21741231699929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3.65</v>
      </c>
      <c r="AI9" s="13">
        <f>IF('Données projet'!$A$62&gt;35,AI8+AH9-AQ8,IF(A9&lt;'Données projet'!$A$62,$AF$205^A9,IF(A9='Données projet'!$A$62,'Données projet'!$B$62,AI8+AH9-AQ8)))</f>
        <v>3.6224037772879885</v>
      </c>
      <c r="AJ9" s="13">
        <f>AI9*VLOOKUP('Données projet'!$B$10,Paramètres!$A$1:$I$89,3,0)*VLOOKUP('Données projet'!$B$10,Paramètres!$A$1:$I$89,5,0)</f>
        <v>3.6731174301700205</v>
      </c>
      <c r="AK9" s="13">
        <f t="shared" si="35"/>
        <v>1.4548453345092642</v>
      </c>
      <c r="AL9" s="20">
        <f t="shared" si="4"/>
        <v>8.9312018151497536</v>
      </c>
      <c r="AM9" s="59">
        <f t="shared" si="5"/>
        <v>272.93120181514973</v>
      </c>
      <c r="AN9" s="59">
        <f ca="1">AVERAGE(OFFSET($AM$3,0,0,'Données projet'!$E$10+1,1))-AVERAGE(OFFSET($H$3,0,0,'Données projet'!$E$10+1,1))</f>
        <v>487.18832528146936</v>
      </c>
      <c r="AO9" s="59">
        <f t="shared" si="36"/>
        <v>306.61893266146666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17.600000000000001</v>
      </c>
      <c r="BD9" s="12">
        <f>IF('Données projet'!$A$88&gt;35,BD8+BC9-BL8,IF(A9&lt;'Données projet'!$A$88,$BA$205^A9,IF(A9='Données projet'!$A$88,'Données projet'!$B$88,BD8+BC9-BL8)))</f>
        <v>50.6</v>
      </c>
      <c r="BE9" s="13">
        <f>BD9*VLOOKUP('Données projet'!$B$11,Paramètres!$A$1:$I$89,3,0)*VLOOKUP('Données projet'!$B$11,Paramètres!$A$1:$I$89,5,0)</f>
        <v>45.782879999999999</v>
      </c>
      <c r="BF9" s="13">
        <f t="shared" si="37"/>
        <v>13.519148289060759</v>
      </c>
      <c r="BG9" s="20">
        <f t="shared" si="7"/>
        <v>103.28436593678082</v>
      </c>
      <c r="BH9" s="59">
        <f t="shared" si="8"/>
        <v>367.28436593678083</v>
      </c>
      <c r="BI9" s="59">
        <f ca="1">AVERAGE(OFFSET($BH$3,0,0,'Données projet'!$E$11+1,1))-AVERAGE(OFFSET($H$3,0,0,'Données projet'!$E$11+1,1))</f>
        <v>436.23918637269577</v>
      </c>
      <c r="BJ9" s="59">
        <f t="shared" si="38"/>
        <v>611.43967996341894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7.1333333333333337</v>
      </c>
      <c r="BY9" s="12">
        <f>IF('Données projet'!$A$114&gt;35,BY8+BX9-CG8,IF(A9&lt;'Données projet'!$A$114,$BV$205^A9,IF(A9='Données projet'!$A$114,'Données projet'!$B$114,BY8+BX9-CG8)))</f>
        <v>6.4826639792067677</v>
      </c>
      <c r="BZ9" s="13">
        <f>BY9*VLOOKUP('Données projet'!$B$12,Paramètres!$A$1:$I$89,3,0)*VLOOKUP('Données projet'!$B$12,Paramètres!$A$1:$I$89,5,0)</f>
        <v>5.6632552522350332</v>
      </c>
      <c r="CA9" s="13">
        <f t="shared" si="39"/>
        <v>2.1328548607386395</v>
      </c>
      <c r="CB9" s="20">
        <f t="shared" si="10"/>
        <v>13.578225113429147</v>
      </c>
      <c r="CC9" s="59">
        <f t="shared" si="11"/>
        <v>277.57822511342914</v>
      </c>
      <c r="CD9" s="59">
        <f ca="1">AVERAGE(OFFSET($CC$3,0,0,'Données projet'!$E$12+1,1))-AVERAGE(OFFSET($H$3,0,0,'Données projet'!$E$12+1,1))</f>
        <v>304.32767345253382</v>
      </c>
      <c r="CE9" s="59">
        <f t="shared" si="40"/>
        <v>427.16091343339173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10.8</v>
      </c>
      <c r="CT9" s="12">
        <f>IF('Données projet'!$A$140&gt;35,CT8+CS9-DB8,IF(A9&lt;'Données projet'!$A$140,$CQ$205^A9,IF(A9='Données projet'!$A$140,'Données projet'!$B$140,CT8+CS9-DB8)))</f>
        <v>7.6525470037547425</v>
      </c>
      <c r="CU9" s="17">
        <f>CT9*VLOOKUP('Données projet'!$B$13,Paramètres!$A$1:$I$89,3,0)*VLOOKUP('Données projet'!$B$13,Paramètres!$A$1:$I$89,5,0)</f>
        <v>4.2777737750989013</v>
      </c>
      <c r="CV9" s="13">
        <f t="shared" si="41"/>
        <v>1.6645472402836166</v>
      </c>
      <c r="CW9" s="20">
        <f t="shared" si="13"/>
        <v>10.349542435124553</v>
      </c>
      <c r="CX9" s="59">
        <f t="shared" si="14"/>
        <v>274.34954243512453</v>
      </c>
      <c r="CY9" s="59">
        <f ca="1">AVERAGE(OFFSET($CX$3,0,0,'Données projet'!$E$13+1,1))-AVERAGE(OFFSET($H$3,0,0,'Données projet'!$E$13+1,1))</f>
        <v>555.15881087162279</v>
      </c>
      <c r="CZ9" s="59">
        <f t="shared" si="42"/>
        <v>668.20427590250733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6.4</v>
      </c>
      <c r="DO9" s="12">
        <f>IF('Données projet'!$A$166&gt;35,DO8+DN9-DW8,IF(A9&lt;'Données projet'!$A$166,$DL$205^A9,IF(A9='Données projet'!$A$166,'Données projet'!$B$166,DO8+DN9-DW8)))</f>
        <v>6.2073822956614393</v>
      </c>
      <c r="DP9" s="17">
        <f>DO9*VLOOKUP('Données projet'!$B$14,Paramètres!$A$1:$I$89,3,0)*VLOOKUP('Données projet'!$B$14,Paramètres!$A$1:$I$89,5,0)</f>
        <v>2.9050549143695537</v>
      </c>
      <c r="DQ9" s="13">
        <f t="shared" si="43"/>
        <v>1.1824839242259417</v>
      </c>
      <c r="DR9" s="20">
        <f t="shared" si="16"/>
        <v>7.1191301438871548</v>
      </c>
      <c r="DS9" s="59">
        <f t="shared" si="17"/>
        <v>271.11913014388716</v>
      </c>
      <c r="DT9" s="59">
        <f ca="1">AVERAGE(OFFSET($DS$3,0,0,'Données projet'!$E$14+1,1))-AVERAGE(OFFSET($H$3,0,0,'Données projet'!$E$14+1,1))</f>
        <v>523.79180230463714</v>
      </c>
      <c r="DU9" s="59">
        <f t="shared" si="44"/>
        <v>459.3547783500515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1.9</v>
      </c>
      <c r="EJ9" s="12">
        <f>IF('Données projet'!$A$192&gt;35,EJ8+EI9-ER8,IF(A9&lt;'Données projet'!$A$192,$EG$205^A9,IF(A9='Données projet'!$A$192,'Données projet'!$B$192,EJ8+EI9-ER8)))</f>
        <v>5.8512972424092187</v>
      </c>
      <c r="EK9" s="17">
        <f>EJ9*VLOOKUP('Données projet'!$B$15,Paramètres!$A$1:$I$89,3,0)*VLOOKUP('Données projet'!$B$15,Paramètres!$A$1:$I$89,5,0)</f>
        <v>5.6593746928581963</v>
      </c>
      <c r="EL9" s="13">
        <f t="shared" si="45"/>
        <v>2.1315634555399465</v>
      </c>
      <c r="EM9" s="20">
        <f t="shared" si="19"/>
        <v>13.569217275126766</v>
      </c>
      <c r="EN9" s="59">
        <f t="shared" si="20"/>
        <v>277.56921727512679</v>
      </c>
      <c r="EO9" s="59">
        <f ca="1">AVERAGE(OFFSET($EN$3,0,0,'Données projet'!$E$15+1,1))-AVERAGE(OFFSET($H$3,0,0,'Données projet'!$E$15+1,1))</f>
        <v>484.41278617935654</v>
      </c>
      <c r="EP9" s="59">
        <f t="shared" si="46"/>
        <v>467.97490540700738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1.9</v>
      </c>
      <c r="FE9" s="12">
        <f>IF('Données projet'!$A$218&gt;35,FE8+FD9-FM8,IF(A9&lt;'Données projet'!$A$218,$FB$205^A9,IF(A9='Données projet'!$A$218,'Données projet'!$B$218,FE8+FD9-FM8)))</f>
        <v>5.8512972424092187</v>
      </c>
      <c r="FF9" s="17">
        <f>FE9*VLOOKUP('Données projet'!$B$16,Paramètres!$A$1:$I$89,3,0)*VLOOKUP('Données projet'!$B$16,Paramètres!$A$1:$I$89,5,0)</f>
        <v>6.298336351729283</v>
      </c>
      <c r="FG9" s="13">
        <f t="shared" si="47"/>
        <v>2.3428691060075906</v>
      </c>
      <c r="FH9" s="20">
        <f t="shared" si="22"/>
        <v>15.050099505558387</v>
      </c>
      <c r="FI9" s="59">
        <f t="shared" si="23"/>
        <v>279.05009950555836</v>
      </c>
      <c r="FJ9" s="59">
        <f ca="1">AVERAGE(OFFSET($FI$3,0,0,'Données projet'!$E$16+1,1))-AVERAGE(OFFSET($H$3,0,0,'Données projet'!$E$16+1,1))</f>
        <v>534.54020133239135</v>
      </c>
      <c r="FK9" s="59">
        <f t="shared" si="48"/>
        <v>515.48696069008815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6.9</v>
      </c>
      <c r="FZ9" s="12">
        <f>IF('Données projet'!$A$244&gt;35,FZ8+FY9-GH8,IF(A9&lt;'Données projet'!$A$244,$FW$205^A9,IF(A9='Données projet'!$A$244,'Données projet'!$B$244,FZ8+FY9-GH8)))</f>
        <v>12.685554469752466</v>
      </c>
      <c r="GA9" s="17">
        <f>FZ9*VLOOKUP('Données projet'!$B$17,Paramètres!$A$1:$I$89,3,0)*VLOOKUP('Données projet'!$B$17,Paramètres!$A$1:$I$89,5,0)</f>
        <v>12.071573633416447</v>
      </c>
      <c r="GB9" s="13">
        <f t="shared" si="49"/>
        <v>4.1629254745391631</v>
      </c>
      <c r="GC9" s="20">
        <f t="shared" si="25"/>
        <v>28.275085946356018</v>
      </c>
      <c r="GD9" s="59">
        <f t="shared" si="26"/>
        <v>292.275085946356</v>
      </c>
      <c r="GE9" s="59">
        <f ca="1">AVERAGE(OFFSET($GD$3,0,0,'Données projet'!$E$17+1,1))-AVERAGE(OFFSET($H$3,0,0,'Données projet'!$E$17+1,1))</f>
        <v>455.71329051283936</v>
      </c>
      <c r="GF9" s="59">
        <f t="shared" si="50"/>
        <v>479.3743231122258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1.9</v>
      </c>
      <c r="GU9" s="12">
        <f>IF('Données projet'!$A$270&gt;35,GU8+GT9-HC8,IF(A9&lt;'Données projet'!$A$270,$GR$205^A9,IF(A9='Données projet'!$A$270,'Données projet'!$B$270,GU8+GT9-HC8)))</f>
        <v>5.8512972424092187</v>
      </c>
      <c r="GV9" s="17">
        <f>GU9*VLOOKUP('Données projet'!$B$18,Paramètres!$A$1:$I$89,3,0)*VLOOKUP('Données projet'!$B$18,Paramètres!$A$1:$I$89,5,0)</f>
        <v>4.7465723230423587</v>
      </c>
      <c r="GW9" s="13">
        <f t="shared" si="51"/>
        <v>1.8247422318940409</v>
      </c>
      <c r="GX9" s="20">
        <f t="shared" si="28"/>
        <v>11.445039516514228</v>
      </c>
      <c r="GY9" s="59">
        <f t="shared" si="29"/>
        <v>275.44503951651421</v>
      </c>
      <c r="GZ9" s="59">
        <f ca="1">AVERAGE(OFFSET($GY$3,0,0,'Données projet'!$E$18+1,1))-AVERAGE(OFFSET($H$3,0,0,'Données projet'!$E$18+1,1))</f>
        <v>412.59676769258488</v>
      </c>
      <c r="HA9" s="59">
        <f t="shared" si="52"/>
        <v>399.90063795152133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3.65</v>
      </c>
      <c r="N10" s="13">
        <f>IF('Données projet'!$A$36&gt;35,N9+M10-V9,IF(A10&lt;'Données projet'!$A$36,$K$205^A10,IF(A10='Données projet'!$A$36,'Données projet'!$B$36,N9+M10-V9)))</f>
        <v>4.4891384635544309</v>
      </c>
      <c r="O10" s="13">
        <f>N10*VLOOKUP('Données projet'!$B$9,Paramètres!$A$1:$I$89,3,0)*VLOOKUP('Données projet'!$B$9,Paramètres!$A$1:$I$89,5,0)</f>
        <v>4.0617724818240486</v>
      </c>
      <c r="P10" s="13">
        <f t="shared" si="33"/>
        <v>1.590058719758437</v>
      </c>
      <c r="Q10" s="20">
        <f t="shared" si="2"/>
        <v>9.8436060094228282</v>
      </c>
      <c r="R10" s="59">
        <f t="shared" si="0"/>
        <v>275.06582823164507</v>
      </c>
      <c r="S10" s="59">
        <f ca="1">AVERAGE(OFFSET($R$3,0,0,'Données projet'!$E$9+1,1))-AVERAGE(OFFSET($H$3,0,0,'Données projet'!$E$9+1,1))</f>
        <v>439.19854273764042</v>
      </c>
      <c r="T10" s="59">
        <f t="shared" si="34"/>
        <v>278.21741231699929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3.65</v>
      </c>
      <c r="AI10" s="13">
        <f>IF('Données projet'!$A$62&gt;35,AI9+AH10-AQ9,IF(A10&lt;'Données projet'!$A$62,$AF$205^A10,IF(A10='Données projet'!$A$62,'Données projet'!$B$62,AI9+AH10-AQ9)))</f>
        <v>4.4891384635544309</v>
      </c>
      <c r="AJ10" s="13">
        <f>AI10*VLOOKUP('Données projet'!$B$10,Paramètres!$A$1:$I$89,3,0)*VLOOKUP('Données projet'!$B$10,Paramètres!$A$1:$I$89,5,0)</f>
        <v>4.5519864020441929</v>
      </c>
      <c r="AK10" s="13">
        <f t="shared" si="35"/>
        <v>1.7584840343783612</v>
      </c>
      <c r="AL10" s="20">
        <f t="shared" si="4"/>
        <v>10.990736010102614</v>
      </c>
      <c r="AM10" s="59">
        <f t="shared" si="5"/>
        <v>276.21295823232487</v>
      </c>
      <c r="AN10" s="59">
        <f ca="1">AVERAGE(OFFSET($AM$3,0,0,'Données projet'!$E$10+1,1))-AVERAGE(OFFSET($H$3,0,0,'Données projet'!$E$10+1,1))</f>
        <v>487.18832528146936</v>
      </c>
      <c r="AO10" s="59">
        <f t="shared" si="36"/>
        <v>306.61893266146666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17.600000000000001</v>
      </c>
      <c r="BD10" s="12">
        <f>IF('Données projet'!$A$88&gt;35,BD9+BC10-BL9,IF(A10&lt;'Données projet'!$A$88,$BA$205^A10,IF(A10='Données projet'!$A$88,'Données projet'!$B$88,BD9+BC10-BL9)))</f>
        <v>68.2</v>
      </c>
      <c r="BE10" s="13">
        <f>BD10*VLOOKUP('Données projet'!$B$11,Paramètres!$A$1:$I$89,3,0)*VLOOKUP('Données projet'!$B$11,Paramètres!$A$1:$I$89,5,0)</f>
        <v>61.707360000000001</v>
      </c>
      <c r="BF10" s="13">
        <f t="shared" si="37"/>
        <v>17.599235734890414</v>
      </c>
      <c r="BG10" s="20">
        <f t="shared" si="7"/>
        <v>138.12565423826746</v>
      </c>
      <c r="BH10" s="59">
        <f t="shared" si="8"/>
        <v>403.34787646048972</v>
      </c>
      <c r="BI10" s="59">
        <f ca="1">AVERAGE(OFFSET($BH$3,0,0,'Données projet'!$E$11+1,1))-AVERAGE(OFFSET($H$3,0,0,'Données projet'!$E$11+1,1))</f>
        <v>436.23918637269577</v>
      </c>
      <c r="BJ10" s="59">
        <f t="shared" si="38"/>
        <v>611.43967996341894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7.1333333333333337</v>
      </c>
      <c r="BY10" s="12">
        <f>IF('Données projet'!$A$114&gt;35,BY9+BX10-CG9,IF(A10&lt;'Données projet'!$A$114,$BV$205^A10,IF(A10='Données projet'!$A$114,'Données projet'!$B$114,BY9+BX10-CG9)))</f>
        <v>8.8520888204701524</v>
      </c>
      <c r="BZ10" s="13">
        <f>BY10*VLOOKUP('Données projet'!$B$12,Paramètres!$A$1:$I$89,3,0)*VLOOKUP('Données projet'!$B$12,Paramètres!$A$1:$I$89,5,0)</f>
        <v>7.7331847935627263</v>
      </c>
      <c r="CA10" s="13">
        <f t="shared" si="39"/>
        <v>2.8087011802427866</v>
      </c>
      <c r="CB10" s="20">
        <f t="shared" si="10"/>
        <v>18.360451404377937</v>
      </c>
      <c r="CC10" s="59">
        <f t="shared" si="11"/>
        <v>283.58267362660018</v>
      </c>
      <c r="CD10" s="59">
        <f ca="1">AVERAGE(OFFSET($CC$3,0,0,'Données projet'!$E$12+1,1))-AVERAGE(OFFSET($H$3,0,0,'Données projet'!$E$12+1,1))</f>
        <v>304.32767345253382</v>
      </c>
      <c r="CE10" s="59">
        <f t="shared" si="40"/>
        <v>427.16091343339173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10.8</v>
      </c>
      <c r="CT10" s="12">
        <f>IF('Données projet'!$A$140&gt;35,CT9+CS10-DB9,IF(A10&lt;'Données projet'!$A$140,$CQ$205^A10,IF(A10='Données projet'!$A$140,'Données projet'!$B$140,CT9+CS10-DB9)))</f>
        <v>10.742540675924095</v>
      </c>
      <c r="CU10" s="17">
        <f>CT10*VLOOKUP('Données projet'!$B$13,Paramètres!$A$1:$I$89,3,0)*VLOOKUP('Données projet'!$B$13,Paramètres!$A$1:$I$89,5,0)</f>
        <v>6.0050802378415691</v>
      </c>
      <c r="CV10" s="13">
        <f t="shared" si="41"/>
        <v>2.2462148263235089</v>
      </c>
      <c r="CW10" s="20">
        <f t="shared" si="13"/>
        <v>14.37100557008751</v>
      </c>
      <c r="CX10" s="59">
        <f t="shared" si="14"/>
        <v>279.59322779230973</v>
      </c>
      <c r="CY10" s="59">
        <f ca="1">AVERAGE(OFFSET($CX$3,0,0,'Données projet'!$E$13+1,1))-AVERAGE(OFFSET($H$3,0,0,'Données projet'!$E$13+1,1))</f>
        <v>555.15881087162279</v>
      </c>
      <c r="CZ10" s="59">
        <f t="shared" si="42"/>
        <v>668.20427590250733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6.4</v>
      </c>
      <c r="DO10" s="12">
        <f>IF('Données projet'!$A$166&gt;35,DO9+DN10-DW9,IF(A10&lt;'Données projet'!$A$166,$DL$205^A10,IF(A10='Données projet'!$A$166,'Données projet'!$B$166,DO9+DN10-DW9)))</f>
        <v>8.4151121590277373</v>
      </c>
      <c r="DP10" s="17">
        <f>DO10*VLOOKUP('Données projet'!$B$14,Paramètres!$A$1:$I$89,3,0)*VLOOKUP('Données projet'!$B$14,Paramètres!$A$1:$I$89,5,0)</f>
        <v>3.9382724904249811</v>
      </c>
      <c r="DQ10" s="13">
        <f t="shared" si="43"/>
        <v>1.5472633410422019</v>
      </c>
      <c r="DR10" s="20">
        <f t="shared" si="16"/>
        <v>9.5539749064720088</v>
      </c>
      <c r="DS10" s="59">
        <f t="shared" si="17"/>
        <v>274.77619712869426</v>
      </c>
      <c r="DT10" s="59">
        <f ca="1">AVERAGE(OFFSET($DS$3,0,0,'Données projet'!$E$14+1,1))-AVERAGE(OFFSET($H$3,0,0,'Données projet'!$E$14+1,1))</f>
        <v>523.79180230463714</v>
      </c>
      <c r="DU10" s="59">
        <f t="shared" si="44"/>
        <v>459.3547783500515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1.9</v>
      </c>
      <c r="EJ10" s="12">
        <f>IF('Données projet'!$A$192&gt;35,EJ9+EI10-ER9,IF(A10&lt;'Données projet'!$A$192,$EG$205^A10,IF(A10='Données projet'!$A$192,'Données projet'!$B$192,EJ9+EI10-ER9)))</f>
        <v>7.8546623499408135</v>
      </c>
      <c r="EK10" s="17">
        <f>EJ10*VLOOKUP('Données projet'!$B$15,Paramètres!$A$1:$I$89,3,0)*VLOOKUP('Données projet'!$B$15,Paramètres!$A$1:$I$89,5,0)</f>
        <v>7.5970294248627548</v>
      </c>
      <c r="EL10" s="13">
        <f t="shared" si="45"/>
        <v>2.7649605171135443</v>
      </c>
      <c r="EM10" s="20">
        <f t="shared" si="19"/>
        <v>18.047132482275387</v>
      </c>
      <c r="EN10" s="59">
        <f t="shared" si="20"/>
        <v>283.26935470449763</v>
      </c>
      <c r="EO10" s="59">
        <f ca="1">AVERAGE(OFFSET($EN$3,0,0,'Données projet'!$E$15+1,1))-AVERAGE(OFFSET($H$3,0,0,'Données projet'!$E$15+1,1))</f>
        <v>484.41278617935654</v>
      </c>
      <c r="EP10" s="59">
        <f t="shared" si="46"/>
        <v>467.97490540700738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1.9</v>
      </c>
      <c r="FE10" s="12">
        <f>IF('Données projet'!$A$218&gt;35,FE9+FD10-FM9,IF(A10&lt;'Données projet'!$A$218,$FB$205^A10,IF(A10='Données projet'!$A$218,'Données projet'!$B$218,FE9+FD10-FM9)))</f>
        <v>7.8546623499408135</v>
      </c>
      <c r="FF10" s="17">
        <f>FE10*VLOOKUP('Données projet'!$B$16,Paramètres!$A$1:$I$89,3,0)*VLOOKUP('Données projet'!$B$16,Paramètres!$A$1:$I$89,5,0)</f>
        <v>8.4547585534762923</v>
      </c>
      <c r="FG10" s="13">
        <f t="shared" si="47"/>
        <v>3.039055937105644</v>
      </c>
      <c r="FH10" s="20">
        <f t="shared" si="22"/>
        <v>20.018393571096873</v>
      </c>
      <c r="FI10" s="59">
        <f t="shared" si="23"/>
        <v>285.24061579331908</v>
      </c>
      <c r="FJ10" s="59">
        <f ca="1">AVERAGE(OFFSET($FI$3,0,0,'Données projet'!$E$16+1,1))-AVERAGE(OFFSET($H$3,0,0,'Données projet'!$E$16+1,1))</f>
        <v>534.54020133239135</v>
      </c>
      <c r="FK10" s="59">
        <f t="shared" si="48"/>
        <v>515.48696069008815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6.9</v>
      </c>
      <c r="FZ10" s="12">
        <f>IF('Données projet'!$A$244&gt;35,FZ9+FY10-GH9,IF(A10&lt;'Données projet'!$A$244,$FW$205^A10,IF(A10='Données projet'!$A$244,'Données projet'!$B$244,FZ9+FY10-GH9)))</f>
        <v>19.372887813476268</v>
      </c>
      <c r="GA10" s="17">
        <f>FZ10*VLOOKUP('Données projet'!$B$17,Paramètres!$A$1:$I$89,3,0)*VLOOKUP('Données projet'!$B$17,Paramètres!$A$1:$I$89,5,0)</f>
        <v>18.435240043304017</v>
      </c>
      <c r="GB10" s="13">
        <f t="shared" si="49"/>
        <v>6.0517271880922969</v>
      </c>
      <c r="GC10" s="20">
        <f t="shared" si="25"/>
        <v>42.648134594681913</v>
      </c>
      <c r="GD10" s="59">
        <f t="shared" si="26"/>
        <v>307.87035681690412</v>
      </c>
      <c r="GE10" s="59">
        <f ca="1">AVERAGE(OFFSET($GD$3,0,0,'Données projet'!$E$17+1,1))-AVERAGE(OFFSET($H$3,0,0,'Données projet'!$E$17+1,1))</f>
        <v>455.71329051283936</v>
      </c>
      <c r="GF10" s="59">
        <f t="shared" si="50"/>
        <v>479.3743231122258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1.9</v>
      </c>
      <c r="GU10" s="12">
        <f>IF('Données projet'!$A$270&gt;35,GU9+GT10-HC9,IF(A10&lt;'Données projet'!$A$270,$GR$205^A10,IF(A10='Données projet'!$A$270,'Données projet'!$B$270,GU9+GT10-HC9)))</f>
        <v>7.8546623499408135</v>
      </c>
      <c r="GV10" s="17">
        <f>GU10*VLOOKUP('Données projet'!$B$18,Paramètres!$A$1:$I$89,3,0)*VLOOKUP('Données projet'!$B$18,Paramètres!$A$1:$I$89,5,0)</f>
        <v>6.3717020982719887</v>
      </c>
      <c r="GW10" s="13">
        <f t="shared" si="51"/>
        <v>2.3669669378051128</v>
      </c>
      <c r="GX10" s="20">
        <f t="shared" si="28"/>
        <v>15.219848571167617</v>
      </c>
      <c r="GY10" s="59">
        <f t="shared" si="29"/>
        <v>280.44207079338986</v>
      </c>
      <c r="GZ10" s="59">
        <f ca="1">AVERAGE(OFFSET($GY$3,0,0,'Données projet'!$E$18+1,1))-AVERAGE(OFFSET($H$3,0,0,'Données projet'!$E$18+1,1))</f>
        <v>412.59676769258488</v>
      </c>
      <c r="HA10" s="59">
        <f t="shared" si="52"/>
        <v>399.90063795152133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3.65</v>
      </c>
      <c r="N11" s="13">
        <f>IF('Données projet'!$A$36&gt;35,N10+M11-V10,IF(A11&lt;'Données projet'!$A$36,$K$205^A11,IF(A11='Données projet'!$A$36,'Données projet'!$B$36,N10+M11-V10)))</f>
        <v>5.563257268920875</v>
      </c>
      <c r="O11" s="13">
        <f>N11*VLOOKUP('Données projet'!$B$9,Paramètres!$A$1:$I$89,3,0)*VLOOKUP('Données projet'!$B$9,Paramètres!$A$1:$I$89,5,0)</f>
        <v>5.0336351769196082</v>
      </c>
      <c r="P11" s="13">
        <f t="shared" si="33"/>
        <v>1.9219176128866391</v>
      </c>
      <c r="Q11" s="20">
        <f t="shared" si="2"/>
        <v>12.11425444224588</v>
      </c>
      <c r="R11" s="59">
        <f t="shared" si="0"/>
        <v>278.55869888669031</v>
      </c>
      <c r="S11" s="59">
        <f ca="1">AVERAGE(OFFSET($R$3,0,0,'Données projet'!$E$9+1,1))-AVERAGE(OFFSET($H$3,0,0,'Données projet'!$E$9+1,1))</f>
        <v>439.19854273764042</v>
      </c>
      <c r="T11" s="59">
        <f t="shared" si="34"/>
        <v>278.21741231699929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3.65</v>
      </c>
      <c r="AI11" s="13">
        <f>IF('Données projet'!$A$62&gt;35,AI10+AH11-AQ10,IF(A11&lt;'Données projet'!$A$62,$AF$205^A11,IF(A11='Données projet'!$A$62,'Données projet'!$B$62,AI10+AH11-AQ10)))</f>
        <v>5.563257268920875</v>
      </c>
      <c r="AJ11" s="13">
        <f>AI11*VLOOKUP('Données projet'!$B$10,Paramètres!$A$1:$I$89,3,0)*VLOOKUP('Données projet'!$B$10,Paramètres!$A$1:$I$89,5,0)</f>
        <v>5.6411428706857674</v>
      </c>
      <c r="AK11" s="13">
        <f t="shared" si="35"/>
        <v>2.125494735292019</v>
      </c>
      <c r="AL11" s="20">
        <f t="shared" si="4"/>
        <v>13.526893830411311</v>
      </c>
      <c r="AM11" s="59">
        <f t="shared" si="5"/>
        <v>279.97133827485578</v>
      </c>
      <c r="AN11" s="59">
        <f ca="1">AVERAGE(OFFSET($AM$3,0,0,'Données projet'!$E$10+1,1))-AVERAGE(OFFSET($H$3,0,0,'Données projet'!$E$10+1,1))</f>
        <v>487.18832528146936</v>
      </c>
      <c r="AO11" s="59">
        <f t="shared" si="36"/>
        <v>306.61893266146666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17.600000000000001</v>
      </c>
      <c r="BD11" s="12">
        <f>IF('Données projet'!$A$88&gt;35,BD10+BC11-BL10,IF(A11&lt;'Données projet'!$A$88,$BA$205^A11,IF(A11='Données projet'!$A$88,'Données projet'!$B$88,BD10+BC11-BL10)))</f>
        <v>85.800000000000011</v>
      </c>
      <c r="BE11" s="13">
        <f>BD11*VLOOKUP('Données projet'!$B$11,Paramètres!$A$1:$I$89,3,0)*VLOOKUP('Données projet'!$B$11,Paramètres!$A$1:$I$89,5,0)</f>
        <v>77.631840000000011</v>
      </c>
      <c r="BF11" s="13">
        <f t="shared" si="37"/>
        <v>21.557147963295233</v>
      </c>
      <c r="BG11" s="20">
        <f t="shared" si="7"/>
        <v>172.75415403607255</v>
      </c>
      <c r="BH11" s="59">
        <f t="shared" si="8"/>
        <v>439.19859848051703</v>
      </c>
      <c r="BI11" s="59">
        <f ca="1">AVERAGE(OFFSET($BH$3,0,0,'Données projet'!$E$11+1,1))-AVERAGE(OFFSET($H$3,0,0,'Données projet'!$E$11+1,1))</f>
        <v>436.23918637269577</v>
      </c>
      <c r="BJ11" s="59">
        <f t="shared" si="38"/>
        <v>611.43967996341894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7.1333333333333337</v>
      </c>
      <c r="BY11" s="12">
        <f>IF('Données projet'!$A$114&gt;35,BY10+BX11-CG10,IF(A11&lt;'Données projet'!$A$114,$BV$205^A11,IF(A11='Données projet'!$A$114,'Données projet'!$B$114,BY10+BX11-CG10)))</f>
        <v>12.087542519068045</v>
      </c>
      <c r="BZ11" s="13">
        <f>BY11*VLOOKUP('Données projet'!$B$12,Paramètres!$A$1:$I$89,3,0)*VLOOKUP('Données projet'!$B$12,Paramètres!$A$1:$I$89,5,0)</f>
        <v>10.559677144657845</v>
      </c>
      <c r="CA11" s="13">
        <f t="shared" si="39"/>
        <v>3.6987056480557761</v>
      </c>
      <c r="CB11" s="20">
        <f t="shared" si="10"/>
        <v>24.83335003064289</v>
      </c>
      <c r="CC11" s="59">
        <f t="shared" si="11"/>
        <v>291.27779447508738</v>
      </c>
      <c r="CD11" s="59">
        <f ca="1">AVERAGE(OFFSET($CC$3,0,0,'Données projet'!$E$12+1,1))-AVERAGE(OFFSET($H$3,0,0,'Données projet'!$E$12+1,1))</f>
        <v>304.32767345253382</v>
      </c>
      <c r="CE11" s="59">
        <f t="shared" si="40"/>
        <v>427.16091343339173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10.8</v>
      </c>
      <c r="CT11" s="12">
        <f>IF('Données projet'!$A$140&gt;35,CT10+CS11-DB10,IF(A11&lt;'Données projet'!$A$140,$CQ$205^A11,IF(A11='Données projet'!$A$140,'Données projet'!$B$140,CT10+CS11-DB10)))</f>
        <v>15.080231472901943</v>
      </c>
      <c r="CU11" s="17">
        <f>CT11*VLOOKUP('Données projet'!$B$13,Paramètres!$A$1:$I$89,3,0)*VLOOKUP('Données projet'!$B$13,Paramètres!$A$1:$I$89,5,0)</f>
        <v>8.4298493933521872</v>
      </c>
      <c r="CV11" s="13">
        <f t="shared" si="41"/>
        <v>3.0311431985167756</v>
      </c>
      <c r="CW11" s="20">
        <f t="shared" si="13"/>
        <v>19.961228764171775</v>
      </c>
      <c r="CX11" s="59">
        <f t="shared" si="14"/>
        <v>286.40567320861624</v>
      </c>
      <c r="CY11" s="59">
        <f ca="1">AVERAGE(OFFSET($CX$3,0,0,'Données projet'!$E$13+1,1))-AVERAGE(OFFSET($H$3,0,0,'Données projet'!$E$13+1,1))</f>
        <v>555.15881087162279</v>
      </c>
      <c r="CZ11" s="59">
        <f t="shared" si="42"/>
        <v>668.20427590250733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6.4</v>
      </c>
      <c r="DO11" s="12">
        <f>IF('Données projet'!$A$166&gt;35,DO10+DN11-DW10,IF(A11&lt;'Données projet'!$A$166,$DL$205^A11,IF(A11='Données projet'!$A$166,'Données projet'!$B$166,DO10+DN11-DW10)))</f>
        <v>11.408047591737819</v>
      </c>
      <c r="DP11" s="17">
        <f>DO11*VLOOKUP('Données projet'!$B$14,Paramètres!$A$1:$I$89,3,0)*VLOOKUP('Données projet'!$B$14,Paramètres!$A$1:$I$89,5,0)</f>
        <v>5.3389662729332992</v>
      </c>
      <c r="DQ11" s="13">
        <f t="shared" si="43"/>
        <v>2.0245720026174676</v>
      </c>
      <c r="DR11" s="20">
        <f t="shared" si="16"/>
        <v>12.824829163250916</v>
      </c>
      <c r="DS11" s="59">
        <f t="shared" si="17"/>
        <v>279.26927360769537</v>
      </c>
      <c r="DT11" s="59">
        <f ca="1">AVERAGE(OFFSET($DS$3,0,0,'Données projet'!$E$14+1,1))-AVERAGE(OFFSET($H$3,0,0,'Données projet'!$E$14+1,1))</f>
        <v>523.79180230463714</v>
      </c>
      <c r="DU11" s="59">
        <f t="shared" si="44"/>
        <v>459.3547783500515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1.9</v>
      </c>
      <c r="EJ11" s="12">
        <f>IF('Données projet'!$A$192&gt;35,EJ10+EI11-ER10,IF(A11&lt;'Données projet'!$A$192,$EG$205^A11,IF(A11='Données projet'!$A$192,'Données projet'!$B$192,EJ10+EI11-ER10)))</f>
        <v>10.543938903738736</v>
      </c>
      <c r="EK11" s="17">
        <f>EJ11*VLOOKUP('Données projet'!$B$15,Paramètres!$A$1:$I$89,3,0)*VLOOKUP('Données projet'!$B$15,Paramètres!$A$1:$I$89,5,0)</f>
        <v>10.198097707696105</v>
      </c>
      <c r="EL11" s="13">
        <f t="shared" si="45"/>
        <v>3.5865724012707099</v>
      </c>
      <c r="EM11" s="20">
        <f t="shared" si="19"/>
        <v>24.008300439783866</v>
      </c>
      <c r="EN11" s="59">
        <f t="shared" si="20"/>
        <v>290.45274488422831</v>
      </c>
      <c r="EO11" s="59">
        <f ca="1">AVERAGE(OFFSET($EN$3,0,0,'Données projet'!$E$15+1,1))-AVERAGE(OFFSET($H$3,0,0,'Données projet'!$E$15+1,1))</f>
        <v>484.41278617935654</v>
      </c>
      <c r="EP11" s="59">
        <f t="shared" si="46"/>
        <v>467.97490540700738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1.9</v>
      </c>
      <c r="FE11" s="12">
        <f>IF('Données projet'!$A$218&gt;35,FE10+FD11-FM10,IF(A11&lt;'Données projet'!$A$218,$FB$205^A11,IF(A11='Données projet'!$A$218,'Données projet'!$B$218,FE10+FD11-FM10)))</f>
        <v>10.543938903738736</v>
      </c>
      <c r="FF11" s="17">
        <f>FE11*VLOOKUP('Données projet'!$B$16,Paramètres!$A$1:$I$89,3,0)*VLOOKUP('Données projet'!$B$16,Paramètres!$A$1:$I$89,5,0)</f>
        <v>11.349495835984374</v>
      </c>
      <c r="FG11" s="13">
        <f t="shared" si="47"/>
        <v>3.9421156586061272</v>
      </c>
      <c r="FH11" s="20">
        <f t="shared" si="22"/>
        <v>26.632890019745123</v>
      </c>
      <c r="FI11" s="59">
        <f t="shared" si="23"/>
        <v>293.07733446418956</v>
      </c>
      <c r="FJ11" s="59">
        <f ca="1">AVERAGE(OFFSET($FI$3,0,0,'Données projet'!$E$16+1,1))-AVERAGE(OFFSET($H$3,0,0,'Données projet'!$E$16+1,1))</f>
        <v>534.54020133239135</v>
      </c>
      <c r="FK11" s="59">
        <f t="shared" si="48"/>
        <v>515.48696069008815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6.9</v>
      </c>
      <c r="FZ11" s="12">
        <f>IF('Données projet'!$A$244&gt;35,FZ10+FY11-GH10,IF(A11&lt;'Données projet'!$A$244,$FW$205^A11,IF(A11='Données projet'!$A$244,'Données projet'!$B$244,FZ10+FY11-GH10)))</f>
        <v>29.585524474190425</v>
      </c>
      <c r="GA11" s="17">
        <f>FZ11*VLOOKUP('Données projet'!$B$17,Paramètres!$A$1:$I$89,3,0)*VLOOKUP('Données projet'!$B$17,Paramètres!$A$1:$I$89,5,0)</f>
        <v>28.153585089639613</v>
      </c>
      <c r="GB11" s="13">
        <f t="shared" si="49"/>
        <v>8.7975156372814265</v>
      </c>
      <c r="GC11" s="20">
        <f t="shared" si="25"/>
        <v>64.356500432720807</v>
      </c>
      <c r="GD11" s="59">
        <f t="shared" si="26"/>
        <v>330.80094487716525</v>
      </c>
      <c r="GE11" s="59">
        <f ca="1">AVERAGE(OFFSET($GD$3,0,0,'Données projet'!$E$17+1,1))-AVERAGE(OFFSET($H$3,0,0,'Données projet'!$E$17+1,1))</f>
        <v>455.71329051283936</v>
      </c>
      <c r="GF11" s="59">
        <f t="shared" si="50"/>
        <v>479.3743231122258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1.9</v>
      </c>
      <c r="GU11" s="12">
        <f>IF('Données projet'!$A$270&gt;35,GU10+GT11-HC10,IF(A11&lt;'Données projet'!$A$270,$GR$205^A11,IF(A11='Données projet'!$A$270,'Données projet'!$B$270,GU10+GT11-HC10)))</f>
        <v>10.543938903738736</v>
      </c>
      <c r="GV11" s="17">
        <f>GU11*VLOOKUP('Données projet'!$B$18,Paramètres!$A$1:$I$89,3,0)*VLOOKUP('Données projet'!$B$18,Paramètres!$A$1:$I$89,5,0)</f>
        <v>8.553243238712863</v>
      </c>
      <c r="GW11" s="13">
        <f t="shared" si="51"/>
        <v>3.0703144733199998</v>
      </c>
      <c r="GX11" s="20">
        <f t="shared" si="28"/>
        <v>20.244363015123902</v>
      </c>
      <c r="GY11" s="59">
        <f t="shared" si="29"/>
        <v>286.68880745956835</v>
      </c>
      <c r="GZ11" s="59">
        <f ca="1">AVERAGE(OFFSET($GY$3,0,0,'Données projet'!$E$18+1,1))-AVERAGE(OFFSET($H$3,0,0,'Données projet'!$E$18+1,1))</f>
        <v>412.59676769258488</v>
      </c>
      <c r="HA11" s="59">
        <f t="shared" si="52"/>
        <v>399.90063795152133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3.65</v>
      </c>
      <c r="N12" s="13">
        <f>IF('Données projet'!$A$36&gt;35,N11+M12-V11,IF(A12&lt;'Données projet'!$A$36,$K$205^A12,IF(A12='Données projet'!$A$36,'Données projet'!$B$36,N11+M12-V11)))</f>
        <v>6.8943811137639424</v>
      </c>
      <c r="O12" s="13">
        <f>N12*VLOOKUP('Données projet'!$B$9,Paramètres!$A$1:$I$89,3,0)*VLOOKUP('Données projet'!$B$9,Paramètres!$A$1:$I$89,5,0)</f>
        <v>6.2380360317336141</v>
      </c>
      <c r="P12" s="13">
        <f t="shared" si="33"/>
        <v>2.3230383034439352</v>
      </c>
      <c r="Q12" s="20">
        <f t="shared" si="2"/>
        <v>14.910537800434229</v>
      </c>
      <c r="R12" s="59">
        <f t="shared" si="0"/>
        <v>282.5772044671009</v>
      </c>
      <c r="S12" s="59">
        <f ca="1">AVERAGE(OFFSET($R$3,0,0,'Données projet'!$E$9+1,1))-AVERAGE(OFFSET($H$3,0,0,'Données projet'!$E$9+1,1))</f>
        <v>439.19854273764042</v>
      </c>
      <c r="T12" s="59">
        <f t="shared" si="34"/>
        <v>278.21741231699929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3.65</v>
      </c>
      <c r="AI12" s="13">
        <f>IF('Données projet'!$A$62&gt;35,AI11+AH12-AQ11,IF(A12&lt;'Données projet'!$A$62,$AF$205^A12,IF(A12='Données projet'!$A$62,'Données projet'!$B$62,AI11+AH12-AQ11)))</f>
        <v>6.8943811137639424</v>
      </c>
      <c r="AJ12" s="13">
        <f>AI12*VLOOKUP('Données projet'!$B$10,Paramètres!$A$1:$I$89,3,0)*VLOOKUP('Données projet'!$B$10,Paramètres!$A$1:$I$89,5,0)</f>
        <v>6.9909024493566383</v>
      </c>
      <c r="AK12" s="13">
        <f t="shared" si="35"/>
        <v>2.5691037174250742</v>
      </c>
      <c r="AL12" s="20">
        <f t="shared" si="4"/>
        <v>16.650344073811482</v>
      </c>
      <c r="AM12" s="59">
        <f t="shared" si="5"/>
        <v>284.31701074047817</v>
      </c>
      <c r="AN12" s="59">
        <f ca="1">AVERAGE(OFFSET($AM$3,0,0,'Données projet'!$E$10+1,1))-AVERAGE(OFFSET($H$3,0,0,'Données projet'!$E$10+1,1))</f>
        <v>487.18832528146936</v>
      </c>
      <c r="AO12" s="59">
        <f t="shared" si="36"/>
        <v>306.61893266146666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17.600000000000001</v>
      </c>
      <c r="BD12" s="12">
        <f>IF('Données projet'!$A$88&gt;35,BD11+BC12-BL11,IF(A12&lt;'Données projet'!$A$88,$BA$205^A12,IF(A12='Données projet'!$A$88,'Données projet'!$B$88,BD11+BC12-BL11)))</f>
        <v>103.4</v>
      </c>
      <c r="BE12" s="13">
        <f>BD12*VLOOKUP('Données projet'!$B$11,Paramètres!$A$1:$I$89,3,0)*VLOOKUP('Données projet'!$B$11,Paramètres!$A$1:$I$89,5,0)</f>
        <v>93.556319999999999</v>
      </c>
      <c r="BF12" s="13">
        <f t="shared" si="37"/>
        <v>25.420979659258073</v>
      </c>
      <c r="BG12" s="20">
        <f t="shared" si="7"/>
        <v>207.21879690654114</v>
      </c>
      <c r="BH12" s="59">
        <f t="shared" si="8"/>
        <v>474.88546357320786</v>
      </c>
      <c r="BI12" s="59">
        <f ca="1">AVERAGE(OFFSET($BH$3,0,0,'Données projet'!$E$11+1,1))-AVERAGE(OFFSET($H$3,0,0,'Données projet'!$E$11+1,1))</f>
        <v>436.23918637269577</v>
      </c>
      <c r="BJ12" s="59">
        <f t="shared" si="38"/>
        <v>611.43967996341894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7.1333333333333337</v>
      </c>
      <c r="BY12" s="12">
        <f>IF('Données projet'!$A$114&gt;35,BY11+BX12-CG11,IF(A12&lt;'Données projet'!$A$114,$BV$205^A12,IF(A12='Données projet'!$A$114,'Données projet'!$B$114,BY11+BX12-CG11)))</f>
        <v>16.505560112818404</v>
      </c>
      <c r="BZ12" s="13">
        <f>BY12*VLOOKUP('Données projet'!$B$12,Paramètres!$A$1:$I$89,3,0)*VLOOKUP('Données projet'!$B$12,Paramètres!$A$1:$I$89,5,0)</f>
        <v>14.419257314558161</v>
      </c>
      <c r="CA12" s="13">
        <f t="shared" si="39"/>
        <v>4.870729420129039</v>
      </c>
      <c r="CB12" s="20">
        <f t="shared" si="10"/>
        <v>33.596726896246878</v>
      </c>
      <c r="CC12" s="59">
        <f t="shared" si="11"/>
        <v>301.26339356291356</v>
      </c>
      <c r="CD12" s="59">
        <f ca="1">AVERAGE(OFFSET($CC$3,0,0,'Données projet'!$E$12+1,1))-AVERAGE(OFFSET($H$3,0,0,'Données projet'!$E$12+1,1))</f>
        <v>304.32767345253382</v>
      </c>
      <c r="CE12" s="59">
        <f t="shared" si="40"/>
        <v>427.16091343339173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10.8</v>
      </c>
      <c r="CT12" s="12">
        <f>IF('Données projet'!$A$140&gt;35,CT11+CS12-DB11,IF(A12&lt;'Données projet'!$A$140,$CQ$205^A12,IF(A12='Données projet'!$A$140,'Données projet'!$B$140,CT11+CS12-DB11)))</f>
        <v>21.169422405444113</v>
      </c>
      <c r="CU12" s="17">
        <f>CT12*VLOOKUP('Données projet'!$B$13,Paramètres!$A$1:$I$89,3,0)*VLOOKUP('Données projet'!$B$13,Paramètres!$A$1:$I$89,5,0)</f>
        <v>11.83370712464326</v>
      </c>
      <c r="CV12" s="13">
        <f t="shared" si="41"/>
        <v>4.0903608070972819</v>
      </c>
      <c r="CW12" s="20">
        <f t="shared" si="13"/>
        <v>27.734418314448106</v>
      </c>
      <c r="CX12" s="59">
        <f t="shared" si="14"/>
        <v>295.40108498111476</v>
      </c>
      <c r="CY12" s="59">
        <f ca="1">AVERAGE(OFFSET($CX$3,0,0,'Données projet'!$E$13+1,1))-AVERAGE(OFFSET($H$3,0,0,'Données projet'!$E$13+1,1))</f>
        <v>555.15881087162279</v>
      </c>
      <c r="CZ12" s="59">
        <f t="shared" si="42"/>
        <v>668.20427590250733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6.4</v>
      </c>
      <c r="DO12" s="12">
        <f>IF('Données projet'!$A$166&gt;35,DO11+DN12-DW11,IF(A12&lt;'Données projet'!$A$166,$DL$205^A12,IF(A12='Données projet'!$A$166,'Données projet'!$B$166,DO11+DN12-DW11)))</f>
        <v>15.465456359454103</v>
      </c>
      <c r="DP12" s="17">
        <f>DO12*VLOOKUP('Données projet'!$B$14,Paramètres!$A$1:$I$89,3,0)*VLOOKUP('Données projet'!$B$14,Paramètres!$A$1:$I$89,5,0)</f>
        <v>7.2378335762245207</v>
      </c>
      <c r="DQ12" s="13">
        <f t="shared" si="43"/>
        <v>2.6491235751902344</v>
      </c>
      <c r="DR12" s="20">
        <f t="shared" si="16"/>
        <v>17.219783705380699</v>
      </c>
      <c r="DS12" s="59">
        <f t="shared" si="17"/>
        <v>284.88645037204736</v>
      </c>
      <c r="DT12" s="59">
        <f ca="1">AVERAGE(OFFSET($DS$3,0,0,'Données projet'!$E$14+1,1))-AVERAGE(OFFSET($H$3,0,0,'Données projet'!$E$14+1,1))</f>
        <v>523.79180230463714</v>
      </c>
      <c r="DU12" s="59">
        <f t="shared" si="44"/>
        <v>459.3547783500515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1.9</v>
      </c>
      <c r="EJ12" s="12">
        <f>IF('Données projet'!$A$192&gt;35,EJ11+EI12-ER11,IF(A12&lt;'Données projet'!$A$192,$EG$205^A12,IF(A12='Données projet'!$A$192,'Données projet'!$B$192,EJ11+EI12-ER11)))</f>
        <v>14.153969025366564</v>
      </c>
      <c r="EK12" s="17">
        <f>EJ12*VLOOKUP('Données projet'!$B$15,Paramètres!$A$1:$I$89,3,0)*VLOOKUP('Données projet'!$B$15,Paramètres!$A$1:$I$89,5,0)</f>
        <v>13.689718841334541</v>
      </c>
      <c r="EL12" s="13">
        <f t="shared" si="45"/>
        <v>4.6523274057401336</v>
      </c>
      <c r="EM12" s="20">
        <f t="shared" si="19"/>
        <v>31.94573054698839</v>
      </c>
      <c r="EN12" s="59">
        <f t="shared" si="20"/>
        <v>299.61239721365507</v>
      </c>
      <c r="EO12" s="59">
        <f ca="1">AVERAGE(OFFSET($EN$3,0,0,'Données projet'!$E$15+1,1))-AVERAGE(OFFSET($H$3,0,0,'Données projet'!$E$15+1,1))</f>
        <v>484.41278617935654</v>
      </c>
      <c r="EP12" s="59">
        <f t="shared" si="46"/>
        <v>467.97490540700738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1.9</v>
      </c>
      <c r="FE12" s="12">
        <f>IF('Données projet'!$A$218&gt;35,FE11+FD12-FM11,IF(A12&lt;'Données projet'!$A$218,$FB$205^A12,IF(A12='Données projet'!$A$218,'Données projet'!$B$218,FE11+FD12-FM11)))</f>
        <v>14.153969025366564</v>
      </c>
      <c r="FF12" s="17">
        <f>FE12*VLOOKUP('Données projet'!$B$16,Paramètres!$A$1:$I$89,3,0)*VLOOKUP('Données projet'!$B$16,Paramètres!$A$1:$I$89,5,0)</f>
        <v>15.23533225890457</v>
      </c>
      <c r="FG12" s="13">
        <f t="shared" si="47"/>
        <v>5.1135208391813869</v>
      </c>
      <c r="FH12" s="20">
        <f t="shared" si="22"/>
        <v>35.440919145833035</v>
      </c>
      <c r="FI12" s="59">
        <f t="shared" si="23"/>
        <v>303.10758581249974</v>
      </c>
      <c r="FJ12" s="59">
        <f ca="1">AVERAGE(OFFSET($FI$3,0,0,'Données projet'!$E$16+1,1))-AVERAGE(OFFSET($H$3,0,0,'Données projet'!$E$16+1,1))</f>
        <v>534.54020133239135</v>
      </c>
      <c r="FK12" s="59">
        <f t="shared" si="48"/>
        <v>515.48696069008815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6.9</v>
      </c>
      <c r="FZ12" s="12">
        <f>IF('Données projet'!$A$244&gt;35,FZ11+FY12-GH11,IF(A12&lt;'Données projet'!$A$244,$FW$205^A12,IF(A12='Données projet'!$A$244,'Données projet'!$B$244,FZ11+FY12-GH11)))</f>
        <v>45.181867919765558</v>
      </c>
      <c r="GA12" s="17">
        <f>FZ12*VLOOKUP('Données projet'!$B$17,Paramètres!$A$1:$I$89,3,0)*VLOOKUP('Données projet'!$B$17,Paramètres!$A$1:$I$89,5,0)</f>
        <v>42.995065512448903</v>
      </c>
      <c r="GB12" s="13">
        <f t="shared" si="49"/>
        <v>12.789122672367037</v>
      </c>
      <c r="GC12" s="20">
        <f t="shared" si="25"/>
        <v>97.157461088554427</v>
      </c>
      <c r="GD12" s="59">
        <f t="shared" si="26"/>
        <v>364.82412775522113</v>
      </c>
      <c r="GE12" s="59">
        <f ca="1">AVERAGE(OFFSET($GD$3,0,0,'Données projet'!$E$17+1,1))-AVERAGE(OFFSET($H$3,0,0,'Données projet'!$E$17+1,1))</f>
        <v>455.71329051283936</v>
      </c>
      <c r="GF12" s="59">
        <f t="shared" si="50"/>
        <v>479.3743231122258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1.9</v>
      </c>
      <c r="GU12" s="12">
        <f>IF('Données projet'!$A$270&gt;35,GU11+GT12-HC11,IF(A12&lt;'Données projet'!$A$270,$GR$205^A12,IF(A12='Données projet'!$A$270,'Données projet'!$B$270,GU11+GT12-HC11)))</f>
        <v>14.153969025366564</v>
      </c>
      <c r="GV12" s="17">
        <f>GU12*VLOOKUP('Données projet'!$B$18,Paramètres!$A$1:$I$89,3,0)*VLOOKUP('Données projet'!$B$18,Paramètres!$A$1:$I$89,5,0)</f>
        <v>11.481699673377356</v>
      </c>
      <c r="GW12" s="13">
        <f t="shared" si="51"/>
        <v>3.9826627125682457</v>
      </c>
      <c r="GX12" s="20">
        <f t="shared" si="28"/>
        <v>26.933764488855257</v>
      </c>
      <c r="GY12" s="59">
        <f t="shared" si="29"/>
        <v>294.60043115552196</v>
      </c>
      <c r="GZ12" s="59">
        <f ca="1">AVERAGE(OFFSET($GY$3,0,0,'Données projet'!$E$18+1,1))-AVERAGE(OFFSET($H$3,0,0,'Données projet'!$E$18+1,1))</f>
        <v>412.59676769258488</v>
      </c>
      <c r="HA12" s="59">
        <f t="shared" si="52"/>
        <v>399.90063795152133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3.65</v>
      </c>
      <c r="N13" s="13">
        <f>IF('Données projet'!$A$36&gt;35,N12+M13-V12,IF(A13&lt;'Données projet'!$A$36,$K$205^A13,IF(A13='Données projet'!$A$36,'Données projet'!$B$36,N12+M13-V12)))</f>
        <v>8.5440037453175322</v>
      </c>
      <c r="O13" s="13">
        <f>N13*VLOOKUP('Données projet'!$B$9,Paramètres!$A$1:$I$89,3,0)*VLOOKUP('Données projet'!$B$9,Paramètres!$A$1:$I$89,5,0)</f>
        <v>7.7306145887633031</v>
      </c>
      <c r="P13" s="13">
        <f t="shared" si="33"/>
        <v>2.8078763226288115</v>
      </c>
      <c r="Q13" s="20">
        <f t="shared" si="2"/>
        <v>18.354538337341264</v>
      </c>
      <c r="R13" s="59">
        <f t="shared" si="0"/>
        <v>287.2434272262301</v>
      </c>
      <c r="S13" s="59">
        <f ca="1">AVERAGE(OFFSET($R$3,0,0,'Données projet'!$E$9+1,1))-AVERAGE(OFFSET($H$3,0,0,'Données projet'!$E$9+1,1))</f>
        <v>439.19854273764042</v>
      </c>
      <c r="T13" s="59">
        <f t="shared" si="34"/>
        <v>278.21741231699929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3.65</v>
      </c>
      <c r="AI13" s="13">
        <f>IF('Données projet'!$A$62&gt;35,AI12+AH13-AQ12,IF(A13&lt;'Données projet'!$A$62,$AF$205^A13,IF(A13='Données projet'!$A$62,'Données projet'!$B$62,AI12+AH13-AQ12)))</f>
        <v>8.5440037453175322</v>
      </c>
      <c r="AJ13" s="13">
        <f>AI13*VLOOKUP('Données projet'!$B$10,Paramètres!$A$1:$I$89,3,0)*VLOOKUP('Données projet'!$B$10,Paramètres!$A$1:$I$89,5,0)</f>
        <v>8.6636197977519771</v>
      </c>
      <c r="AK13" s="13">
        <f t="shared" si="35"/>
        <v>3.1052976990698267</v>
      </c>
      <c r="AL13" s="20">
        <f t="shared" si="4"/>
        <v>20.497531306964643</v>
      </c>
      <c r="AM13" s="59">
        <f t="shared" si="5"/>
        <v>289.38642019585347</v>
      </c>
      <c r="AN13" s="59">
        <f ca="1">AVERAGE(OFFSET($AM$3,0,0,'Données projet'!$E$10+1,1))-AVERAGE(OFFSET($H$3,0,0,'Données projet'!$E$10+1,1))</f>
        <v>487.18832528146936</v>
      </c>
      <c r="AO13" s="59">
        <f t="shared" si="36"/>
        <v>306.61893266146666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121</v>
      </c>
      <c r="BB13" s="12">
        <f>VLOOKUP(A13,'Données projet'!$A$87:$I$107,9,0)</f>
        <v>17.600000000000001</v>
      </c>
      <c r="BC13" s="12">
        <f t="array" ref="BC13">INDEX(BB:BB,MIN(IF(ISNUMBER(BB13:BB209),ROW(BB13:BB209),"")))</f>
        <v>17.600000000000001</v>
      </c>
      <c r="BD13" s="12">
        <f>IF('Données projet'!$A$88&gt;35,BD12+BC13-BL12,IF(A13&lt;'Données projet'!$A$88,$BA$205^A13,IF(A13='Données projet'!$A$88,'Données projet'!$B$88,BD12+BC13-BL12)))</f>
        <v>121</v>
      </c>
      <c r="BE13" s="13">
        <f>BD13*VLOOKUP('Données projet'!$B$11,Paramètres!$A$1:$I$89,3,0)*VLOOKUP('Données projet'!$B$11,Paramètres!$A$1:$I$89,5,0)</f>
        <v>109.48079999999999</v>
      </c>
      <c r="BF13" s="13">
        <f t="shared" si="37"/>
        <v>29.208623339903898</v>
      </c>
      <c r="BG13" s="20">
        <f t="shared" si="7"/>
        <v>241.5507456503326</v>
      </c>
      <c r="BH13" s="59">
        <f t="shared" si="8"/>
        <v>510.43963453922146</v>
      </c>
      <c r="BI13" s="59">
        <f ca="1">AVERAGE(OFFSET($BH$3,0,0,'Données projet'!$E$11+1,1))-AVERAGE(OFFSET($H$3,0,0,'Données projet'!$E$11+1,1))</f>
        <v>436.23918637269577</v>
      </c>
      <c r="BJ13" s="59">
        <f t="shared" si="38"/>
        <v>611.43967996341894</v>
      </c>
      <c r="BK13" s="15">
        <f>IF(ISNA(VLOOKUP(A13,'Données projet'!$A$87:$I$107,3,0)),0,VLOOKUP(A13,'Données projet'!$A$87:$I$107,3,0))</f>
        <v>2</v>
      </c>
      <c r="BL13" s="15">
        <f>IF(ISNA(VLOOKUP(A13,'Données projet'!$A$87:$I$107,4,0)),0,VLOOKUP(A13,'Données projet'!$A$87:$I$107,4,0))</f>
        <v>37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7.1333333333333337</v>
      </c>
      <c r="BY13" s="12">
        <f>IF('Données projet'!$A$114&gt;35,BY12+BX13-CG12,IF(A13&lt;'Données projet'!$A$114,$BV$205^A13,IF(A13='Données projet'!$A$114,'Données projet'!$B$114,BY12+BX13-CG12)))</f>
        <v>22.538370740628146</v>
      </c>
      <c r="BZ13" s="13">
        <f>BY13*VLOOKUP('Données projet'!$B$12,Paramètres!$A$1:$I$89,3,0)*VLOOKUP('Données projet'!$B$12,Paramètres!$A$1:$I$89,5,0)</f>
        <v>19.689520679012752</v>
      </c>
      <c r="CA13" s="13">
        <f t="shared" si="39"/>
        <v>6.414137090520053</v>
      </c>
      <c r="CB13" s="20">
        <f t="shared" si="10"/>
        <v>45.463870615269634</v>
      </c>
      <c r="CC13" s="59">
        <f t="shared" si="11"/>
        <v>314.35275950415848</v>
      </c>
      <c r="CD13" s="59">
        <f ca="1">AVERAGE(OFFSET($CC$3,0,0,'Données projet'!$E$12+1,1))-AVERAGE(OFFSET($H$3,0,0,'Données projet'!$E$12+1,1))</f>
        <v>304.32767345253382</v>
      </c>
      <c r="CE13" s="59">
        <f t="shared" si="40"/>
        <v>427.16091343339173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10.8</v>
      </c>
      <c r="CT13" s="12">
        <f>IF('Données projet'!$A$140&gt;35,CT12+CS13-DB12,IF(A13&lt;'Données projet'!$A$140,$CQ$205^A13,IF(A13='Données projet'!$A$140,'Données projet'!$B$140,CT12+CS13-DB12)))</f>
        <v>29.717345240051621</v>
      </c>
      <c r="CU13" s="17">
        <f>CT13*VLOOKUP('Données projet'!$B$13,Paramètres!$A$1:$I$89,3,0)*VLOOKUP('Données projet'!$B$13,Paramètres!$A$1:$I$89,5,0)</f>
        <v>16.611995989188856</v>
      </c>
      <c r="CV13" s="13">
        <f t="shared" si="41"/>
        <v>5.5197166337850669</v>
      </c>
      <c r="CW13" s="20">
        <f t="shared" si="13"/>
        <v>38.546066151679575</v>
      </c>
      <c r="CX13" s="59">
        <f t="shared" si="14"/>
        <v>307.43495504056841</v>
      </c>
      <c r="CY13" s="59">
        <f ca="1">AVERAGE(OFFSET($CX$3,0,0,'Données projet'!$E$13+1,1))-AVERAGE(OFFSET($H$3,0,0,'Données projet'!$E$13+1,1))</f>
        <v>555.15881087162279</v>
      </c>
      <c r="CZ13" s="59">
        <f t="shared" si="42"/>
        <v>668.20427590250733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6.4</v>
      </c>
      <c r="DO13" s="12">
        <f>IF('Données projet'!$A$166&gt;35,DO12+DN13-DW12,IF(A13&lt;'Données projet'!$A$166,$DL$205^A13,IF(A13='Données projet'!$A$166,'Données projet'!$B$166,DO12+DN13-DW12)))</f>
        <v>20.965931153671175</v>
      </c>
      <c r="DP13" s="17">
        <f>DO13*VLOOKUP('Données projet'!$B$14,Paramètres!$A$1:$I$89,3,0)*VLOOKUP('Données projet'!$B$14,Paramètres!$A$1:$I$89,5,0)</f>
        <v>9.8120557799181096</v>
      </c>
      <c r="DQ13" s="13">
        <f t="shared" si="43"/>
        <v>3.4663403956765451</v>
      </c>
      <c r="DR13" s="20">
        <f t="shared" si="16"/>
        <v>23.126540005827355</v>
      </c>
      <c r="DS13" s="59">
        <f t="shared" si="17"/>
        <v>292.01542889471619</v>
      </c>
      <c r="DT13" s="59">
        <f ca="1">AVERAGE(OFFSET($DS$3,0,0,'Données projet'!$E$14+1,1))-AVERAGE(OFFSET($H$3,0,0,'Données projet'!$E$14+1,1))</f>
        <v>523.79180230463714</v>
      </c>
      <c r="DU13" s="59">
        <f t="shared" si="44"/>
        <v>459.3547783500515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>
        <f>VLOOKUP(A13,'Données projet'!$A$191:$I$211,2,0)</f>
        <v>19</v>
      </c>
      <c r="EH13" s="12">
        <f>VLOOKUP(A13,'Données projet'!$A$191:$I$211,9,0)</f>
        <v>1.9</v>
      </c>
      <c r="EI13" s="12">
        <f t="array" ref="EI13">INDEX(EH:EH,MIN(IF(ISNUMBER(EH13:EH209),ROW(EH13:EH209),"")))</f>
        <v>1.9</v>
      </c>
      <c r="EJ13" s="12">
        <f>IF('Données projet'!$A$192&gt;35,EJ12+EI13-ER12,IF(A13&lt;'Données projet'!$A$192,$EG$205^A13,IF(A13='Données projet'!$A$192,'Données projet'!$B$192,EJ12+EI13-ER12)))</f>
        <v>19</v>
      </c>
      <c r="EK13" s="17">
        <f>EJ13*VLOOKUP('Données projet'!$B$15,Paramètres!$A$1:$I$89,3,0)*VLOOKUP('Données projet'!$B$15,Paramètres!$A$1:$I$89,5,0)</f>
        <v>18.376799999999999</v>
      </c>
      <c r="EL13" s="13">
        <f t="shared" si="45"/>
        <v>6.0347730001302251</v>
      </c>
      <c r="EM13" s="20">
        <f t="shared" si="19"/>
        <v>42.516822975226809</v>
      </c>
      <c r="EN13" s="59">
        <f t="shared" si="20"/>
        <v>311.40571186411569</v>
      </c>
      <c r="EO13" s="59">
        <f ca="1">AVERAGE(OFFSET($EN$3,0,0,'Données projet'!$E$15+1,1))-AVERAGE(OFFSET($H$3,0,0,'Données projet'!$E$15+1,1))</f>
        <v>484.41278617935654</v>
      </c>
      <c r="EP13" s="59">
        <f t="shared" si="46"/>
        <v>467.97490540700738</v>
      </c>
      <c r="EQ13" s="15">
        <f>IF(ISNA(VLOOKUP(A13,'Données projet'!$A$191:$I$211,3,0)),0,VLOOKUP(A13,'Données projet'!$A$191:$I$211,3,0))</f>
        <v>1</v>
      </c>
      <c r="ER13" s="15">
        <f>IF(ISNA(VLOOKUP(A13,'Données projet'!$A$191:$I$211,4,0)),0,VLOOKUP(A13,'Données projet'!$A$191:$I$211,4,0))</f>
        <v>7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>
        <f>VLOOKUP(A13,'Données projet'!$A$217:$I$237,2,0)</f>
        <v>19</v>
      </c>
      <c r="FC13" s="12">
        <f>VLOOKUP(A13,'Données projet'!$A$217:$I$237,9,0)</f>
        <v>1.9</v>
      </c>
      <c r="FD13" s="12">
        <f t="array" ref="FD13">INDEX(FC:FC,MIN(IF(ISNUMBER(FC13:FC209),ROW(FC13:FC209),"")))</f>
        <v>1.9</v>
      </c>
      <c r="FE13" s="12">
        <f>IF('Données projet'!$A$218&gt;35,FE12+FD13-FM12,IF(A13&lt;'Données projet'!$A$218,$FB$205^A13,IF(A13='Données projet'!$A$218,'Données projet'!$B$218,FE12+FD13-FM12)))</f>
        <v>19</v>
      </c>
      <c r="FF13" s="17">
        <f>FE13*VLOOKUP('Données projet'!$B$16,Paramètres!$A$1:$I$89,3,0)*VLOOKUP('Données projet'!$B$16,Paramètres!$A$1:$I$89,5,0)</f>
        <v>20.451599999999999</v>
      </c>
      <c r="FG13" s="13">
        <f t="shared" si="47"/>
        <v>6.6330107072474558</v>
      </c>
      <c r="FH13" s="20">
        <f t="shared" si="22"/>
        <v>47.172363648455985</v>
      </c>
      <c r="FI13" s="59">
        <f t="shared" si="23"/>
        <v>316.06125253734484</v>
      </c>
      <c r="FJ13" s="59">
        <f ca="1">AVERAGE(OFFSET($FI$3,0,0,'Données projet'!$E$16+1,1))-AVERAGE(OFFSET($H$3,0,0,'Données projet'!$E$16+1,1))</f>
        <v>534.54020133239135</v>
      </c>
      <c r="FK13" s="59">
        <f t="shared" si="48"/>
        <v>515.48696069008815</v>
      </c>
      <c r="FL13" s="15">
        <f>IF(ISNA(VLOOKUP(A13,'Données projet'!$A$217:$I$237,3,0)),0,VLOOKUP(A13,'Données projet'!$A$217:$I$237,3,0))</f>
        <v>1</v>
      </c>
      <c r="FM13" s="15">
        <f>IF(ISNA(VLOOKUP(A13,'Données projet'!$A$217:$I$237,4,0)),0,VLOOKUP(A13,'Données projet'!$A$217:$I$237,4,0))</f>
        <v>7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>
        <f>VLOOKUP(A13,'Données projet'!$A$243:$I$263,2,0)</f>
        <v>69</v>
      </c>
      <c r="FX13" s="12">
        <f>VLOOKUP(A13,'Données projet'!$A$243:$I$263,9,0)</f>
        <v>6.9</v>
      </c>
      <c r="FY13" s="12">
        <f t="array" ref="FY13">INDEX(FX:FX,MIN(IF(ISNUMBER(FX13:FX209),ROW(FX13:FX209),"")))</f>
        <v>6.9</v>
      </c>
      <c r="FZ13" s="12">
        <f>IF('Données projet'!$A$244&gt;35,FZ12+FY13-GH12,IF(A13&lt;'Données projet'!$A$244,$FW$205^A13,IF(A13='Données projet'!$A$244,'Données projet'!$B$244,FZ12+FY13-GH12)))</f>
        <v>69</v>
      </c>
      <c r="GA13" s="17">
        <f>FZ13*VLOOKUP('Données projet'!$B$17,Paramètres!$A$1:$I$89,3,0)*VLOOKUP('Données projet'!$B$17,Paramètres!$A$1:$I$89,5,0)</f>
        <v>65.660399999999996</v>
      </c>
      <c r="GB13" s="13">
        <f t="shared" si="49"/>
        <v>18.591800852927584</v>
      </c>
      <c r="GC13" s="20">
        <f t="shared" si="25"/>
        <v>146.73924981884886</v>
      </c>
      <c r="GD13" s="59">
        <f t="shared" si="26"/>
        <v>415.62813870773772</v>
      </c>
      <c r="GE13" s="59">
        <f ca="1">AVERAGE(OFFSET($GD$3,0,0,'Données projet'!$E$17+1,1))-AVERAGE(OFFSET($H$3,0,0,'Données projet'!$E$17+1,1))</f>
        <v>455.71329051283936</v>
      </c>
      <c r="GF13" s="59">
        <f t="shared" si="50"/>
        <v>479.3743231122258</v>
      </c>
      <c r="GG13" s="15">
        <f>IF(ISNA(VLOOKUP(A13,'Données projet'!$A$243:$I$263,3,0)),0,VLOOKUP(A13,'Données projet'!$A$243:$I$263,3,0))</f>
        <v>1</v>
      </c>
      <c r="GH13" s="15">
        <f>IF(ISNA(VLOOKUP(A13,'Données projet'!$A$243:$I$263,4,0)),0,VLOOKUP(A13,'Données projet'!$A$243:$I$263,4,0))</f>
        <v>10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>
        <f>VLOOKUP(A13,'Données projet'!$A$269:$I$289,2,0)</f>
        <v>19</v>
      </c>
      <c r="GS13" s="12">
        <f>VLOOKUP(A13,'Données projet'!$A$269:$I$289,9,0)</f>
        <v>1.9</v>
      </c>
      <c r="GT13" s="12">
        <f t="array" ref="GT13">INDEX(GS:GS,MIN(IF(ISNUMBER(GS13:GS209),ROW(GS13:GS209),"")))</f>
        <v>1.9</v>
      </c>
      <c r="GU13" s="12">
        <f>IF('Données projet'!$A$270&gt;35,GU12+GT13-HC12,IF(A13&lt;'Données projet'!$A$270,$GR$205^A13,IF(A13='Données projet'!$A$270,'Données projet'!$B$270,GU12+GT13-HC12)))</f>
        <v>19</v>
      </c>
      <c r="GV13" s="17">
        <f>GU13*VLOOKUP('Données projet'!$B$18,Paramètres!$A$1:$I$89,3,0)*VLOOKUP('Données projet'!$B$18,Paramètres!$A$1:$I$89,5,0)</f>
        <v>15.412800000000002</v>
      </c>
      <c r="GW13" s="13">
        <f t="shared" si="51"/>
        <v>5.1661165069289936</v>
      </c>
      <c r="GX13" s="20">
        <f t="shared" si="28"/>
        <v>35.841612916234673</v>
      </c>
      <c r="GY13" s="59">
        <f t="shared" si="29"/>
        <v>304.73050180512354</v>
      </c>
      <c r="GZ13" s="59">
        <f ca="1">AVERAGE(OFFSET($GY$3,0,0,'Données projet'!$E$18+1,1))-AVERAGE(OFFSET($H$3,0,0,'Données projet'!$E$18+1,1))</f>
        <v>412.59676769258488</v>
      </c>
      <c r="HA13" s="59">
        <f t="shared" si="52"/>
        <v>399.90063795152133</v>
      </c>
      <c r="HB13" s="15">
        <f>IF(ISNA(VLOOKUP(A13,'Données projet'!$A$269:$I$289,3,0)),0,VLOOKUP(A13,'Données projet'!$A$269:$I$289,3,0))</f>
        <v>1</v>
      </c>
      <c r="HC13" s="15">
        <f>IF(ISNA(VLOOKUP(A13,'Données projet'!$A$269:$I$289,4,0)),0,VLOOKUP(A13,'Données projet'!$A$269:$I$289,4,0))</f>
        <v>7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3.65</v>
      </c>
      <c r="N14" s="13">
        <f>IF('Données projet'!$A$36&gt;35,N13+M14-V13,IF(A14&lt;'Données projet'!$A$36,$K$205^A14,IF(A14='Données projet'!$A$36,'Données projet'!$B$36,N13+M14-V13)))</f>
        <v>10.588332555950936</v>
      </c>
      <c r="O14" s="13">
        <f>N14*VLOOKUP('Données projet'!$B$9,Paramètres!$A$1:$I$89,3,0)*VLOOKUP('Données projet'!$B$9,Paramètres!$A$1:$I$89,5,0)</f>
        <v>9.5803232966244067</v>
      </c>
      <c r="P14" s="13">
        <f t="shared" si="33"/>
        <v>3.3939041949894282</v>
      </c>
      <c r="Q14" s="20">
        <f t="shared" si="2"/>
        <v>22.596779547894098</v>
      </c>
      <c r="R14" s="59">
        <f t="shared" si="0"/>
        <v>292.70789065900522</v>
      </c>
      <c r="S14" s="59">
        <f ca="1">AVERAGE(OFFSET($R$3,0,0,'Données projet'!$E$9+1,1))-AVERAGE(OFFSET($H$3,0,0,'Données projet'!$E$9+1,1))</f>
        <v>439.19854273764042</v>
      </c>
      <c r="T14" s="59">
        <f t="shared" si="34"/>
        <v>278.21741231699929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3.65</v>
      </c>
      <c r="AI14" s="13">
        <f>IF('Données projet'!$A$62&gt;35,AI13+AH14-AQ13,IF(A14&lt;'Données projet'!$A$62,$AF$205^A14,IF(A14='Données projet'!$A$62,'Données projet'!$B$62,AI13+AH14-AQ13)))</f>
        <v>10.588332555950936</v>
      </c>
      <c r="AJ14" s="13">
        <f>AI14*VLOOKUP('Données projet'!$B$10,Paramètres!$A$1:$I$89,3,0)*VLOOKUP('Données projet'!$B$10,Paramètres!$A$1:$I$89,5,0)</f>
        <v>10.736569211734251</v>
      </c>
      <c r="AK14" s="13">
        <f t="shared" si="35"/>
        <v>3.7533999637480915</v>
      </c>
      <c r="AL14" s="20">
        <f t="shared" si="4"/>
        <v>25.23669631396508</v>
      </c>
      <c r="AM14" s="59">
        <f t="shared" si="5"/>
        <v>295.34780742507621</v>
      </c>
      <c r="AN14" s="59">
        <f ca="1">AVERAGE(OFFSET($AM$3,0,0,'Données projet'!$E$10+1,1))-AVERAGE(OFFSET($H$3,0,0,'Données projet'!$E$10+1,1))</f>
        <v>487.18832528146936</v>
      </c>
      <c r="AO14" s="59">
        <f t="shared" si="36"/>
        <v>306.61893266146666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17</v>
      </c>
      <c r="BD14" s="12">
        <f>IF('Données projet'!$A$88&gt;35,BD13+BC14-BL13,IF(A14&lt;'Données projet'!$A$88,$BA$205^A14,IF(A14='Données projet'!$A$88,'Données projet'!$B$88,BD13+BC14-BL13)))</f>
        <v>101</v>
      </c>
      <c r="BE14" s="13">
        <f>BD14*VLOOKUP('Données projet'!$B$11,Paramètres!$A$1:$I$89,3,0)*VLOOKUP('Données projet'!$B$11,Paramètres!$A$1:$I$89,5,0)</f>
        <v>91.384799999999998</v>
      </c>
      <c r="BF14" s="13">
        <f t="shared" si="37"/>
        <v>24.898908025894642</v>
      </c>
      <c r="BG14" s="20">
        <f t="shared" si="7"/>
        <v>202.52745814509981</v>
      </c>
      <c r="BH14" s="59">
        <f t="shared" si="8"/>
        <v>472.63856925621099</v>
      </c>
      <c r="BI14" s="59">
        <f ca="1">AVERAGE(OFFSET($BH$3,0,0,'Données projet'!$E$11+1,1))-AVERAGE(OFFSET($H$3,0,0,'Données projet'!$E$11+1,1))</f>
        <v>436.23918637269577</v>
      </c>
      <c r="BJ14" s="59">
        <f t="shared" si="38"/>
        <v>611.43967996341894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7.1333333333333337</v>
      </c>
      <c r="BY14" s="12">
        <f>IF('Données projet'!$A$114&gt;35,BY13+BX14-CG13,IF(A14&lt;'Données projet'!$A$114,$BV$205^A14,IF(A14='Données projet'!$A$114,'Données projet'!$B$114,BY13+BX14-CG13)))</f>
        <v>30.776184035554262</v>
      </c>
      <c r="BZ14" s="13">
        <f>BY14*VLOOKUP('Données projet'!$B$12,Paramètres!$A$1:$I$89,3,0)*VLOOKUP('Données projet'!$B$12,Paramètres!$A$1:$I$89,5,0)</f>
        <v>26.886074373460207</v>
      </c>
      <c r="CA14" s="13">
        <f t="shared" si="39"/>
        <v>8.4466105725279856</v>
      </c>
      <c r="CB14" s="20">
        <f t="shared" si="10"/>
        <v>61.537759614262761</v>
      </c>
      <c r="CC14" s="59">
        <f t="shared" si="11"/>
        <v>331.64887072537391</v>
      </c>
      <c r="CD14" s="59">
        <f ca="1">AVERAGE(OFFSET($CC$3,0,0,'Données projet'!$E$12+1,1))-AVERAGE(OFFSET($H$3,0,0,'Données projet'!$E$12+1,1))</f>
        <v>304.32767345253382</v>
      </c>
      <c r="CE14" s="59">
        <f t="shared" si="40"/>
        <v>427.16091343339173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10.8</v>
      </c>
      <c r="CT14" s="12">
        <f>IF('Données projet'!$A$140&gt;35,CT13+CS14-DB13,IF(A14&lt;'Données projet'!$A$140,$CQ$205^A14,IF(A14='Données projet'!$A$140,'Données projet'!$B$140,CT13+CS14-DB13)))</f>
        <v>41.716802244415881</v>
      </c>
      <c r="CU14" s="17">
        <f>CT14*VLOOKUP('Données projet'!$B$13,Paramètres!$A$1:$I$89,3,0)*VLOOKUP('Données projet'!$B$13,Paramètres!$A$1:$I$89,5,0)</f>
        <v>23.319692454628481</v>
      </c>
      <c r="CV14" s="13">
        <f t="shared" si="41"/>
        <v>7.4485536005574575</v>
      </c>
      <c r="CW14" s="20">
        <f t="shared" si="13"/>
        <v>53.58802854611551</v>
      </c>
      <c r="CX14" s="59">
        <f t="shared" si="14"/>
        <v>323.69913965722662</v>
      </c>
      <c r="CY14" s="59">
        <f ca="1">AVERAGE(OFFSET($CX$3,0,0,'Données projet'!$E$13+1,1))-AVERAGE(OFFSET($H$3,0,0,'Données projet'!$E$13+1,1))</f>
        <v>555.15881087162279</v>
      </c>
      <c r="CZ14" s="59">
        <f t="shared" si="42"/>
        <v>668.20427590250733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6.4</v>
      </c>
      <c r="DO14" s="12">
        <f>IF('Données projet'!$A$166&gt;35,DO13+DN14-DW13,IF(A14&lt;'Données projet'!$A$166,$DL$205^A14,IF(A14='Données projet'!$A$166,'Données projet'!$B$166,DO13+DN14-DW13)))</f>
        <v>28.422715691268188</v>
      </c>
      <c r="DP14" s="17">
        <f>DO14*VLOOKUP('Données projet'!$B$14,Paramètres!$A$1:$I$89,3,0)*VLOOKUP('Données projet'!$B$14,Paramètres!$A$1:$I$89,5,0)</f>
        <v>13.301830943513512</v>
      </c>
      <c r="DQ14" s="13">
        <f t="shared" si="43"/>
        <v>4.5356569437634455</v>
      </c>
      <c r="DR14" s="20">
        <f t="shared" si="16"/>
        <v>31.0669580703407</v>
      </c>
      <c r="DS14" s="59">
        <f t="shared" si="17"/>
        <v>301.17806918145186</v>
      </c>
      <c r="DT14" s="59">
        <f ca="1">AVERAGE(OFFSET($DS$3,0,0,'Données projet'!$E$14+1,1))-AVERAGE(OFFSET($H$3,0,0,'Données projet'!$E$14+1,1))</f>
        <v>523.79180230463714</v>
      </c>
      <c r="DU14" s="59">
        <f t="shared" si="44"/>
        <v>459.3547783500515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14.6</v>
      </c>
      <c r="EJ14" s="12">
        <f>IF('Données projet'!$A$192&gt;35,EJ13+EI14-ER13,IF(A14&lt;'Données projet'!$A$192,$EG$205^A14,IF(A14='Données projet'!$A$192,'Données projet'!$B$192,EJ13+EI14-ER13)))</f>
        <v>26.6</v>
      </c>
      <c r="EK14" s="17">
        <f>EJ14*VLOOKUP('Données projet'!$B$15,Paramètres!$A$1:$I$89,3,0)*VLOOKUP('Données projet'!$B$15,Paramètres!$A$1:$I$89,5,0)</f>
        <v>25.727520000000002</v>
      </c>
      <c r="EL14" s="13">
        <f t="shared" si="45"/>
        <v>8.1241825036902533</v>
      </c>
      <c r="EM14" s="20">
        <f t="shared" si="19"/>
        <v>58.958381860593853</v>
      </c>
      <c r="EN14" s="59">
        <f t="shared" si="20"/>
        <v>329.06949297170502</v>
      </c>
      <c r="EO14" s="59">
        <f ca="1">AVERAGE(OFFSET($EN$3,0,0,'Données projet'!$E$15+1,1))-AVERAGE(OFFSET($H$3,0,0,'Données projet'!$E$15+1,1))</f>
        <v>484.41278617935654</v>
      </c>
      <c r="EP14" s="59">
        <f t="shared" si="46"/>
        <v>467.97490540700738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14.6</v>
      </c>
      <c r="FE14" s="12">
        <f>IF('Données projet'!$A$218&gt;35,FE13+FD14-FM13,IF(A14&lt;'Données projet'!$A$218,$FB$205^A14,IF(A14='Données projet'!$A$218,'Données projet'!$B$218,FE13+FD14-FM13)))</f>
        <v>26.6</v>
      </c>
      <c r="FF14" s="17">
        <f>FE14*VLOOKUP('Données projet'!$B$16,Paramètres!$A$1:$I$89,3,0)*VLOOKUP('Données projet'!$B$16,Paramètres!$A$1:$I$89,5,0)</f>
        <v>28.632239999999999</v>
      </c>
      <c r="FG14" s="13">
        <f t="shared" si="47"/>
        <v>8.9295470655560774</v>
      </c>
      <c r="FH14" s="20">
        <f t="shared" si="22"/>
        <v>65.420112472510155</v>
      </c>
      <c r="FI14" s="59">
        <f t="shared" si="23"/>
        <v>335.53122358362128</v>
      </c>
      <c r="FJ14" s="59">
        <f ca="1">AVERAGE(OFFSET($FI$3,0,0,'Données projet'!$E$16+1,1))-AVERAGE(OFFSET($H$3,0,0,'Données projet'!$E$16+1,1))</f>
        <v>534.54020133239135</v>
      </c>
      <c r="FK14" s="59">
        <f t="shared" si="48"/>
        <v>515.48696069008815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12.6</v>
      </c>
      <c r="FZ14" s="12">
        <f>IF('Données projet'!$A$244&gt;35,FZ13+FY14-GH13,IF(A14&lt;'Données projet'!$A$244,$FW$205^A14,IF(A14='Données projet'!$A$244,'Données projet'!$B$244,FZ13+FY14-GH13)))</f>
        <v>71.599999999999994</v>
      </c>
      <c r="GA14" s="17">
        <f>FZ14*VLOOKUP('Données projet'!$B$17,Paramètres!$A$1:$I$89,3,0)*VLOOKUP('Données projet'!$B$17,Paramètres!$A$1:$I$89,5,0)</f>
        <v>68.134559999999993</v>
      </c>
      <c r="GB14" s="13">
        <f t="shared" si="49"/>
        <v>19.209477346952927</v>
      </c>
      <c r="GC14" s="20">
        <f t="shared" si="25"/>
        <v>152.12419837927632</v>
      </c>
      <c r="GD14" s="59">
        <f t="shared" si="26"/>
        <v>422.23530949038746</v>
      </c>
      <c r="GE14" s="59">
        <f ca="1">AVERAGE(OFFSET($GD$3,0,0,'Données projet'!$E$17+1,1))-AVERAGE(OFFSET($H$3,0,0,'Données projet'!$E$17+1,1))</f>
        <v>455.71329051283936</v>
      </c>
      <c r="GF14" s="59">
        <f t="shared" si="50"/>
        <v>479.3743231122258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14.6</v>
      </c>
      <c r="GU14" s="12">
        <f>IF('Données projet'!$A$270&gt;35,GU13+GT14-HC13,IF(A14&lt;'Données projet'!$A$270,$GR$205^A14,IF(A14='Données projet'!$A$270,'Données projet'!$B$270,GU13+GT14-HC13)))</f>
        <v>26.6</v>
      </c>
      <c r="GV14" s="17">
        <f>GU14*VLOOKUP('Données projet'!$B$18,Paramètres!$A$1:$I$89,3,0)*VLOOKUP('Données projet'!$B$18,Paramètres!$A$1:$I$89,5,0)</f>
        <v>21.577920000000002</v>
      </c>
      <c r="GW14" s="13">
        <f t="shared" si="51"/>
        <v>6.9547725053970177</v>
      </c>
      <c r="GX14" s="20">
        <f t="shared" si="28"/>
        <v>49.6944394468998</v>
      </c>
      <c r="GY14" s="59">
        <f t="shared" si="29"/>
        <v>319.80555055801096</v>
      </c>
      <c r="GZ14" s="59">
        <f ca="1">AVERAGE(OFFSET($GY$3,0,0,'Données projet'!$E$18+1,1))-AVERAGE(OFFSET($H$3,0,0,'Données projet'!$E$18+1,1))</f>
        <v>412.59676769258488</v>
      </c>
      <c r="HA14" s="59">
        <f t="shared" si="52"/>
        <v>399.90063795152133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3.65</v>
      </c>
      <c r="N15" s="13">
        <f>IF('Données projet'!$A$36&gt;35,N14+M15-V14,IF(A15&lt;'Données projet'!$A$36,$K$205^A15,IF(A15='Données projet'!$A$36,'Données projet'!$B$36,N14+M15-V14)))</f>
        <v>13.121809125710287</v>
      </c>
      <c r="O15" s="13">
        <f>N15*VLOOKUP('Données projet'!$B$9,Paramètres!$A$1:$I$89,3,0)*VLOOKUP('Données projet'!$B$9,Paramètres!$A$1:$I$89,5,0)</f>
        <v>11.872612896942668</v>
      </c>
      <c r="P15" s="13">
        <f t="shared" si="33"/>
        <v>4.1022411108131784</v>
      </c>
      <c r="Q15" s="20">
        <f t="shared" si="2"/>
        <v>27.822870730174767</v>
      </c>
      <c r="R15" s="59">
        <f t="shared" si="0"/>
        <v>299.15620406350808</v>
      </c>
      <c r="S15" s="59">
        <f ca="1">AVERAGE(OFFSET($R$3,0,0,'Données projet'!$E$9+1,1))-AVERAGE(OFFSET($H$3,0,0,'Données projet'!$E$9+1,1))</f>
        <v>439.19854273764042</v>
      </c>
      <c r="T15" s="59">
        <f t="shared" si="34"/>
        <v>278.21741231699929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3.65</v>
      </c>
      <c r="AI15" s="13">
        <f>IF('Données projet'!$A$62&gt;35,AI14+AH15-AQ14,IF(A15&lt;'Données projet'!$A$62,$AF$205^A15,IF(A15='Données projet'!$A$62,'Données projet'!$B$62,AI14+AH15-AQ14)))</f>
        <v>13.121809125710287</v>
      </c>
      <c r="AJ15" s="13">
        <f>AI15*VLOOKUP('Données projet'!$B$10,Paramètres!$A$1:$I$89,3,0)*VLOOKUP('Données projet'!$B$10,Paramètres!$A$1:$I$89,5,0)</f>
        <v>13.305514453470233</v>
      </c>
      <c r="AK15" s="13">
        <f t="shared" si="35"/>
        <v>4.5367667299931158</v>
      </c>
      <c r="AL15" s="20">
        <f t="shared" si="4"/>
        <v>31.075306394532003</v>
      </c>
      <c r="AM15" s="59">
        <f t="shared" si="5"/>
        <v>302.40863972786531</v>
      </c>
      <c r="AN15" s="59">
        <f ca="1">AVERAGE(OFFSET($AM$3,0,0,'Données projet'!$E$10+1,1))-AVERAGE(OFFSET($H$3,0,0,'Données projet'!$E$10+1,1))</f>
        <v>487.18832528146936</v>
      </c>
      <c r="AO15" s="59">
        <f t="shared" si="36"/>
        <v>306.61893266146666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17</v>
      </c>
      <c r="BD15" s="12">
        <f>IF('Données projet'!$A$88&gt;35,BD14+BC15-BL14,IF(A15&lt;'Données projet'!$A$88,$BA$205^A15,IF(A15='Données projet'!$A$88,'Données projet'!$B$88,BD14+BC15-BL14)))</f>
        <v>118</v>
      </c>
      <c r="BE15" s="13">
        <f>BD15*VLOOKUP('Données projet'!$B$11,Paramètres!$A$1:$I$89,3,0)*VLOOKUP('Données projet'!$B$11,Paramètres!$A$1:$I$89,5,0)</f>
        <v>106.7664</v>
      </c>
      <c r="BF15" s="13">
        <f t="shared" si="37"/>
        <v>28.5678052620942</v>
      </c>
      <c r="BG15" s="20">
        <f t="shared" si="7"/>
        <v>235.70707416481403</v>
      </c>
      <c r="BH15" s="59">
        <f t="shared" si="8"/>
        <v>507.04040749814737</v>
      </c>
      <c r="BI15" s="59">
        <f ca="1">AVERAGE(OFFSET($BH$3,0,0,'Données projet'!$E$11+1,1))-AVERAGE(OFFSET($H$3,0,0,'Données projet'!$E$11+1,1))</f>
        <v>436.23918637269577</v>
      </c>
      <c r="BJ15" s="59">
        <f t="shared" si="38"/>
        <v>611.43967996341894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7.1333333333333337</v>
      </c>
      <c r="BY15" s="12">
        <f>IF('Données projet'!$A$114&gt;35,BY14+BX15-CG14,IF(A15&lt;'Données projet'!$A$114,$BV$205^A15,IF(A15='Données projet'!$A$114,'Données projet'!$B$114,BY14+BX15-CG14)))</f>
        <v>42.024932267304926</v>
      </c>
      <c r="BZ15" s="13">
        <f>BY15*VLOOKUP('Données projet'!$B$12,Paramètres!$A$1:$I$89,3,0)*VLOOKUP('Données projet'!$B$12,Paramètres!$A$1:$I$89,5,0)</f>
        <v>36.71298082871759</v>
      </c>
      <c r="CA15" s="13">
        <f t="shared" si="39"/>
        <v>11.123122121818724</v>
      </c>
      <c r="CB15" s="20">
        <f t="shared" si="10"/>
        <v>83.314545972184078</v>
      </c>
      <c r="CC15" s="59">
        <f t="shared" si="11"/>
        <v>354.64787930551739</v>
      </c>
      <c r="CD15" s="59">
        <f ca="1">AVERAGE(OFFSET($CC$3,0,0,'Données projet'!$E$12+1,1))-AVERAGE(OFFSET($H$3,0,0,'Données projet'!$E$12+1,1))</f>
        <v>304.32767345253382</v>
      </c>
      <c r="CE15" s="59">
        <f t="shared" si="40"/>
        <v>427.16091343339173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10.8</v>
      </c>
      <c r="CT15" s="12">
        <f>IF('Données projet'!$A$140&gt;35,CT14+CS15-DB14,IF(A15&lt;'Données projet'!$A$140,$CQ$205^A15,IF(A15='Données projet'!$A$140,'Données projet'!$B$140,CT14+CS15-DB14)))</f>
        <v>58.561475644675681</v>
      </c>
      <c r="CU15" s="17">
        <f>CT15*VLOOKUP('Données projet'!$B$13,Paramètres!$A$1:$I$89,3,0)*VLOOKUP('Données projet'!$B$13,Paramètres!$A$1:$I$89,5,0)</f>
        <v>32.735864885373708</v>
      </c>
      <c r="CV15" s="13">
        <f t="shared" si="41"/>
        <v>10.051412857100269</v>
      </c>
      <c r="CW15" s="20">
        <f t="shared" si="13"/>
        <v>74.521175401475503</v>
      </c>
      <c r="CX15" s="59">
        <f t="shared" si="14"/>
        <v>345.8545087348088</v>
      </c>
      <c r="CY15" s="59">
        <f ca="1">AVERAGE(OFFSET($CX$3,0,0,'Données projet'!$E$13+1,1))-AVERAGE(OFFSET($H$3,0,0,'Données projet'!$E$13+1,1))</f>
        <v>555.15881087162279</v>
      </c>
      <c r="CZ15" s="59">
        <f t="shared" si="42"/>
        <v>668.20427590250733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6.4</v>
      </c>
      <c r="DO15" s="12">
        <f>IF('Données projet'!$A$166&gt;35,DO14+DN15-DW14,IF(A15&lt;'Données projet'!$A$166,$DL$205^A15,IF(A15='Données projet'!$A$166,'Données projet'!$B$166,DO14+DN15-DW14)))</f>
        <v>38.531594964491077</v>
      </c>
      <c r="DP15" s="17">
        <f>DO15*VLOOKUP('Données projet'!$B$14,Paramètres!$A$1:$I$89,3,0)*VLOOKUP('Données projet'!$B$14,Paramètres!$A$1:$I$89,5,0)</f>
        <v>18.032786443381823</v>
      </c>
      <c r="DQ15" s="13">
        <f t="shared" si="43"/>
        <v>5.9348423880033758</v>
      </c>
      <c r="DR15" s="20">
        <f t="shared" si="16"/>
        <v>41.743620214662549</v>
      </c>
      <c r="DS15" s="59">
        <f t="shared" si="17"/>
        <v>313.07695354799586</v>
      </c>
      <c r="DT15" s="59">
        <f ca="1">AVERAGE(OFFSET($DS$3,0,0,'Données projet'!$E$14+1,1))-AVERAGE(OFFSET($H$3,0,0,'Données projet'!$E$14+1,1))</f>
        <v>523.79180230463714</v>
      </c>
      <c r="DU15" s="59">
        <f t="shared" si="44"/>
        <v>459.3547783500515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14.6</v>
      </c>
      <c r="EJ15" s="12">
        <f>IF('Données projet'!$A$192&gt;35,EJ14+EI15-ER14,IF(A15&lt;'Données projet'!$A$192,$EG$205^A15,IF(A15='Données projet'!$A$192,'Données projet'!$B$192,EJ14+EI15-ER14)))</f>
        <v>41.2</v>
      </c>
      <c r="EK15" s="17">
        <f>EJ15*VLOOKUP('Données projet'!$B$15,Paramètres!$A$1:$I$89,3,0)*VLOOKUP('Données projet'!$B$15,Paramètres!$A$1:$I$89,5,0)</f>
        <v>39.848640000000003</v>
      </c>
      <c r="EL15" s="13">
        <f t="shared" si="45"/>
        <v>11.958520074419543</v>
      </c>
      <c r="EM15" s="20">
        <f t="shared" si="19"/>
        <v>90.230803796280711</v>
      </c>
      <c r="EN15" s="59">
        <f t="shared" si="20"/>
        <v>361.56413712961404</v>
      </c>
      <c r="EO15" s="59">
        <f ca="1">AVERAGE(OFFSET($EN$3,0,0,'Données projet'!$E$15+1,1))-AVERAGE(OFFSET($H$3,0,0,'Données projet'!$E$15+1,1))</f>
        <v>484.41278617935654</v>
      </c>
      <c r="EP15" s="59">
        <f t="shared" si="46"/>
        <v>467.97490540700738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14.6</v>
      </c>
      <c r="FE15" s="12">
        <f>IF('Données projet'!$A$218&gt;35,FE14+FD15-FM14,IF(A15&lt;'Données projet'!$A$218,$FB$205^A15,IF(A15='Données projet'!$A$218,'Données projet'!$B$218,FE14+FD15-FM14)))</f>
        <v>41.2</v>
      </c>
      <c r="FF15" s="17">
        <f>FE15*VLOOKUP('Données projet'!$B$16,Paramètres!$A$1:$I$89,3,0)*VLOOKUP('Données projet'!$B$16,Paramètres!$A$1:$I$89,5,0)</f>
        <v>44.347680000000004</v>
      </c>
      <c r="FG15" s="13">
        <f t="shared" si="47"/>
        <v>13.143989292513034</v>
      </c>
      <c r="FH15" s="20">
        <f t="shared" si="22"/>
        <v>100.13132401779355</v>
      </c>
      <c r="FI15" s="59">
        <f t="shared" si="23"/>
        <v>371.46465735112685</v>
      </c>
      <c r="FJ15" s="59">
        <f ca="1">AVERAGE(OFFSET($FI$3,0,0,'Données projet'!$E$16+1,1))-AVERAGE(OFFSET($H$3,0,0,'Données projet'!$E$16+1,1))</f>
        <v>534.54020133239135</v>
      </c>
      <c r="FK15" s="59">
        <f t="shared" si="48"/>
        <v>515.48696069008815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12.6</v>
      </c>
      <c r="FZ15" s="12">
        <f>IF('Données projet'!$A$244&gt;35,FZ14+FY15-GH14,IF(A15&lt;'Données projet'!$A$244,$FW$205^A15,IF(A15='Données projet'!$A$244,'Données projet'!$B$244,FZ14+FY15-GH14)))</f>
        <v>84.199999999999989</v>
      </c>
      <c r="GA15" s="17">
        <f>FZ15*VLOOKUP('Données projet'!$B$17,Paramètres!$A$1:$I$89,3,0)*VLOOKUP('Données projet'!$B$17,Paramètres!$A$1:$I$89,5,0)</f>
        <v>80.124719999999996</v>
      </c>
      <c r="GB15" s="13">
        <f t="shared" si="49"/>
        <v>22.167676051748288</v>
      </c>
      <c r="GC15" s="20">
        <f t="shared" si="25"/>
        <v>178.15925645679491</v>
      </c>
      <c r="GD15" s="59">
        <f t="shared" si="26"/>
        <v>449.49258979012825</v>
      </c>
      <c r="GE15" s="59">
        <f ca="1">AVERAGE(OFFSET($GD$3,0,0,'Données projet'!$E$17+1,1))-AVERAGE(OFFSET($H$3,0,0,'Données projet'!$E$17+1,1))</f>
        <v>455.71329051283936</v>
      </c>
      <c r="GF15" s="59">
        <f t="shared" si="50"/>
        <v>479.3743231122258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14.6</v>
      </c>
      <c r="GU15" s="12">
        <f>IF('Données projet'!$A$270&gt;35,GU14+GT15-HC14,IF(A15&lt;'Données projet'!$A$270,$GR$205^A15,IF(A15='Données projet'!$A$270,'Données projet'!$B$270,GU14+GT15-HC14)))</f>
        <v>41.2</v>
      </c>
      <c r="GV15" s="17">
        <f>GU15*VLOOKUP('Données projet'!$B$18,Paramètres!$A$1:$I$89,3,0)*VLOOKUP('Données projet'!$B$18,Paramètres!$A$1:$I$89,5,0)</f>
        <v>33.421440000000004</v>
      </c>
      <c r="GW15" s="13">
        <f t="shared" si="51"/>
        <v>10.23718836707982</v>
      </c>
      <c r="GX15" s="20">
        <f t="shared" si="28"/>
        <v>76.038777739330698</v>
      </c>
      <c r="GY15" s="59">
        <f t="shared" si="29"/>
        <v>347.37211107266398</v>
      </c>
      <c r="GZ15" s="59">
        <f ca="1">AVERAGE(OFFSET($GY$3,0,0,'Données projet'!$E$18+1,1))-AVERAGE(OFFSET($H$3,0,0,'Données projet'!$E$18+1,1))</f>
        <v>412.59676769258488</v>
      </c>
      <c r="HA15" s="59">
        <f t="shared" si="52"/>
        <v>399.90063795152133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3.65</v>
      </c>
      <c r="N16" s="13">
        <f>IF('Données projet'!$A$36&gt;35,N15+M16-V15,IF(A16&lt;'Données projet'!$A$36,$K$205^A16,IF(A16='Données projet'!$A$36,'Données projet'!$B$36,N15+M16-V15)))</f>
        <v>16.261472127148366</v>
      </c>
      <c r="O16" s="13">
        <f>N16*VLOOKUP('Données projet'!$B$9,Paramètres!$A$1:$I$89,3,0)*VLOOKUP('Données projet'!$B$9,Paramètres!$A$1:$I$89,5,0)</f>
        <v>14.713379980643843</v>
      </c>
      <c r="P16" s="13">
        <f t="shared" si="33"/>
        <v>4.9584140165447881</v>
      </c>
      <c r="Q16" s="20">
        <f t="shared" si="2"/>
        <v>34.261707878436859</v>
      </c>
      <c r="R16" s="59">
        <f t="shared" si="0"/>
        <v>306.81726343399242</v>
      </c>
      <c r="S16" s="59">
        <f ca="1">AVERAGE(OFFSET($R$3,0,0,'Données projet'!$E$9+1,1))-AVERAGE(OFFSET($H$3,0,0,'Données projet'!$E$9+1,1))</f>
        <v>439.19854273764042</v>
      </c>
      <c r="T16" s="59">
        <f t="shared" si="34"/>
        <v>278.21741231699929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3.65</v>
      </c>
      <c r="AI16" s="13">
        <f>IF('Données projet'!$A$62&gt;35,AI15+AH16-AQ15,IF(A16&lt;'Données projet'!$A$62,$AF$205^A16,IF(A16='Données projet'!$A$62,'Données projet'!$B$62,AI15+AH16-AQ15)))</f>
        <v>16.261472127148366</v>
      </c>
      <c r="AJ16" s="13">
        <f>AI16*VLOOKUP('Données projet'!$B$10,Paramètres!$A$1:$I$89,3,0)*VLOOKUP('Données projet'!$B$10,Paramètres!$A$1:$I$89,5,0)</f>
        <v>16.489132736928447</v>
      </c>
      <c r="AK16" s="13">
        <f t="shared" si="35"/>
        <v>5.4836288594779292</v>
      </c>
      <c r="AL16" s="20">
        <f t="shared" si="4"/>
        <v>38.269226447074438</v>
      </c>
      <c r="AM16" s="59">
        <f t="shared" si="5"/>
        <v>310.82478200263</v>
      </c>
      <c r="AN16" s="59">
        <f ca="1">AVERAGE(OFFSET($AM$3,0,0,'Données projet'!$E$10+1,1))-AVERAGE(OFFSET($H$3,0,0,'Données projet'!$E$10+1,1))</f>
        <v>487.18832528146936</v>
      </c>
      <c r="AO16" s="59">
        <f t="shared" si="36"/>
        <v>306.61893266146666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17</v>
      </c>
      <c r="BD16" s="12">
        <f>IF('Données projet'!$A$88&gt;35,BD15+BC16-BL15,IF(A16&lt;'Données projet'!$A$88,$BA$205^A16,IF(A16='Données projet'!$A$88,'Données projet'!$B$88,BD15+BC16-BL15)))</f>
        <v>135</v>
      </c>
      <c r="BE16" s="13">
        <f>BD16*VLOOKUP('Données projet'!$B$11,Paramètres!$A$1:$I$89,3,0)*VLOOKUP('Données projet'!$B$11,Paramètres!$A$1:$I$89,5,0)</f>
        <v>122.148</v>
      </c>
      <c r="BF16" s="13">
        <f t="shared" si="37"/>
        <v>32.175466547071615</v>
      </c>
      <c r="BG16" s="20">
        <f t="shared" si="7"/>
        <v>268.78003756948306</v>
      </c>
      <c r="BH16" s="59">
        <f t="shared" si="8"/>
        <v>541.3355931250386</v>
      </c>
      <c r="BI16" s="59">
        <f ca="1">AVERAGE(OFFSET($BH$3,0,0,'Données projet'!$E$11+1,1))-AVERAGE(OFFSET($H$3,0,0,'Données projet'!$E$11+1,1))</f>
        <v>436.23918637269577</v>
      </c>
      <c r="BJ16" s="59">
        <f t="shared" si="38"/>
        <v>611.43967996341894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7.1333333333333337</v>
      </c>
      <c r="BY16" s="12">
        <f>IF('Données projet'!$A$114&gt;35,BY15+BX16-CG15,IF(A16&lt;'Données projet'!$A$114,$BV$205^A16,IF(A16='Données projet'!$A$114,'Données projet'!$B$114,BY15+BX16-CG15)))</f>
        <v>57.385117337200782</v>
      </c>
      <c r="BZ16" s="13">
        <f>BY16*VLOOKUP('Données projet'!$B$12,Paramètres!$A$1:$I$89,3,0)*VLOOKUP('Données projet'!$B$12,Paramètres!$A$1:$I$89,5,0)</f>
        <v>50.131638505778611</v>
      </c>
      <c r="CA16" s="13">
        <f t="shared" si="39"/>
        <v>14.647750677567194</v>
      </c>
      <c r="CB16" s="20">
        <f t="shared" si="10"/>
        <v>112.82410282766058</v>
      </c>
      <c r="CC16" s="59">
        <f t="shared" si="11"/>
        <v>385.37965838321611</v>
      </c>
      <c r="CD16" s="59">
        <f ca="1">AVERAGE(OFFSET($CC$3,0,0,'Données projet'!$E$12+1,1))-AVERAGE(OFFSET($H$3,0,0,'Données projet'!$E$12+1,1))</f>
        <v>304.32767345253382</v>
      </c>
      <c r="CE16" s="59">
        <f t="shared" si="40"/>
        <v>427.16091343339173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10.8</v>
      </c>
      <c r="CT16" s="12">
        <f>IF('Données projet'!$A$140&gt;35,CT15+CS16-DB15,IF(A16&lt;'Données projet'!$A$140,$CQ$205^A16,IF(A16='Données projet'!$A$140,'Données projet'!$B$140,CT15+CS16-DB15)))</f>
        <v>82.20779746225638</v>
      </c>
      <c r="CU16" s="17">
        <f>CT16*VLOOKUP('Données projet'!$B$13,Paramètres!$A$1:$I$89,3,0)*VLOOKUP('Données projet'!$B$13,Paramètres!$A$1:$I$89,5,0)</f>
        <v>45.954158781401318</v>
      </c>
      <c r="CV16" s="13">
        <f t="shared" si="41"/>
        <v>13.563828072113143</v>
      </c>
      <c r="CW16" s="20">
        <f t="shared" si="13"/>
        <v>103.66049376987102</v>
      </c>
      <c r="CX16" s="59">
        <f t="shared" si="14"/>
        <v>376.21604932542658</v>
      </c>
      <c r="CY16" s="59">
        <f ca="1">AVERAGE(OFFSET($CX$3,0,0,'Données projet'!$E$13+1,1))-AVERAGE(OFFSET($H$3,0,0,'Données projet'!$E$13+1,1))</f>
        <v>555.15881087162279</v>
      </c>
      <c r="CZ16" s="59">
        <f t="shared" si="42"/>
        <v>668.20427590250733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6.4</v>
      </c>
      <c r="DO16" s="12">
        <f>IF('Données projet'!$A$166&gt;35,DO15+DN16-DW15,IF(A16&lt;'Données projet'!$A$166,$DL$205^A16,IF(A16='Données projet'!$A$166,'Données projet'!$B$166,DO15+DN16-DW15)))</f>
        <v>52.235818231954077</v>
      </c>
      <c r="DP16" s="17">
        <f>DO16*VLOOKUP('Données projet'!$B$14,Paramètres!$A$1:$I$89,3,0)*VLOOKUP('Données projet'!$B$14,Paramètres!$A$1:$I$89,5,0)</f>
        <v>24.446362932554507</v>
      </c>
      <c r="DQ16" s="13">
        <f t="shared" si="43"/>
        <v>7.7656565756968332</v>
      </c>
      <c r="DR16" s="20">
        <f t="shared" si="16"/>
        <v>56.102600643537734</v>
      </c>
      <c r="DS16" s="59">
        <f t="shared" si="17"/>
        <v>328.6581561990933</v>
      </c>
      <c r="DT16" s="59">
        <f ca="1">AVERAGE(OFFSET($DS$3,0,0,'Données projet'!$E$14+1,1))-AVERAGE(OFFSET($H$3,0,0,'Données projet'!$E$14+1,1))</f>
        <v>523.79180230463714</v>
      </c>
      <c r="DU16" s="59">
        <f t="shared" si="44"/>
        <v>459.3547783500515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14.6</v>
      </c>
      <c r="EJ16" s="12">
        <f>IF('Données projet'!$A$192&gt;35,EJ15+EI16-ER15,IF(A16&lt;'Données projet'!$A$192,$EG$205^A16,IF(A16='Données projet'!$A$192,'Données projet'!$B$192,EJ15+EI16-ER15)))</f>
        <v>55.800000000000004</v>
      </c>
      <c r="EK16" s="17">
        <f>EJ16*VLOOKUP('Données projet'!$B$15,Paramètres!$A$1:$I$89,3,0)*VLOOKUP('Données projet'!$B$15,Paramètres!$A$1:$I$89,5,0)</f>
        <v>53.969760000000008</v>
      </c>
      <c r="EL16" s="13">
        <f t="shared" si="45"/>
        <v>15.634364575776658</v>
      </c>
      <c r="EM16" s="20">
        <f t="shared" si="19"/>
        <v>121.22718363614437</v>
      </c>
      <c r="EN16" s="59">
        <f t="shared" si="20"/>
        <v>393.78273919169993</v>
      </c>
      <c r="EO16" s="59">
        <f ca="1">AVERAGE(OFFSET($EN$3,0,0,'Données projet'!$E$15+1,1))-AVERAGE(OFFSET($H$3,0,0,'Données projet'!$E$15+1,1))</f>
        <v>484.41278617935654</v>
      </c>
      <c r="EP16" s="59">
        <f t="shared" si="46"/>
        <v>467.97490540700738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14.6</v>
      </c>
      <c r="FE16" s="12">
        <f>IF('Données projet'!$A$218&gt;35,FE15+FD16-FM15,IF(A16&lt;'Données projet'!$A$218,$FB$205^A16,IF(A16='Données projet'!$A$218,'Données projet'!$B$218,FE15+FD16-FM15)))</f>
        <v>55.800000000000004</v>
      </c>
      <c r="FF16" s="17">
        <f>FE16*VLOOKUP('Données projet'!$B$16,Paramètres!$A$1:$I$89,3,0)*VLOOKUP('Données projet'!$B$16,Paramètres!$A$1:$I$89,5,0)</f>
        <v>60.063120000000005</v>
      </c>
      <c r="FG16" s="13">
        <f t="shared" si="47"/>
        <v>17.184226752174279</v>
      </c>
      <c r="FH16" s="20">
        <f t="shared" si="22"/>
        <v>134.53912892670354</v>
      </c>
      <c r="FI16" s="59">
        <f t="shared" si="23"/>
        <v>407.09468448225908</v>
      </c>
      <c r="FJ16" s="59">
        <f ca="1">AVERAGE(OFFSET($FI$3,0,0,'Données projet'!$E$16+1,1))-AVERAGE(OFFSET($H$3,0,0,'Données projet'!$E$16+1,1))</f>
        <v>534.54020133239135</v>
      </c>
      <c r="FK16" s="59">
        <f t="shared" si="48"/>
        <v>515.48696069008815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12.6</v>
      </c>
      <c r="FZ16" s="12">
        <f>IF('Données projet'!$A$244&gt;35,FZ15+FY16-GH15,IF(A16&lt;'Données projet'!$A$244,$FW$205^A16,IF(A16='Données projet'!$A$244,'Données projet'!$B$244,FZ15+FY16-GH15)))</f>
        <v>96.799999999999983</v>
      </c>
      <c r="GA16" s="17">
        <f>FZ16*VLOOKUP('Données projet'!$B$17,Paramètres!$A$1:$I$89,3,0)*VLOOKUP('Données projet'!$B$17,Paramètres!$A$1:$I$89,5,0)</f>
        <v>92.114879999999985</v>
      </c>
      <c r="GB16" s="13">
        <f t="shared" si="49"/>
        <v>25.074591582004967</v>
      </c>
      <c r="GC16" s="20">
        <f t="shared" si="25"/>
        <v>204.10499633865859</v>
      </c>
      <c r="GD16" s="59">
        <f t="shared" si="26"/>
        <v>476.66055189421411</v>
      </c>
      <c r="GE16" s="59">
        <f ca="1">AVERAGE(OFFSET($GD$3,0,0,'Données projet'!$E$17+1,1))-AVERAGE(OFFSET($H$3,0,0,'Données projet'!$E$17+1,1))</f>
        <v>455.71329051283936</v>
      </c>
      <c r="GF16" s="59">
        <f t="shared" si="50"/>
        <v>479.3743231122258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14.6</v>
      </c>
      <c r="GU16" s="12">
        <f>IF('Données projet'!$A$270&gt;35,GU15+GT16-HC15,IF(A16&lt;'Données projet'!$A$270,$GR$205^A16,IF(A16='Données projet'!$A$270,'Données projet'!$B$270,GU15+GT16-HC15)))</f>
        <v>55.800000000000004</v>
      </c>
      <c r="GV16" s="17">
        <f>GU16*VLOOKUP('Données projet'!$B$18,Paramètres!$A$1:$I$89,3,0)*VLOOKUP('Données projet'!$B$18,Paramètres!$A$1:$I$89,5,0)</f>
        <v>45.264960000000002</v>
      </c>
      <c r="GW16" s="13">
        <f t="shared" si="51"/>
        <v>13.383924947719283</v>
      </c>
      <c r="GX16" s="20">
        <f t="shared" si="28"/>
        <v>102.14680795061109</v>
      </c>
      <c r="GY16" s="59">
        <f t="shared" si="29"/>
        <v>374.70236350616665</v>
      </c>
      <c r="GZ16" s="59">
        <f ca="1">AVERAGE(OFFSET($GY$3,0,0,'Données projet'!$E$18+1,1))-AVERAGE(OFFSET($H$3,0,0,'Données projet'!$E$18+1,1))</f>
        <v>412.59676769258488</v>
      </c>
      <c r="HA16" s="59">
        <f t="shared" si="52"/>
        <v>399.90063795152133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3.65</v>
      </c>
      <c r="N17" s="13">
        <f>IF('Données projet'!$A$36&gt;35,N16+M17-V16,IF(A17&lt;'Données projet'!$A$36,$K$205^A17,IF(A17='Données projet'!$A$36,'Données projet'!$B$36,N16+M17-V16)))</f>
        <v>20.152364144963837</v>
      </c>
      <c r="O17" s="13">
        <f>N17*VLOOKUP('Données projet'!$B$9,Paramètres!$A$1:$I$89,3,0)*VLOOKUP('Données projet'!$B$9,Paramètres!$A$1:$I$89,5,0)</f>
        <v>18.233859078363277</v>
      </c>
      <c r="P17" s="13">
        <f t="shared" si="33"/>
        <v>5.9932775513027368</v>
      </c>
      <c r="Q17" s="20">
        <f t="shared" si="2"/>
        <v>42.195596296668306</v>
      </c>
      <c r="R17" s="59">
        <f t="shared" si="0"/>
        <v>315.9733740744461</v>
      </c>
      <c r="S17" s="59">
        <f ca="1">AVERAGE(OFFSET($R$3,0,0,'Données projet'!$E$9+1,1))-AVERAGE(OFFSET($H$3,0,0,'Données projet'!$E$9+1,1))</f>
        <v>439.19854273764042</v>
      </c>
      <c r="T17" s="59">
        <f t="shared" si="34"/>
        <v>278.21741231699929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3.65</v>
      </c>
      <c r="AI17" s="13">
        <f>IF('Données projet'!$A$62&gt;35,AI16+AH17-AQ16,IF(A17&lt;'Données projet'!$A$62,$AF$205^A17,IF(A17='Données projet'!$A$62,'Données projet'!$B$62,AI16+AH17-AQ16)))</f>
        <v>20.152364144963837</v>
      </c>
      <c r="AJ17" s="13">
        <f>AI17*VLOOKUP('Données projet'!$B$10,Paramètres!$A$1:$I$89,3,0)*VLOOKUP('Données projet'!$B$10,Paramètres!$A$1:$I$89,5,0)</f>
        <v>20.434497242993334</v>
      </c>
      <c r="AK17" s="13">
        <f t="shared" si="35"/>
        <v>6.6281092368495731</v>
      </c>
      <c r="AL17" s="20">
        <f t="shared" si="4"/>
        <v>47.134039619059727</v>
      </c>
      <c r="AM17" s="59">
        <f t="shared" si="5"/>
        <v>320.91181739683748</v>
      </c>
      <c r="AN17" s="59">
        <f ca="1">AVERAGE(OFFSET($AM$3,0,0,'Données projet'!$E$10+1,1))-AVERAGE(OFFSET($H$3,0,0,'Données projet'!$E$10+1,1))</f>
        <v>487.18832528146936</v>
      </c>
      <c r="AO17" s="59">
        <f t="shared" si="36"/>
        <v>306.61893266146666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17</v>
      </c>
      <c r="BD17" s="12">
        <f>IF('Données projet'!$A$88&gt;35,BD16+BC17-BL16,IF(A17&lt;'Données projet'!$A$88,$BA$205^A17,IF(A17='Données projet'!$A$88,'Données projet'!$B$88,BD16+BC17-BL16)))</f>
        <v>152</v>
      </c>
      <c r="BE17" s="13">
        <f>BD17*VLOOKUP('Données projet'!$B$11,Paramètres!$A$1:$I$89,3,0)*VLOOKUP('Données projet'!$B$11,Paramètres!$A$1:$I$89,5,0)</f>
        <v>137.52959999999999</v>
      </c>
      <c r="BF17" s="13">
        <f t="shared" si="37"/>
        <v>35.730486489800548</v>
      </c>
      <c r="BG17" s="20">
        <f t="shared" si="7"/>
        <v>301.76131730306923</v>
      </c>
      <c r="BH17" s="59">
        <f t="shared" si="8"/>
        <v>575.53909508084701</v>
      </c>
      <c r="BI17" s="59">
        <f ca="1">AVERAGE(OFFSET($BH$3,0,0,'Données projet'!$E$11+1,1))-AVERAGE(OFFSET($H$3,0,0,'Données projet'!$E$11+1,1))</f>
        <v>436.23918637269577</v>
      </c>
      <c r="BJ17" s="59">
        <f t="shared" si="38"/>
        <v>611.43967996341894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7.1333333333333337</v>
      </c>
      <c r="BY17" s="12">
        <f>IF('Données projet'!$A$114&gt;35,BY16+BX17-CG16,IF(A17&lt;'Données projet'!$A$114,$BV$205^A17,IF(A17='Données projet'!$A$114,'Données projet'!$B$114,BY16+BX17-CG16)))</f>
        <v>78.35947648549265</v>
      </c>
      <c r="BZ17" s="13">
        <f>BY17*VLOOKUP('Données projet'!$B$12,Paramètres!$A$1:$I$89,3,0)*VLOOKUP('Données projet'!$B$12,Paramètres!$A$1:$I$89,5,0)</f>
        <v>68.454838657726384</v>
      </c>
      <c r="CA17" s="13">
        <f t="shared" si="39"/>
        <v>19.289242495261615</v>
      </c>
      <c r="CB17" s="20">
        <f t="shared" si="10"/>
        <v>152.8209413414541</v>
      </c>
      <c r="CC17" s="59">
        <f t="shared" si="11"/>
        <v>426.59871911923187</v>
      </c>
      <c r="CD17" s="59">
        <f ca="1">AVERAGE(OFFSET($CC$3,0,0,'Données projet'!$E$12+1,1))-AVERAGE(OFFSET($H$3,0,0,'Données projet'!$E$12+1,1))</f>
        <v>304.32767345253382</v>
      </c>
      <c r="CE17" s="59">
        <f t="shared" si="40"/>
        <v>427.16091343339173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10.8</v>
      </c>
      <c r="CT17" s="12">
        <f>IF('Données projet'!$A$140&gt;35,CT16+CS17-DB16,IF(A17&lt;'Données projet'!$A$140,$CQ$205^A17,IF(A17='Données projet'!$A$140,'Données projet'!$B$140,CT16+CS17-DB16)))</f>
        <v>115.40218017388374</v>
      </c>
      <c r="CU17" s="17">
        <f>CT17*VLOOKUP('Données projet'!$B$13,Paramètres!$A$1:$I$89,3,0)*VLOOKUP('Données projet'!$B$13,Paramètres!$A$1:$I$89,5,0)</f>
        <v>64.509818717201014</v>
      </c>
      <c r="CV17" s="13">
        <f t="shared" si="41"/>
        <v>18.303638959560171</v>
      </c>
      <c r="CW17" s="20">
        <f t="shared" si="13"/>
        <v>144.23343878702573</v>
      </c>
      <c r="CX17" s="59">
        <f t="shared" si="14"/>
        <v>418.01121656480348</v>
      </c>
      <c r="CY17" s="59">
        <f ca="1">AVERAGE(OFFSET($CX$3,0,0,'Données projet'!$E$13+1,1))-AVERAGE(OFFSET($H$3,0,0,'Données projet'!$E$13+1,1))</f>
        <v>555.15881087162279</v>
      </c>
      <c r="CZ17" s="59">
        <f t="shared" si="42"/>
        <v>668.20427590250733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6.4</v>
      </c>
      <c r="DO17" s="12">
        <f>IF('Données projet'!$A$166&gt;35,DO16+DN17-DW16,IF(A17&lt;'Données projet'!$A$166,$DL$205^A17,IF(A17='Données projet'!$A$166,'Données projet'!$B$166,DO16+DN17-DW16)))</f>
        <v>70.814112649016465</v>
      </c>
      <c r="DP17" s="17">
        <f>DO17*VLOOKUP('Données projet'!$B$14,Paramètres!$A$1:$I$89,3,0)*VLOOKUP('Données projet'!$B$14,Paramètres!$A$1:$I$89,5,0)</f>
        <v>33.141004719739705</v>
      </c>
      <c r="DQ17" s="13">
        <f t="shared" si="43"/>
        <v>10.161250814943998</v>
      </c>
      <c r="DR17" s="20">
        <f t="shared" si="16"/>
        <v>75.418095056240773</v>
      </c>
      <c r="DS17" s="59">
        <f t="shared" si="17"/>
        <v>349.19587283401853</v>
      </c>
      <c r="DT17" s="59">
        <f ca="1">AVERAGE(OFFSET($DS$3,0,0,'Données projet'!$E$14+1,1))-AVERAGE(OFFSET($H$3,0,0,'Données projet'!$E$14+1,1))</f>
        <v>523.79180230463714</v>
      </c>
      <c r="DU17" s="59">
        <f t="shared" si="44"/>
        <v>459.3547783500515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14.6</v>
      </c>
      <c r="EJ17" s="12">
        <f>IF('Données projet'!$A$192&gt;35,EJ16+EI17-ER16,IF(A17&lt;'Données projet'!$A$192,$EG$205^A17,IF(A17='Données projet'!$A$192,'Données projet'!$B$192,EJ16+EI17-ER16)))</f>
        <v>70.400000000000006</v>
      </c>
      <c r="EK17" s="17">
        <f>EJ17*VLOOKUP('Données projet'!$B$15,Paramètres!$A$1:$I$89,3,0)*VLOOKUP('Données projet'!$B$15,Paramètres!$A$1:$I$89,5,0)</f>
        <v>68.090880000000013</v>
      </c>
      <c r="EL17" s="13">
        <f t="shared" si="45"/>
        <v>19.198595499398802</v>
      </c>
      <c r="EM17" s="20">
        <f t="shared" si="19"/>
        <v>152.02916982811959</v>
      </c>
      <c r="EN17" s="59">
        <f t="shared" si="20"/>
        <v>425.80694760589734</v>
      </c>
      <c r="EO17" s="59">
        <f ca="1">AVERAGE(OFFSET($EN$3,0,0,'Données projet'!$E$15+1,1))-AVERAGE(OFFSET($H$3,0,0,'Données projet'!$E$15+1,1))</f>
        <v>484.41278617935654</v>
      </c>
      <c r="EP17" s="59">
        <f t="shared" si="46"/>
        <v>467.97490540700738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14.6</v>
      </c>
      <c r="FE17" s="12">
        <f>IF('Données projet'!$A$218&gt;35,FE16+FD17-FM16,IF(A17&lt;'Données projet'!$A$218,$FB$205^A17,IF(A17='Données projet'!$A$218,'Données projet'!$B$218,FE16+FD17-FM16)))</f>
        <v>70.400000000000006</v>
      </c>
      <c r="FF17" s="17">
        <f>FE17*VLOOKUP('Données projet'!$B$16,Paramètres!$A$1:$I$89,3,0)*VLOOKUP('Données projet'!$B$16,Paramètres!$A$1:$I$89,5,0)</f>
        <v>75.778559999999999</v>
      </c>
      <c r="FG17" s="13">
        <f t="shared" si="47"/>
        <v>21.101786182989326</v>
      </c>
      <c r="FH17" s="20">
        <f t="shared" si="22"/>
        <v>168.73326960203974</v>
      </c>
      <c r="FI17" s="59">
        <f t="shared" si="23"/>
        <v>442.51104737981751</v>
      </c>
      <c r="FJ17" s="59">
        <f ca="1">AVERAGE(OFFSET($FI$3,0,0,'Données projet'!$E$16+1,1))-AVERAGE(OFFSET($H$3,0,0,'Données projet'!$E$16+1,1))</f>
        <v>534.54020133239135</v>
      </c>
      <c r="FK17" s="59">
        <f t="shared" si="48"/>
        <v>515.48696069008815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12.6</v>
      </c>
      <c r="FZ17" s="12">
        <f>IF('Données projet'!$A$244&gt;35,FZ16+FY17-GH16,IF(A17&lt;'Données projet'!$A$244,$FW$205^A17,IF(A17='Données projet'!$A$244,'Données projet'!$B$244,FZ16+FY17-GH16)))</f>
        <v>109.39999999999998</v>
      </c>
      <c r="GA17" s="17">
        <f>FZ17*VLOOKUP('Données projet'!$B$17,Paramètres!$A$1:$I$89,3,0)*VLOOKUP('Données projet'!$B$17,Paramètres!$A$1:$I$89,5,0)</f>
        <v>104.10503999999997</v>
      </c>
      <c r="GB17" s="13">
        <f t="shared" si="49"/>
        <v>27.937665159461211</v>
      </c>
      <c r="GC17" s="20">
        <f t="shared" si="25"/>
        <v>229.97437815272824</v>
      </c>
      <c r="GD17" s="59">
        <f t="shared" si="26"/>
        <v>503.75215593050598</v>
      </c>
      <c r="GE17" s="59">
        <f ca="1">AVERAGE(OFFSET($GD$3,0,0,'Données projet'!$E$17+1,1))-AVERAGE(OFFSET($H$3,0,0,'Données projet'!$E$17+1,1))</f>
        <v>455.71329051283936</v>
      </c>
      <c r="GF17" s="59">
        <f t="shared" si="50"/>
        <v>479.3743231122258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14.6</v>
      </c>
      <c r="GU17" s="12">
        <f>IF('Données projet'!$A$270&gt;35,GU16+GT17-HC16,IF(A17&lt;'Données projet'!$A$270,$GR$205^A17,IF(A17='Données projet'!$A$270,'Données projet'!$B$270,GU16+GT17-HC16)))</f>
        <v>70.400000000000006</v>
      </c>
      <c r="GV17" s="17">
        <f>GU17*VLOOKUP('Données projet'!$B$18,Paramètres!$A$1:$I$89,3,0)*VLOOKUP('Données projet'!$B$18,Paramètres!$A$1:$I$89,5,0)</f>
        <v>57.108480000000007</v>
      </c>
      <c r="GW17" s="13">
        <f t="shared" si="51"/>
        <v>16.435113817397369</v>
      </c>
      <c r="GX17" s="20">
        <f t="shared" si="28"/>
        <v>128.08842589863374</v>
      </c>
      <c r="GY17" s="59">
        <f t="shared" si="29"/>
        <v>401.86620367641149</v>
      </c>
      <c r="GZ17" s="59">
        <f ca="1">AVERAGE(OFFSET($GY$3,0,0,'Données projet'!$E$18+1,1))-AVERAGE(OFFSET($H$3,0,0,'Données projet'!$E$18+1,1))</f>
        <v>412.59676769258488</v>
      </c>
      <c r="HA17" s="59">
        <f t="shared" si="52"/>
        <v>399.90063795152133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3.65</v>
      </c>
      <c r="N18" s="13">
        <f>IF('Données projet'!$A$36&gt;35,N17+M18-V17,IF(A18&lt;'Données projet'!$A$36,$K$205^A18,IF(A18='Données projet'!$A$36,'Données projet'!$B$36,N17+M18-V17)))</f>
        <v>24.974232188561476</v>
      </c>
      <c r="O18" s="13">
        <f>N18*VLOOKUP('Données projet'!$B$9,Paramètres!$A$1:$I$89,3,0)*VLOOKUP('Données projet'!$B$9,Paramètres!$A$1:$I$89,5,0)</f>
        <v>22.596685284210423</v>
      </c>
      <c r="P18" s="13">
        <f t="shared" si="33"/>
        <v>7.2441259820371586</v>
      </c>
      <c r="Q18" s="20">
        <f t="shared" si="2"/>
        <v>51.972746288714539</v>
      </c>
      <c r="R18" s="59">
        <f t="shared" si="0"/>
        <v>326.97274628871452</v>
      </c>
      <c r="S18" s="59">
        <f ca="1">AVERAGE(OFFSET($R$3,0,0,'Données projet'!$E$9+1,1))-AVERAGE(OFFSET($H$3,0,0,'Données projet'!$E$9+1,1))</f>
        <v>439.19854273764042</v>
      </c>
      <c r="T18" s="59">
        <f t="shared" si="34"/>
        <v>278.21741231699929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3.65</v>
      </c>
      <c r="AI18" s="13">
        <f>IF('Données projet'!$A$62&gt;35,AI17+AH18-AQ17,IF(A18&lt;'Données projet'!$A$62,$AF$205^A18,IF(A18='Données projet'!$A$62,'Données projet'!$B$62,AI17+AH18-AQ17)))</f>
        <v>24.974232188561476</v>
      </c>
      <c r="AJ18" s="13">
        <f>AI18*VLOOKUP('Données projet'!$B$10,Paramètres!$A$1:$I$89,3,0)*VLOOKUP('Données projet'!$B$10,Paramètres!$A$1:$I$89,5,0)</f>
        <v>25.323871439201337</v>
      </c>
      <c r="AK18" s="13">
        <f t="shared" si="35"/>
        <v>8.0114524854610902</v>
      </c>
      <c r="AL18" s="20">
        <f t="shared" si="4"/>
        <v>58.059022502120392</v>
      </c>
      <c r="AM18" s="59">
        <f t="shared" si="5"/>
        <v>333.0590225021204</v>
      </c>
      <c r="AN18" s="59">
        <f ca="1">AVERAGE(OFFSET($AM$3,0,0,'Données projet'!$E$10+1,1))-AVERAGE(OFFSET($H$3,0,0,'Données projet'!$E$10+1,1))</f>
        <v>487.18832528146936</v>
      </c>
      <c r="AO18" s="59">
        <f t="shared" si="36"/>
        <v>306.61893266146666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169</v>
      </c>
      <c r="BB18" s="12">
        <f>VLOOKUP(A18,'Données projet'!$A$87:$I$107,9,0)</f>
        <v>17</v>
      </c>
      <c r="BC18" s="12">
        <f t="array" ref="BC18">INDEX(BB:BB,MIN(IF(ISNUMBER(BB18:BB214),ROW(BB18:BB214),"")))</f>
        <v>17</v>
      </c>
      <c r="BD18" s="12">
        <f>IF('Données projet'!$A$88&gt;35,BD17+BC18-BL17,IF(A18&lt;'Données projet'!$A$88,$BA$205^A18,IF(A18='Données projet'!$A$88,'Données projet'!$B$88,BD17+BC18-BL17)))</f>
        <v>169</v>
      </c>
      <c r="BE18" s="13">
        <f>BD18*VLOOKUP('Données projet'!$B$11,Paramètres!$A$1:$I$89,3,0)*VLOOKUP('Données projet'!$B$11,Paramètres!$A$1:$I$89,5,0)</f>
        <v>152.91120000000001</v>
      </c>
      <c r="BF18" s="13">
        <f t="shared" si="37"/>
        <v>39.239424324197543</v>
      </c>
      <c r="BG18" s="20">
        <f t="shared" si="7"/>
        <v>334.66233736464409</v>
      </c>
      <c r="BH18" s="59">
        <f t="shared" si="8"/>
        <v>609.66233736464415</v>
      </c>
      <c r="BI18" s="59">
        <f ca="1">AVERAGE(OFFSET($BH$3,0,0,'Données projet'!$E$11+1,1))-AVERAGE(OFFSET($H$3,0,0,'Données projet'!$E$11+1,1))</f>
        <v>436.23918637269577</v>
      </c>
      <c r="BJ18" s="59">
        <f t="shared" si="38"/>
        <v>611.43967996341894</v>
      </c>
      <c r="BK18" s="15">
        <f>IF(ISNA(VLOOKUP(A18,'Données projet'!$A$87:$I$107,3,0)),0,VLOOKUP(A18,'Données projet'!$A$87:$I$107,3,0))</f>
        <v>3</v>
      </c>
      <c r="BL18" s="15">
        <f>IF(ISNA(VLOOKUP(A18,'Données projet'!$A$87:$I$107,4,0)),0,VLOOKUP(A18,'Données projet'!$A$87:$I$107,4,0))</f>
        <v>29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107</v>
      </c>
      <c r="BW18" s="12">
        <f>VLOOKUP(A18,'Données projet'!$A$113:$I$133,9,0)</f>
        <v>7.1333333333333337</v>
      </c>
      <c r="BX18" s="12">
        <f t="array" ref="BX18">INDEX(BW:BW,MIN(IF(ISNUMBER(BW18:BW214),ROW(BW18:BW214),"")))</f>
        <v>7.1333333333333337</v>
      </c>
      <c r="BY18" s="12">
        <f>IF('Données projet'!$A$114&gt;35,BY17+BX18-CG17,IF(A18&lt;'Données projet'!$A$114,$BV$205^A18,IF(A18='Données projet'!$A$114,'Données projet'!$B$114,BY17+BX18-CG17)))</f>
        <v>107</v>
      </c>
      <c r="BZ18" s="13">
        <f>BY18*VLOOKUP('Données projet'!$B$12,Paramètres!$A$1:$I$89,3,0)*VLOOKUP('Données projet'!$B$12,Paramètres!$A$1:$I$89,5,0)</f>
        <v>93.475200000000015</v>
      </c>
      <c r="CA18" s="13">
        <f t="shared" si="39"/>
        <v>25.401502539965662</v>
      </c>
      <c r="CB18" s="20">
        <f t="shared" si="10"/>
        <v>207.04359025710687</v>
      </c>
      <c r="CC18" s="59">
        <f t="shared" si="11"/>
        <v>482.04359025710687</v>
      </c>
      <c r="CD18" s="59">
        <f ca="1">AVERAGE(OFFSET($CC$3,0,0,'Données projet'!$E$12+1,1))-AVERAGE(OFFSET($H$3,0,0,'Données projet'!$E$12+1,1))</f>
        <v>304.32767345253382</v>
      </c>
      <c r="CE18" s="59">
        <f t="shared" si="40"/>
        <v>427.16091343339173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34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162</v>
      </c>
      <c r="CR18" s="12">
        <f>VLOOKUP(A18,'Données projet'!$A$139:$I$159,9,0)</f>
        <v>10.8</v>
      </c>
      <c r="CS18" s="12">
        <f t="array" ref="CS18">INDEX(CR:CR,MIN(IF(ISNUMBER(CR18:CR214),ROW(CR18:CR214),"")))</f>
        <v>10.8</v>
      </c>
      <c r="CT18" s="12">
        <f>IF('Données projet'!$A$140&gt;35,CT17+CS18-DB17,IF(A18&lt;'Données projet'!$A$140,$CQ$205^A18,IF(A18='Données projet'!$A$140,'Données projet'!$B$140,CT17+CS18-DB17)))</f>
        <v>162</v>
      </c>
      <c r="CU18" s="17">
        <f>CT18*VLOOKUP('Données projet'!$B$13,Paramètres!$A$1:$I$89,3,0)*VLOOKUP('Données projet'!$B$13,Paramètres!$A$1:$I$89,5,0)</f>
        <v>90.557999999999993</v>
      </c>
      <c r="CV18" s="13">
        <f t="shared" si="41"/>
        <v>24.699752708509138</v>
      </c>
      <c r="CW18" s="20">
        <f t="shared" si="13"/>
        <v>200.74058596732007</v>
      </c>
      <c r="CX18" s="59">
        <f t="shared" si="14"/>
        <v>475.74058596732004</v>
      </c>
      <c r="CY18" s="59">
        <f ca="1">AVERAGE(OFFSET($CX$3,0,0,'Données projet'!$E$13+1,1))-AVERAGE(OFFSET($H$3,0,0,'Données projet'!$E$13+1,1))</f>
        <v>555.15881087162279</v>
      </c>
      <c r="CZ18" s="59">
        <f t="shared" si="42"/>
        <v>668.20427590250733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96</v>
      </c>
      <c r="DM18" s="12">
        <f>VLOOKUP(A18,'Données projet'!$A$165:$I$185,9,0)</f>
        <v>6.4</v>
      </c>
      <c r="DN18" s="12">
        <f t="array" ref="DN18">INDEX(DM:DM,MIN(IF(ISNUMBER(DM18:DM214),ROW(DM18:DM214),"")))</f>
        <v>6.4</v>
      </c>
      <c r="DO18" s="12">
        <f>IF('Données projet'!$A$166&gt;35,DO17+DN18-DW17,IF(A18&lt;'Données projet'!$A$166,$DL$205^A18,IF(A18='Données projet'!$A$166,'Données projet'!$B$166,DO17+DN18-DW17)))</f>
        <v>96</v>
      </c>
      <c r="DP18" s="17">
        <f>DO18*VLOOKUP('Données projet'!$B$14,Paramètres!$A$1:$I$89,3,0)*VLOOKUP('Données projet'!$B$14,Paramètres!$A$1:$I$89,5,0)</f>
        <v>44.928000000000004</v>
      </c>
      <c r="DQ18" s="13">
        <f t="shared" si="43"/>
        <v>13.295851692351595</v>
      </c>
      <c r="DR18" s="20">
        <f t="shared" si="16"/>
        <v>101.40654169751237</v>
      </c>
      <c r="DS18" s="59">
        <f t="shared" si="17"/>
        <v>376.40654169751235</v>
      </c>
      <c r="DT18" s="59">
        <f ca="1">AVERAGE(OFFSET($DS$3,0,0,'Données projet'!$E$14+1,1))-AVERAGE(OFFSET($H$3,0,0,'Données projet'!$E$14+1,1))</f>
        <v>523.79180230463714</v>
      </c>
      <c r="DU18" s="59">
        <f t="shared" si="44"/>
        <v>459.3547783500515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>
        <f>VLOOKUP(A18,'Données projet'!$A$191:$I$211,2,0)</f>
        <v>85</v>
      </c>
      <c r="EH18" s="12">
        <f>VLOOKUP(A18,'Données projet'!$A$191:$I$211,9,0)</f>
        <v>14.6</v>
      </c>
      <c r="EI18" s="12">
        <f t="array" ref="EI18">INDEX(EH:EH,MIN(IF(ISNUMBER(EH18:EH214),ROW(EH18:EH214),"")))</f>
        <v>14.6</v>
      </c>
      <c r="EJ18" s="12">
        <f>IF('Données projet'!$A$192&gt;35,EJ17+EI18-ER17,IF(A18&lt;'Données projet'!$A$192,$EG$205^A18,IF(A18='Données projet'!$A$192,'Données projet'!$B$192,EJ17+EI18-ER17)))</f>
        <v>85</v>
      </c>
      <c r="EK18" s="17">
        <f>EJ18*VLOOKUP('Données projet'!$B$15,Paramètres!$A$1:$I$89,3,0)*VLOOKUP('Données projet'!$B$15,Paramètres!$A$1:$I$89,5,0)</f>
        <v>82.212000000000003</v>
      </c>
      <c r="EL18" s="13">
        <f t="shared" si="45"/>
        <v>22.677168109987953</v>
      </c>
      <c r="EM18" s="20">
        <f t="shared" si="19"/>
        <v>182.68196779156236</v>
      </c>
      <c r="EN18" s="59">
        <f t="shared" si="20"/>
        <v>457.68196779156233</v>
      </c>
      <c r="EO18" s="59">
        <f ca="1">AVERAGE(OFFSET($EN$3,0,0,'Données projet'!$E$15+1,1))-AVERAGE(OFFSET($H$3,0,0,'Données projet'!$E$15+1,1))</f>
        <v>484.41278617935654</v>
      </c>
      <c r="EP18" s="59">
        <f t="shared" si="46"/>
        <v>467.97490540700738</v>
      </c>
      <c r="EQ18" s="15">
        <f>IF(ISNA(VLOOKUP(A18,'Données projet'!$A$191:$I$211,3,0)),0,VLOOKUP(A18,'Données projet'!$A$191:$I$211,3,0))</f>
        <v>2</v>
      </c>
      <c r="ER18" s="15">
        <f>IF(ISNA(VLOOKUP(A18,'Données projet'!$A$191:$I$211,4,0)),0,VLOOKUP(A18,'Données projet'!$A$191:$I$211,4,0))</f>
        <v>42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>
        <f>VLOOKUP(A18,'Données projet'!$A$217:$I$237,2,0)</f>
        <v>85</v>
      </c>
      <c r="FC18" s="12">
        <f>VLOOKUP(A18,'Données projet'!$A$217:$I$237,9,0)</f>
        <v>14.6</v>
      </c>
      <c r="FD18" s="12">
        <f t="array" ref="FD18">INDEX(FC:FC,MIN(IF(ISNUMBER(FC18:FC214),ROW(FC18:FC214),"")))</f>
        <v>14.6</v>
      </c>
      <c r="FE18" s="12">
        <f>IF('Données projet'!$A$218&gt;35,FE17+FD18-FM17,IF(A18&lt;'Données projet'!$A$218,$FB$205^A18,IF(A18='Données projet'!$A$218,'Données projet'!$B$218,FE17+FD18-FM17)))</f>
        <v>85</v>
      </c>
      <c r="FF18" s="17">
        <f>FE18*VLOOKUP('Données projet'!$B$16,Paramètres!$A$1:$I$89,3,0)*VLOOKUP('Données projet'!$B$16,Paramètres!$A$1:$I$89,5,0)</f>
        <v>91.494</v>
      </c>
      <c r="FG18" s="13">
        <f t="shared" si="47"/>
        <v>24.925195840896517</v>
      </c>
      <c r="FH18" s="20">
        <f t="shared" si="22"/>
        <v>202.7634327562281</v>
      </c>
      <c r="FI18" s="59">
        <f t="shared" si="23"/>
        <v>477.7634327562281</v>
      </c>
      <c r="FJ18" s="59">
        <f ca="1">AVERAGE(OFFSET($FI$3,0,0,'Données projet'!$E$16+1,1))-AVERAGE(OFFSET($H$3,0,0,'Données projet'!$E$16+1,1))</f>
        <v>534.54020133239135</v>
      </c>
      <c r="FK18" s="59">
        <f t="shared" si="48"/>
        <v>515.48696069008815</v>
      </c>
      <c r="FL18" s="15">
        <f>IF(ISNA(VLOOKUP(A18,'Données projet'!$A$217:$I$237,3,0)),0,VLOOKUP(A18,'Données projet'!$A$217:$I$237,3,0))</f>
        <v>2</v>
      </c>
      <c r="FM18" s="15">
        <f>IF(ISNA(VLOOKUP(A18,'Données projet'!$A$217:$I$237,4,0)),0,VLOOKUP(A18,'Données projet'!$A$217:$I$237,4,0))</f>
        <v>42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>
        <f>VLOOKUP(A18,'Données projet'!$A$243:$I$263,2,0)</f>
        <v>122</v>
      </c>
      <c r="FX18" s="12">
        <f>VLOOKUP(A18,'Données projet'!$A$243:$I$263,9,0)</f>
        <v>12.6</v>
      </c>
      <c r="FY18" s="12">
        <f t="array" ref="FY18">INDEX(FX:FX,MIN(IF(ISNUMBER(FX18:FX214),ROW(FX18:FX214),"")))</f>
        <v>12.6</v>
      </c>
      <c r="FZ18" s="12">
        <f>IF('Données projet'!$A$244&gt;35,FZ17+FY18-GH17,IF(A18&lt;'Données projet'!$A$244,$FW$205^A18,IF(A18='Données projet'!$A$244,'Données projet'!$B$244,FZ17+FY18-GH17)))</f>
        <v>121.99999999999997</v>
      </c>
      <c r="GA18" s="17">
        <f>FZ18*VLOOKUP('Données projet'!$B$17,Paramètres!$A$1:$I$89,3,0)*VLOOKUP('Données projet'!$B$17,Paramètres!$A$1:$I$89,5,0)</f>
        <v>116.09519999999999</v>
      </c>
      <c r="GB18" s="13">
        <f t="shared" si="49"/>
        <v>30.762522798718759</v>
      </c>
      <c r="GC18" s="20">
        <f t="shared" si="25"/>
        <v>255.77720054110179</v>
      </c>
      <c r="GD18" s="59">
        <f t="shared" si="26"/>
        <v>530.77720054110182</v>
      </c>
      <c r="GE18" s="59">
        <f ca="1">AVERAGE(OFFSET($GD$3,0,0,'Données projet'!$E$17+1,1))-AVERAGE(OFFSET($H$3,0,0,'Données projet'!$E$17+1,1))</f>
        <v>455.71329051283936</v>
      </c>
      <c r="GF18" s="59">
        <f t="shared" si="50"/>
        <v>479.3743231122258</v>
      </c>
      <c r="GG18" s="15">
        <f>IF(ISNA(VLOOKUP(A18,'Données projet'!$A$243:$I$263,3,0)),0,VLOOKUP(A18,'Données projet'!$A$243:$I$263,3,0))</f>
        <v>2</v>
      </c>
      <c r="GH18" s="15">
        <f>IF(ISNA(VLOOKUP(A18,'Données projet'!$A$243:$I$263,4,0)),0,VLOOKUP(A18,'Données projet'!$A$243:$I$263,4,0))</f>
        <v>18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>
        <f>VLOOKUP(A18,'Données projet'!$A$269:$I$289,2,0)</f>
        <v>85</v>
      </c>
      <c r="GS18" s="12">
        <f>VLOOKUP(A18,'Données projet'!$A$269:$I$289,9,0)</f>
        <v>14.6</v>
      </c>
      <c r="GT18" s="12">
        <f t="array" ref="GT18">INDEX(GS:GS,MIN(IF(ISNUMBER(GS18:GS214),ROW(GS18:GS214),"")))</f>
        <v>14.6</v>
      </c>
      <c r="GU18" s="12">
        <f>IF('Données projet'!$A$270&gt;35,GU17+GT18-HC17,IF(A18&lt;'Données projet'!$A$270,$GR$205^A18,IF(A18='Données projet'!$A$270,'Données projet'!$B$270,GU17+GT18-HC17)))</f>
        <v>85</v>
      </c>
      <c r="GV18" s="17">
        <f>GU18*VLOOKUP('Données projet'!$B$18,Paramètres!$A$1:$I$89,3,0)*VLOOKUP('Données projet'!$B$18,Paramètres!$A$1:$I$89,5,0)</f>
        <v>68.952000000000012</v>
      </c>
      <c r="GW18" s="13">
        <f t="shared" si="51"/>
        <v>19.412974191553594</v>
      </c>
      <c r="GX18" s="20">
        <f t="shared" si="28"/>
        <v>153.90233005028921</v>
      </c>
      <c r="GY18" s="59">
        <f t="shared" si="29"/>
        <v>428.90233005028921</v>
      </c>
      <c r="GZ18" s="59">
        <f ca="1">AVERAGE(OFFSET($GY$3,0,0,'Données projet'!$E$18+1,1))-AVERAGE(OFFSET($H$3,0,0,'Données projet'!$E$18+1,1))</f>
        <v>412.59676769258488</v>
      </c>
      <c r="HA18" s="59">
        <f t="shared" si="52"/>
        <v>399.90063795152133</v>
      </c>
      <c r="HB18" s="15">
        <f>IF(ISNA(VLOOKUP(A18,'Données projet'!$A$269:$I$289,3,0)),0,VLOOKUP(A18,'Données projet'!$A$269:$I$289,3,0))</f>
        <v>2</v>
      </c>
      <c r="HC18" s="15">
        <f>IF(ISNA(VLOOKUP(A18,'Données projet'!$A$269:$I$289,4,0)),0,VLOOKUP(A18,'Données projet'!$A$269:$I$289,4,0))</f>
        <v>42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3.65</v>
      </c>
      <c r="N19" s="13">
        <f>IF('Données projet'!$A$36&gt;35,N18+M19-V18,IF(A19&lt;'Données projet'!$A$36,$K$205^A19,IF(A19='Données projet'!$A$36,'Données projet'!$B$36,N18+M19-V18)))</f>
        <v>30.949831440200953</v>
      </c>
      <c r="O19" s="13">
        <f>N19*VLOOKUP('Données projet'!$B$9,Paramètres!$A$1:$I$89,3,0)*VLOOKUP('Données projet'!$B$9,Paramètres!$A$1:$I$89,5,0)</f>
        <v>28.003407487093821</v>
      </c>
      <c r="P19" s="13">
        <f t="shared" si="33"/>
        <v>8.7560372090925433</v>
      </c>
      <c r="Q19" s="20">
        <f t="shared" si="2"/>
        <v>64.022699512524582</v>
      </c>
      <c r="R19" s="59">
        <f t="shared" si="0"/>
        <v>340.24492173474681</v>
      </c>
      <c r="S19" s="59">
        <f ca="1">AVERAGE(OFFSET($R$3,0,0,'Données projet'!$E$9+1,1))-AVERAGE(OFFSET($H$3,0,0,'Données projet'!$E$9+1,1))</f>
        <v>439.19854273764042</v>
      </c>
      <c r="T19" s="59">
        <f t="shared" si="34"/>
        <v>278.21741231699929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3.65</v>
      </c>
      <c r="AI19" s="13">
        <f>IF('Données projet'!$A$62&gt;35,AI18+AH19-AQ18,IF(A19&lt;'Données projet'!$A$62,$AF$205^A19,IF(A19='Données projet'!$A$62,'Données projet'!$B$62,AI18+AH19-AQ18)))</f>
        <v>30.949831440200953</v>
      </c>
      <c r="AJ19" s="13">
        <f>AI19*VLOOKUP('Données projet'!$B$10,Paramètres!$A$1:$I$89,3,0)*VLOOKUP('Données projet'!$B$10,Paramètres!$A$1:$I$89,5,0)</f>
        <v>31.383129080363769</v>
      </c>
      <c r="AK19" s="13">
        <f t="shared" si="35"/>
        <v>9.6835113353243223</v>
      </c>
      <c r="AL19" s="20">
        <f t="shared" si="4"/>
        <v>71.524398723990075</v>
      </c>
      <c r="AM19" s="59">
        <f t="shared" si="5"/>
        <v>347.74662094621232</v>
      </c>
      <c r="AN19" s="59">
        <f ca="1">AVERAGE(OFFSET($AM$3,0,0,'Données projet'!$E$10+1,1))-AVERAGE(OFFSET($H$3,0,0,'Données projet'!$E$10+1,1))</f>
        <v>487.18832528146936</v>
      </c>
      <c r="AO19" s="59">
        <f t="shared" si="36"/>
        <v>306.61893266146666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15.4</v>
      </c>
      <c r="BD19" s="12">
        <f>IF('Données projet'!$A$88&gt;35,BD18+BC19-BL18,IF(A19&lt;'Données projet'!$A$88,$BA$205^A19,IF(A19='Données projet'!$A$88,'Données projet'!$B$88,BD18+BC19-BL18)))</f>
        <v>155.4</v>
      </c>
      <c r="BE19" s="13">
        <f>BD19*VLOOKUP('Données projet'!$B$11,Paramètres!$A$1:$I$89,3,0)*VLOOKUP('Données projet'!$B$11,Paramètres!$A$1:$I$89,5,0)</f>
        <v>140.60592</v>
      </c>
      <c r="BF19" s="13">
        <f t="shared" si="37"/>
        <v>36.435778350352258</v>
      </c>
      <c r="BG19" s="20">
        <f t="shared" si="7"/>
        <v>308.34762462686348</v>
      </c>
      <c r="BH19" s="59">
        <f t="shared" si="8"/>
        <v>584.56984684908571</v>
      </c>
      <c r="BI19" s="59">
        <f ca="1">AVERAGE(OFFSET($BH$3,0,0,'Données projet'!$E$11+1,1))-AVERAGE(OFFSET($H$3,0,0,'Données projet'!$E$11+1,1))</f>
        <v>436.23918637269577</v>
      </c>
      <c r="BJ19" s="59">
        <f t="shared" si="38"/>
        <v>611.43967996341894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16.2</v>
      </c>
      <c r="BY19" s="12">
        <f>IF('Données projet'!$A$114&gt;35,BY18+BX19-CG18,IF(A19&lt;'Données projet'!$A$114,$BV$205^A19,IF(A19='Données projet'!$A$114,'Données projet'!$B$114,BY18+BX19-CG18)))</f>
        <v>89.2</v>
      </c>
      <c r="BZ19" s="13">
        <f>BY19*VLOOKUP('Données projet'!$B$12,Paramètres!$A$1:$I$89,3,0)*VLOOKUP('Données projet'!$B$12,Paramètres!$A$1:$I$89,5,0)</f>
        <v>77.925120000000007</v>
      </c>
      <c r="CA19" s="13">
        <f t="shared" si="39"/>
        <v>21.629091902424182</v>
      </c>
      <c r="CB19" s="20">
        <f t="shared" si="10"/>
        <v>173.3902523967221</v>
      </c>
      <c r="CC19" s="59">
        <f t="shared" si="11"/>
        <v>449.61247461894436</v>
      </c>
      <c r="CD19" s="59">
        <f ca="1">AVERAGE(OFFSET($CC$3,0,0,'Données projet'!$E$12+1,1))-AVERAGE(OFFSET($H$3,0,0,'Données projet'!$E$12+1,1))</f>
        <v>304.32767345253382</v>
      </c>
      <c r="CE19" s="59">
        <f t="shared" si="40"/>
        <v>427.16091343339173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28.2</v>
      </c>
      <c r="CT19" s="12">
        <f>IF('Données projet'!$A$140&gt;35,CT18+CS19-DB18,IF(A19&lt;'Données projet'!$A$140,$CQ$205^A19,IF(A19='Données projet'!$A$140,'Données projet'!$B$140,CT18+CS19-DB18)))</f>
        <v>190.2</v>
      </c>
      <c r="CU19" s="17">
        <f>CT19*VLOOKUP('Données projet'!$B$13,Paramètres!$A$1:$I$89,3,0)*VLOOKUP('Données projet'!$B$13,Paramètres!$A$1:$I$89,5,0)</f>
        <v>106.32179999999998</v>
      </c>
      <c r="CV19" s="13">
        <f t="shared" si="41"/>
        <v>28.462664081653866</v>
      </c>
      <c r="CW19" s="20">
        <f t="shared" si="13"/>
        <v>234.7496082755471</v>
      </c>
      <c r="CX19" s="59">
        <f t="shared" si="14"/>
        <v>510.97183049776936</v>
      </c>
      <c r="CY19" s="59">
        <f ca="1">AVERAGE(OFFSET($CX$3,0,0,'Données projet'!$E$13+1,1))-AVERAGE(OFFSET($H$3,0,0,'Données projet'!$E$13+1,1))</f>
        <v>555.15881087162279</v>
      </c>
      <c r="CZ19" s="59">
        <f t="shared" si="42"/>
        <v>668.20427590250733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27</v>
      </c>
      <c r="DO19" s="12">
        <f>IF('Données projet'!$A$166&gt;35,DO18+DN19-DW18,IF(A19&lt;'Données projet'!$A$166,$DL$205^A19,IF(A19='Données projet'!$A$166,'Données projet'!$B$166,DO18+DN19-DW18)))</f>
        <v>123</v>
      </c>
      <c r="DP19" s="17">
        <f>DO19*VLOOKUP('Données projet'!$B$14,Paramètres!$A$1:$I$89,3,0)*VLOOKUP('Données projet'!$B$14,Paramètres!$A$1:$I$89,5,0)</f>
        <v>57.564</v>
      </c>
      <c r="DQ19" s="13">
        <f t="shared" si="43"/>
        <v>16.550893994707867</v>
      </c>
      <c r="DR19" s="20">
        <f t="shared" si="16"/>
        <v>129.08344037411621</v>
      </c>
      <c r="DS19" s="59">
        <f t="shared" si="17"/>
        <v>405.30566259633844</v>
      </c>
      <c r="DT19" s="59">
        <f ca="1">AVERAGE(OFFSET($DS$3,0,0,'Données projet'!$E$14+1,1))-AVERAGE(OFFSET($H$3,0,0,'Données projet'!$E$14+1,1))</f>
        <v>523.79180230463714</v>
      </c>
      <c r="DU19" s="59">
        <f t="shared" si="44"/>
        <v>459.3547783500515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16</v>
      </c>
      <c r="EJ19" s="12">
        <f>IF('Données projet'!$A$192&gt;35,EJ18+EI19-ER18,IF(A19&lt;'Données projet'!$A$192,$EG$205^A19,IF(A19='Données projet'!$A$192,'Données projet'!$B$192,EJ18+EI19-ER18)))</f>
        <v>59</v>
      </c>
      <c r="EK19" s="17">
        <f>EJ19*VLOOKUP('Données projet'!$B$15,Paramètres!$A$1:$I$89,3,0)*VLOOKUP('Données projet'!$B$15,Paramètres!$A$1:$I$89,5,0)</f>
        <v>57.064799999999998</v>
      </c>
      <c r="EL19" s="13">
        <f t="shared" si="45"/>
        <v>16.424005972947381</v>
      </c>
      <c r="EM19" s="20">
        <f t="shared" si="19"/>
        <v>127.99300373621668</v>
      </c>
      <c r="EN19" s="59">
        <f t="shared" si="20"/>
        <v>404.21522595843891</v>
      </c>
      <c r="EO19" s="59">
        <f ca="1">AVERAGE(OFFSET($EN$3,0,0,'Données projet'!$E$15+1,1))-AVERAGE(OFFSET($H$3,0,0,'Données projet'!$E$15+1,1))</f>
        <v>484.41278617935654</v>
      </c>
      <c r="EP19" s="59">
        <f t="shared" si="46"/>
        <v>467.97490540700738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16</v>
      </c>
      <c r="FE19" s="12">
        <f>IF('Données projet'!$A$218&gt;35,FE18+FD19-FM18,IF(A19&lt;'Données projet'!$A$218,$FB$205^A19,IF(A19='Données projet'!$A$218,'Données projet'!$B$218,FE18+FD19-FM18)))</f>
        <v>59</v>
      </c>
      <c r="FF19" s="17">
        <f>FE19*VLOOKUP('Données projet'!$B$16,Paramètres!$A$1:$I$89,3,0)*VLOOKUP('Données projet'!$B$16,Paramètres!$A$1:$I$89,5,0)</f>
        <v>63.507599999999989</v>
      </c>
      <c r="FG19" s="13">
        <f t="shared" si="47"/>
        <v>18.052146695841799</v>
      </c>
      <c r="FH19" s="20">
        <f t="shared" si="22"/>
        <v>142.04989216192445</v>
      </c>
      <c r="FI19" s="59">
        <f t="shared" si="23"/>
        <v>418.27211438414668</v>
      </c>
      <c r="FJ19" s="59">
        <f ca="1">AVERAGE(OFFSET($FI$3,0,0,'Données projet'!$E$16+1,1))-AVERAGE(OFFSET($H$3,0,0,'Données projet'!$E$16+1,1))</f>
        <v>534.54020133239135</v>
      </c>
      <c r="FK19" s="59">
        <f t="shared" si="48"/>
        <v>515.48696069008815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11.8</v>
      </c>
      <c r="FZ19" s="12">
        <f>IF('Données projet'!$A$244&gt;35,FZ18+FY19-GH18,IF(A19&lt;'Données projet'!$A$244,$FW$205^A19,IF(A19='Données projet'!$A$244,'Données projet'!$B$244,FZ18+FY19-GH18)))</f>
        <v>115.79999999999998</v>
      </c>
      <c r="GA19" s="17">
        <f>FZ19*VLOOKUP('Données projet'!$B$17,Paramètres!$A$1:$I$89,3,0)*VLOOKUP('Données projet'!$B$17,Paramètres!$A$1:$I$89,5,0)</f>
        <v>110.19528</v>
      </c>
      <c r="GB19" s="13">
        <f t="shared" si="49"/>
        <v>29.376989313083563</v>
      </c>
      <c r="GC19" s="20">
        <f t="shared" si="25"/>
        <v>243.08836905362054</v>
      </c>
      <c r="GD19" s="59">
        <f t="shared" si="26"/>
        <v>519.31059127584274</v>
      </c>
      <c r="GE19" s="59">
        <f ca="1">AVERAGE(OFFSET($GD$3,0,0,'Données projet'!$E$17+1,1))-AVERAGE(OFFSET($H$3,0,0,'Données projet'!$E$17+1,1))</f>
        <v>455.71329051283936</v>
      </c>
      <c r="GF19" s="59">
        <f t="shared" si="50"/>
        <v>479.3743231122258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16</v>
      </c>
      <c r="GU19" s="12">
        <f>IF('Données projet'!$A$270&gt;35,GU18+GT19-HC18,IF(A19&lt;'Données projet'!$A$270,$GR$205^A19,IF(A19='Données projet'!$A$270,'Données projet'!$B$270,GU18+GT19-HC18)))</f>
        <v>59</v>
      </c>
      <c r="GV19" s="17">
        <f>GU19*VLOOKUP('Données projet'!$B$18,Paramètres!$A$1:$I$89,3,0)*VLOOKUP('Données projet'!$B$18,Paramètres!$A$1:$I$89,5,0)</f>
        <v>47.860800000000005</v>
      </c>
      <c r="GW19" s="13">
        <f t="shared" si="51"/>
        <v>14.059903887836867</v>
      </c>
      <c r="GX19" s="20">
        <f t="shared" si="28"/>
        <v>107.84522593798255</v>
      </c>
      <c r="GY19" s="59">
        <f t="shared" si="29"/>
        <v>384.06744816020478</v>
      </c>
      <c r="GZ19" s="59">
        <f ca="1">AVERAGE(OFFSET($GY$3,0,0,'Données projet'!$E$18+1,1))-AVERAGE(OFFSET($H$3,0,0,'Données projet'!$E$18+1,1))</f>
        <v>412.59676769258488</v>
      </c>
      <c r="HA19" s="59">
        <f t="shared" si="52"/>
        <v>399.90063795152133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3.65</v>
      </c>
      <c r="N20" s="13">
        <f>IF('Données projet'!$A$36&gt;35,N19+M20-V19,IF(A20&lt;'Données projet'!$A$36,$K$205^A20,IF(A20='Données projet'!$A$36,'Données projet'!$B$36,N19+M20-V19)))</f>
        <v>38.355215845858055</v>
      </c>
      <c r="O20" s="13">
        <f>N20*VLOOKUP('Données projet'!$B$9,Paramètres!$A$1:$I$89,3,0)*VLOOKUP('Données projet'!$B$9,Paramètres!$A$1:$I$89,5,0)</f>
        <v>34.703799297332367</v>
      </c>
      <c r="P20" s="13">
        <f t="shared" si="33"/>
        <v>10.583497277259243</v>
      </c>
      <c r="Q20" s="20">
        <f t="shared" si="2"/>
        <v>78.875374867413711</v>
      </c>
      <c r="R20" s="59">
        <f t="shared" si="0"/>
        <v>356.31981931185817</v>
      </c>
      <c r="S20" s="59">
        <f ca="1">AVERAGE(OFFSET($R$3,0,0,'Données projet'!$E$9+1,1))-AVERAGE(OFFSET($H$3,0,0,'Données projet'!$E$9+1,1))</f>
        <v>439.19854273764042</v>
      </c>
      <c r="T20" s="59">
        <f t="shared" si="34"/>
        <v>278.21741231699929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3.65</v>
      </c>
      <c r="AI20" s="13">
        <f>IF('Données projet'!$A$62&gt;35,AI19+AH20-AQ19,IF(A20&lt;'Données projet'!$A$62,$AF$205^A20,IF(A20='Données projet'!$A$62,'Données projet'!$B$62,AI19+AH20-AQ19)))</f>
        <v>38.355215845858055</v>
      </c>
      <c r="AJ20" s="13">
        <f>AI20*VLOOKUP('Données projet'!$B$10,Paramètres!$A$1:$I$89,3,0)*VLOOKUP('Données projet'!$B$10,Paramètres!$A$1:$I$89,5,0)</f>
        <v>38.892188867700071</v>
      </c>
      <c r="AK20" s="13">
        <f t="shared" si="35"/>
        <v>11.704543208803392</v>
      </c>
      <c r="AL20" s="20">
        <f t="shared" si="4"/>
        <v>88.122641699910204</v>
      </c>
      <c r="AM20" s="59">
        <f t="shared" si="5"/>
        <v>365.56708614435468</v>
      </c>
      <c r="AN20" s="59">
        <f ca="1">AVERAGE(OFFSET($AM$3,0,0,'Données projet'!$E$10+1,1))-AVERAGE(OFFSET($H$3,0,0,'Données projet'!$E$10+1,1))</f>
        <v>487.18832528146936</v>
      </c>
      <c r="AO20" s="59">
        <f t="shared" si="36"/>
        <v>306.61893266146666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15.4</v>
      </c>
      <c r="BD20" s="12">
        <f>IF('Données projet'!$A$88&gt;35,BD19+BC20-BL19,IF(A20&lt;'Données projet'!$A$88,$BA$205^A20,IF(A20='Données projet'!$A$88,'Données projet'!$B$88,BD19+BC20-BL19)))</f>
        <v>170.8</v>
      </c>
      <c r="BE20" s="13">
        <f>BD20*VLOOKUP('Données projet'!$B$11,Paramètres!$A$1:$I$89,3,0)*VLOOKUP('Données projet'!$B$11,Paramètres!$A$1:$I$89,5,0)</f>
        <v>154.53984</v>
      </c>
      <c r="BF20" s="13">
        <f t="shared" si="37"/>
        <v>39.608483410353038</v>
      </c>
      <c r="BG20" s="20">
        <f t="shared" si="7"/>
        <v>338.14166327303155</v>
      </c>
      <c r="BH20" s="59">
        <f t="shared" si="8"/>
        <v>615.58610771747601</v>
      </c>
      <c r="BI20" s="59">
        <f ca="1">AVERAGE(OFFSET($BH$3,0,0,'Données projet'!$E$11+1,1))-AVERAGE(OFFSET($H$3,0,0,'Données projet'!$E$11+1,1))</f>
        <v>436.23918637269577</v>
      </c>
      <c r="BJ20" s="59">
        <f t="shared" si="38"/>
        <v>611.43967996341894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16.2</v>
      </c>
      <c r="BY20" s="12">
        <f>IF('Données projet'!$A$114&gt;35,BY19+BX20-CG19,IF(A20&lt;'Données projet'!$A$114,$BV$205^A20,IF(A20='Données projet'!$A$114,'Données projet'!$B$114,BY19+BX20-CG19)))</f>
        <v>105.4</v>
      </c>
      <c r="BZ20" s="13">
        <f>BY20*VLOOKUP('Données projet'!$B$12,Paramètres!$A$1:$I$89,3,0)*VLOOKUP('Données projet'!$B$12,Paramètres!$A$1:$I$89,5,0)</f>
        <v>92.07744000000001</v>
      </c>
      <c r="CA20" s="13">
        <f t="shared" si="39"/>
        <v>25.065586122051112</v>
      </c>
      <c r="CB20" s="20">
        <f t="shared" si="10"/>
        <v>204.02410382923904</v>
      </c>
      <c r="CC20" s="59">
        <f t="shared" si="11"/>
        <v>481.4685482736835</v>
      </c>
      <c r="CD20" s="59">
        <f ca="1">AVERAGE(OFFSET($CC$3,0,0,'Données projet'!$E$12+1,1))-AVERAGE(OFFSET($H$3,0,0,'Données projet'!$E$12+1,1))</f>
        <v>304.32767345253382</v>
      </c>
      <c r="CE20" s="59">
        <f t="shared" si="40"/>
        <v>427.16091343339173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28.2</v>
      </c>
      <c r="CT20" s="12">
        <f>IF('Données projet'!$A$140&gt;35,CT19+CS20-DB19,IF(A20&lt;'Données projet'!$A$140,$CQ$205^A20,IF(A20='Données projet'!$A$140,'Données projet'!$B$140,CT19+CS20-DB19)))</f>
        <v>218.39999999999998</v>
      </c>
      <c r="CU20" s="17">
        <f>CT20*VLOOKUP('Données projet'!$B$13,Paramètres!$A$1:$I$89,3,0)*VLOOKUP('Données projet'!$B$13,Paramètres!$A$1:$I$89,5,0)</f>
        <v>122.0856</v>
      </c>
      <c r="CV20" s="13">
        <f t="shared" si="41"/>
        <v>32.160942364346717</v>
      </c>
      <c r="CW20" s="20">
        <f t="shared" si="13"/>
        <v>268.64606128457052</v>
      </c>
      <c r="CX20" s="59">
        <f t="shared" si="14"/>
        <v>546.09050572901492</v>
      </c>
      <c r="CY20" s="59">
        <f ca="1">AVERAGE(OFFSET($CX$3,0,0,'Données projet'!$E$13+1,1))-AVERAGE(OFFSET($H$3,0,0,'Données projet'!$E$13+1,1))</f>
        <v>555.15881087162279</v>
      </c>
      <c r="CZ20" s="59">
        <f t="shared" si="42"/>
        <v>668.20427590250733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27</v>
      </c>
      <c r="DO20" s="12">
        <f>IF('Données projet'!$A$166&gt;35,DO19+DN20-DW19,IF(A20&lt;'Données projet'!$A$166,$DL$205^A20,IF(A20='Données projet'!$A$166,'Données projet'!$B$166,DO19+DN20-DW19)))</f>
        <v>150</v>
      </c>
      <c r="DP20" s="17">
        <f>DO20*VLOOKUP('Données projet'!$B$14,Paramètres!$A$1:$I$89,3,0)*VLOOKUP('Données projet'!$B$14,Paramètres!$A$1:$I$89,5,0)</f>
        <v>70.2</v>
      </c>
      <c r="DQ20" s="13">
        <f t="shared" si="43"/>
        <v>19.723116370112194</v>
      </c>
      <c r="DR20" s="20">
        <f t="shared" si="16"/>
        <v>156.61609434461207</v>
      </c>
      <c r="DS20" s="59">
        <f t="shared" si="17"/>
        <v>434.06053878905652</v>
      </c>
      <c r="DT20" s="59">
        <f ca="1">AVERAGE(OFFSET($DS$3,0,0,'Données projet'!$E$14+1,1))-AVERAGE(OFFSET($H$3,0,0,'Données projet'!$E$14+1,1))</f>
        <v>523.79180230463714</v>
      </c>
      <c r="DU20" s="59">
        <f t="shared" si="44"/>
        <v>459.3547783500515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16</v>
      </c>
      <c r="EJ20" s="12">
        <f>IF('Données projet'!$A$192&gt;35,EJ19+EI20-ER19,IF(A20&lt;'Données projet'!$A$192,$EG$205^A20,IF(A20='Données projet'!$A$192,'Données projet'!$B$192,EJ19+EI20-ER19)))</f>
        <v>75</v>
      </c>
      <c r="EK20" s="17">
        <f>EJ20*VLOOKUP('Données projet'!$B$15,Paramètres!$A$1:$I$89,3,0)*VLOOKUP('Données projet'!$B$15,Paramètres!$A$1:$I$89,5,0)</f>
        <v>72.540000000000006</v>
      </c>
      <c r="EL20" s="13">
        <f t="shared" si="45"/>
        <v>20.302914660456786</v>
      </c>
      <c r="EM20" s="20">
        <f t="shared" si="19"/>
        <v>161.70140970029556</v>
      </c>
      <c r="EN20" s="59">
        <f t="shared" si="20"/>
        <v>439.14585414474004</v>
      </c>
      <c r="EO20" s="59">
        <f ca="1">AVERAGE(OFFSET($EN$3,0,0,'Données projet'!$E$15+1,1))-AVERAGE(OFFSET($H$3,0,0,'Données projet'!$E$15+1,1))</f>
        <v>484.41278617935654</v>
      </c>
      <c r="EP20" s="59">
        <f t="shared" si="46"/>
        <v>467.97490540700738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16</v>
      </c>
      <c r="FE20" s="12">
        <f>IF('Données projet'!$A$218&gt;35,FE19+FD20-FM19,IF(A20&lt;'Données projet'!$A$218,$FB$205^A20,IF(A20='Données projet'!$A$218,'Données projet'!$B$218,FE19+FD20-FM19)))</f>
        <v>75</v>
      </c>
      <c r="FF20" s="17">
        <f>FE20*VLOOKUP('Données projet'!$B$16,Paramètres!$A$1:$I$89,3,0)*VLOOKUP('Données projet'!$B$16,Paramètres!$A$1:$I$89,5,0)</f>
        <v>80.72999999999999</v>
      </c>
      <c r="FG20" s="13">
        <f t="shared" si="47"/>
        <v>22.315578453114171</v>
      </c>
      <c r="FH20" s="20">
        <f t="shared" si="22"/>
        <v>179.47104913917383</v>
      </c>
      <c r="FI20" s="59">
        <f t="shared" si="23"/>
        <v>456.91549358361829</v>
      </c>
      <c r="FJ20" s="59">
        <f ca="1">AVERAGE(OFFSET($FI$3,0,0,'Données projet'!$E$16+1,1))-AVERAGE(OFFSET($H$3,0,0,'Données projet'!$E$16+1,1))</f>
        <v>534.54020133239135</v>
      </c>
      <c r="FK20" s="59">
        <f t="shared" si="48"/>
        <v>515.48696069008815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11.8</v>
      </c>
      <c r="FZ20" s="12">
        <f>IF('Données projet'!$A$244&gt;35,FZ19+FY20-GH19,IF(A20&lt;'Données projet'!$A$244,$FW$205^A20,IF(A20='Données projet'!$A$244,'Données projet'!$B$244,FZ19+FY20-GH19)))</f>
        <v>127.59999999999998</v>
      </c>
      <c r="GA20" s="17">
        <f>FZ20*VLOOKUP('Données projet'!$B$17,Paramètres!$A$1:$I$89,3,0)*VLOOKUP('Données projet'!$B$17,Paramètres!$A$1:$I$89,5,0)</f>
        <v>121.42415999999999</v>
      </c>
      <c r="GB20" s="13">
        <f t="shared" si="49"/>
        <v>32.006932803624935</v>
      </c>
      <c r="GC20" s="20">
        <f t="shared" si="25"/>
        <v>267.2258199663134</v>
      </c>
      <c r="GD20" s="59">
        <f t="shared" si="26"/>
        <v>544.67026441075791</v>
      </c>
      <c r="GE20" s="59">
        <f ca="1">AVERAGE(OFFSET($GD$3,0,0,'Données projet'!$E$17+1,1))-AVERAGE(OFFSET($H$3,0,0,'Données projet'!$E$17+1,1))</f>
        <v>455.71329051283936</v>
      </c>
      <c r="GF20" s="59">
        <f t="shared" si="50"/>
        <v>479.3743231122258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16</v>
      </c>
      <c r="GU20" s="12">
        <f>IF('Données projet'!$A$270&gt;35,GU19+GT20-HC19,IF(A20&lt;'Données projet'!$A$270,$GR$205^A20,IF(A20='Données projet'!$A$270,'Données projet'!$B$270,GU19+GT20-HC19)))</f>
        <v>75</v>
      </c>
      <c r="GV20" s="17">
        <f>GU20*VLOOKUP('Données projet'!$B$18,Paramètres!$A$1:$I$89,3,0)*VLOOKUP('Données projet'!$B$18,Paramètres!$A$1:$I$89,5,0)</f>
        <v>60.84</v>
      </c>
      <c r="GW20" s="13">
        <f t="shared" si="51"/>
        <v>17.380475216531455</v>
      </c>
      <c r="GX20" s="20">
        <f t="shared" si="28"/>
        <v>136.23399433545893</v>
      </c>
      <c r="GY20" s="59">
        <f t="shared" si="29"/>
        <v>413.67843877990339</v>
      </c>
      <c r="GZ20" s="59">
        <f ca="1">AVERAGE(OFFSET($GY$3,0,0,'Données projet'!$E$18+1,1))-AVERAGE(OFFSET($H$3,0,0,'Données projet'!$E$18+1,1))</f>
        <v>412.59676769258488</v>
      </c>
      <c r="HA20" s="59">
        <f t="shared" si="52"/>
        <v>399.90063795152133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3.65</v>
      </c>
      <c r="N21" s="13">
        <f>IF('Données projet'!$A$36&gt;35,N20+M21-V20,IF(A21&lt;'Données projet'!$A$36,$K$205^A21,IF(A21='Données projet'!$A$36,'Données projet'!$B$36,N20+M21-V20)))</f>
        <v>47.532490941824946</v>
      </c>
      <c r="O21" s="13">
        <f>N21*VLOOKUP('Données projet'!$B$9,Paramètres!$A$1:$I$89,3,0)*VLOOKUP('Données projet'!$B$9,Paramètres!$A$1:$I$89,5,0)</f>
        <v>43.007397804163212</v>
      </c>
      <c r="P21" s="13">
        <f t="shared" si="33"/>
        <v>12.792363936215189</v>
      </c>
      <c r="Q21" s="20">
        <f t="shared" si="2"/>
        <v>97.184585031159045</v>
      </c>
      <c r="R21" s="59">
        <f t="shared" si="0"/>
        <v>375.85125169782572</v>
      </c>
      <c r="S21" s="59">
        <f ca="1">AVERAGE(OFFSET($R$3,0,0,'Données projet'!$E$9+1,1))-AVERAGE(OFFSET($H$3,0,0,'Données projet'!$E$9+1,1))</f>
        <v>439.19854273764042</v>
      </c>
      <c r="T21" s="59">
        <f t="shared" si="34"/>
        <v>278.21741231699929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3.65</v>
      </c>
      <c r="AI21" s="13">
        <f>IF('Données projet'!$A$62&gt;35,AI20+AH21-AQ20,IF(A21&lt;'Données projet'!$A$62,$AF$205^A21,IF(A21='Données projet'!$A$62,'Données projet'!$B$62,AI20+AH21-AQ20)))</f>
        <v>47.532490941824946</v>
      </c>
      <c r="AJ21" s="13">
        <f>AI21*VLOOKUP('Données projet'!$B$10,Paramètres!$A$1:$I$89,3,0)*VLOOKUP('Données projet'!$B$10,Paramètres!$A$1:$I$89,5,0)</f>
        <v>48.197945815010499</v>
      </c>
      <c r="AK21" s="13">
        <f t="shared" si="35"/>
        <v>14.147381769152156</v>
      </c>
      <c r="AL21" s="20">
        <f t="shared" si="4"/>
        <v>108.58477887574996</v>
      </c>
      <c r="AM21" s="59">
        <f t="shared" si="5"/>
        <v>387.25144554241666</v>
      </c>
      <c r="AN21" s="59">
        <f ca="1">AVERAGE(OFFSET($AM$3,0,0,'Données projet'!$E$10+1,1))-AVERAGE(OFFSET($H$3,0,0,'Données projet'!$E$10+1,1))</f>
        <v>487.18832528146936</v>
      </c>
      <c r="AO21" s="59">
        <f t="shared" si="36"/>
        <v>306.61893266146666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15.4</v>
      </c>
      <c r="BD21" s="12">
        <f>IF('Données projet'!$A$88&gt;35,BD20+BC21-BL20,IF(A21&lt;'Données projet'!$A$88,$BA$205^A21,IF(A21='Données projet'!$A$88,'Données projet'!$B$88,BD20+BC21-BL20)))</f>
        <v>186.20000000000002</v>
      </c>
      <c r="BE21" s="13">
        <f>BD21*VLOOKUP('Données projet'!$B$11,Paramètres!$A$1:$I$89,3,0)*VLOOKUP('Données projet'!$B$11,Paramètres!$A$1:$I$89,5,0)</f>
        <v>168.47376000000003</v>
      </c>
      <c r="BF21" s="13">
        <f t="shared" si="37"/>
        <v>42.748017388135018</v>
      </c>
      <c r="BG21" s="20">
        <f t="shared" si="7"/>
        <v>367.87792895100188</v>
      </c>
      <c r="BH21" s="59">
        <f t="shared" si="8"/>
        <v>646.54459561766862</v>
      </c>
      <c r="BI21" s="59">
        <f ca="1">AVERAGE(OFFSET($BH$3,0,0,'Données projet'!$E$11+1,1))-AVERAGE(OFFSET($H$3,0,0,'Données projet'!$E$11+1,1))</f>
        <v>436.23918637269577</v>
      </c>
      <c r="BJ21" s="59">
        <f t="shared" si="38"/>
        <v>611.43967996341894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16.2</v>
      </c>
      <c r="BY21" s="12">
        <f>IF('Données projet'!$A$114&gt;35,BY20+BX21-CG20,IF(A21&lt;'Données projet'!$A$114,$BV$205^A21,IF(A21='Données projet'!$A$114,'Données projet'!$B$114,BY20+BX21-CG20)))</f>
        <v>121.60000000000001</v>
      </c>
      <c r="BZ21" s="13">
        <f>BY21*VLOOKUP('Données projet'!$B$12,Paramètres!$A$1:$I$89,3,0)*VLOOKUP('Données projet'!$B$12,Paramètres!$A$1:$I$89,5,0)</f>
        <v>106.22976000000003</v>
      </c>
      <c r="CA21" s="13">
        <f t="shared" si="39"/>
        <v>28.440891625171492</v>
      </c>
      <c r="CB21" s="20">
        <f t="shared" si="10"/>
        <v>234.55138491384039</v>
      </c>
      <c r="CC21" s="59">
        <f t="shared" si="11"/>
        <v>513.21805158050711</v>
      </c>
      <c r="CD21" s="59">
        <f ca="1">AVERAGE(OFFSET($CC$3,0,0,'Données projet'!$E$12+1,1))-AVERAGE(OFFSET($H$3,0,0,'Données projet'!$E$12+1,1))</f>
        <v>304.32767345253382</v>
      </c>
      <c r="CE21" s="59">
        <f t="shared" si="40"/>
        <v>427.16091343339173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28.2</v>
      </c>
      <c r="CT21" s="12">
        <f>IF('Données projet'!$A$140&gt;35,CT20+CS21-DB20,IF(A21&lt;'Données projet'!$A$140,$CQ$205^A21,IF(A21='Données projet'!$A$140,'Données projet'!$B$140,CT20+CS21-DB20)))</f>
        <v>246.59999999999997</v>
      </c>
      <c r="CU21" s="17">
        <f>CT21*VLOOKUP('Données projet'!$B$13,Paramètres!$A$1:$I$89,3,0)*VLOOKUP('Données projet'!$B$13,Paramètres!$A$1:$I$89,5,0)</f>
        <v>137.84939999999997</v>
      </c>
      <c r="CV21" s="13">
        <f t="shared" si="41"/>
        <v>35.803890229822542</v>
      </c>
      <c r="CW21" s="20">
        <f t="shared" si="13"/>
        <v>302.44614715027416</v>
      </c>
      <c r="CX21" s="59">
        <f t="shared" si="14"/>
        <v>581.11281381694084</v>
      </c>
      <c r="CY21" s="59">
        <f ca="1">AVERAGE(OFFSET($CX$3,0,0,'Données projet'!$E$13+1,1))-AVERAGE(OFFSET($H$3,0,0,'Données projet'!$E$13+1,1))</f>
        <v>555.15881087162279</v>
      </c>
      <c r="CZ21" s="59">
        <f t="shared" si="42"/>
        <v>668.20427590250733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27</v>
      </c>
      <c r="DO21" s="12">
        <f>IF('Données projet'!$A$166&gt;35,DO20+DN21-DW20,IF(A21&lt;'Données projet'!$A$166,$DL$205^A21,IF(A21='Données projet'!$A$166,'Données projet'!$B$166,DO20+DN21-DW20)))</f>
        <v>177</v>
      </c>
      <c r="DP21" s="17">
        <f>DO21*VLOOKUP('Données projet'!$B$14,Paramètres!$A$1:$I$89,3,0)*VLOOKUP('Données projet'!$B$14,Paramètres!$A$1:$I$89,5,0)</f>
        <v>82.835999999999999</v>
      </c>
      <c r="DQ21" s="13">
        <f t="shared" si="43"/>
        <v>22.829188748646022</v>
      </c>
      <c r="DR21" s="20">
        <f t="shared" si="16"/>
        <v>184.03353707055848</v>
      </c>
      <c r="DS21" s="59">
        <f t="shared" si="17"/>
        <v>462.70020373722514</v>
      </c>
      <c r="DT21" s="59">
        <f ca="1">AVERAGE(OFFSET($DS$3,0,0,'Données projet'!$E$14+1,1))-AVERAGE(OFFSET($H$3,0,0,'Données projet'!$E$14+1,1))</f>
        <v>523.79180230463714</v>
      </c>
      <c r="DU21" s="59">
        <f t="shared" si="44"/>
        <v>459.3547783500515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16</v>
      </c>
      <c r="EJ21" s="12">
        <f>IF('Données projet'!$A$192&gt;35,EJ20+EI21-ER20,IF(A21&lt;'Données projet'!$A$192,$EG$205^A21,IF(A21='Données projet'!$A$192,'Données projet'!$B$192,EJ20+EI21-ER20)))</f>
        <v>91</v>
      </c>
      <c r="EK21" s="17">
        <f>EJ21*VLOOKUP('Données projet'!$B$15,Paramètres!$A$1:$I$89,3,0)*VLOOKUP('Données projet'!$B$15,Paramètres!$A$1:$I$89,5,0)</f>
        <v>88.015200000000007</v>
      </c>
      <c r="EL21" s="13">
        <f t="shared" si="45"/>
        <v>24.085919530575829</v>
      </c>
      <c r="EM21" s="20">
        <f t="shared" si="19"/>
        <v>195.24278318241954</v>
      </c>
      <c r="EN21" s="59">
        <f t="shared" si="20"/>
        <v>473.90944984908623</v>
      </c>
      <c r="EO21" s="59">
        <f ca="1">AVERAGE(OFFSET($EN$3,0,0,'Données projet'!$E$15+1,1))-AVERAGE(OFFSET($H$3,0,0,'Données projet'!$E$15+1,1))</f>
        <v>484.41278617935654</v>
      </c>
      <c r="EP21" s="59">
        <f t="shared" si="46"/>
        <v>467.97490540700738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16</v>
      </c>
      <c r="FE21" s="12">
        <f>IF('Données projet'!$A$218&gt;35,FE20+FD21-FM20,IF(A21&lt;'Données projet'!$A$218,$FB$205^A21,IF(A21='Données projet'!$A$218,'Données projet'!$B$218,FE20+FD21-FM20)))</f>
        <v>91</v>
      </c>
      <c r="FF21" s="17">
        <f>FE21*VLOOKUP('Données projet'!$B$16,Paramètres!$A$1:$I$89,3,0)*VLOOKUP('Données projet'!$B$16,Paramètres!$A$1:$I$89,5,0)</f>
        <v>97.952399999999997</v>
      </c>
      <c r="FG21" s="13">
        <f t="shared" si="47"/>
        <v>26.473599278177087</v>
      </c>
      <c r="FH21" s="20">
        <f t="shared" si="22"/>
        <v>216.70861540949173</v>
      </c>
      <c r="FI21" s="59">
        <f t="shared" si="23"/>
        <v>495.37528207615844</v>
      </c>
      <c r="FJ21" s="59">
        <f ca="1">AVERAGE(OFFSET($FI$3,0,0,'Données projet'!$E$16+1,1))-AVERAGE(OFFSET($H$3,0,0,'Données projet'!$E$16+1,1))</f>
        <v>534.54020133239135</v>
      </c>
      <c r="FK21" s="59">
        <f t="shared" si="48"/>
        <v>515.48696069008815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11.8</v>
      </c>
      <c r="FZ21" s="12">
        <f>IF('Données projet'!$A$244&gt;35,FZ20+FY21-GH20,IF(A21&lt;'Données projet'!$A$244,$FW$205^A21,IF(A21='Données projet'!$A$244,'Données projet'!$B$244,FZ20+FY21-GH20)))</f>
        <v>139.39999999999998</v>
      </c>
      <c r="GA21" s="17">
        <f>FZ21*VLOOKUP('Données projet'!$B$17,Paramètres!$A$1:$I$89,3,0)*VLOOKUP('Données projet'!$B$17,Paramètres!$A$1:$I$89,5,0)</f>
        <v>132.65303999999998</v>
      </c>
      <c r="GB21" s="13">
        <f t="shared" si="49"/>
        <v>34.60867631689176</v>
      </c>
      <c r="GC21" s="20">
        <f t="shared" si="25"/>
        <v>291.31415591858644</v>
      </c>
      <c r="GD21" s="59">
        <f t="shared" si="26"/>
        <v>569.98082258525312</v>
      </c>
      <c r="GE21" s="59">
        <f ca="1">AVERAGE(OFFSET($GD$3,0,0,'Données projet'!$E$17+1,1))-AVERAGE(OFFSET($H$3,0,0,'Données projet'!$E$17+1,1))</f>
        <v>455.71329051283936</v>
      </c>
      <c r="GF21" s="59">
        <f t="shared" si="50"/>
        <v>479.3743231122258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16</v>
      </c>
      <c r="GU21" s="12">
        <f>IF('Données projet'!$A$270&gt;35,GU20+GT21-HC20,IF(A21&lt;'Données projet'!$A$270,$GR$205^A21,IF(A21='Données projet'!$A$270,'Données projet'!$B$270,GU20+GT21-HC20)))</f>
        <v>91</v>
      </c>
      <c r="GV21" s="17">
        <f>GU21*VLOOKUP('Données projet'!$B$18,Paramètres!$A$1:$I$89,3,0)*VLOOKUP('Données projet'!$B$18,Paramètres!$A$1:$I$89,5,0)</f>
        <v>73.819200000000009</v>
      </c>
      <c r="GW21" s="13">
        <f t="shared" si="51"/>
        <v>20.618947302373467</v>
      </c>
      <c r="GX21" s="20">
        <f t="shared" si="28"/>
        <v>164.47977321830047</v>
      </c>
      <c r="GY21" s="59">
        <f t="shared" si="29"/>
        <v>443.14643988496715</v>
      </c>
      <c r="GZ21" s="59">
        <f ca="1">AVERAGE(OFFSET($GY$3,0,0,'Données projet'!$E$18+1,1))-AVERAGE(OFFSET($H$3,0,0,'Données projet'!$E$18+1,1))</f>
        <v>412.59676769258488</v>
      </c>
      <c r="HA21" s="59">
        <f t="shared" si="52"/>
        <v>399.90063795152133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3.65</v>
      </c>
      <c r="N22" s="13">
        <f>IF('Données projet'!$A$36&gt;35,N21+M22-V21,IF(A22&lt;'Données projet'!$A$36,$K$205^A22,IF(A22='Données projet'!$A$36,'Données projet'!$B$36,N21+M22-V21)))</f>
        <v>58.90561805764559</v>
      </c>
      <c r="O22" s="13">
        <f>N22*VLOOKUP('Données projet'!$B$9,Paramètres!$A$1:$I$89,3,0)*VLOOKUP('Données projet'!$B$9,Paramètres!$A$1:$I$89,5,0)</f>
        <v>53.297803218557732</v>
      </c>
      <c r="P22" s="13">
        <f t="shared" si="33"/>
        <v>15.462240012873817</v>
      </c>
      <c r="Q22" s="20">
        <f t="shared" si="2"/>
        <v>119.75707529474329</v>
      </c>
      <c r="R22" s="59">
        <f t="shared" si="0"/>
        <v>399.64596418363215</v>
      </c>
      <c r="S22" s="59">
        <f ca="1">AVERAGE(OFFSET($R$3,0,0,'Données projet'!$E$9+1,1))-AVERAGE(OFFSET($H$3,0,0,'Données projet'!$E$9+1,1))</f>
        <v>439.19854273764042</v>
      </c>
      <c r="T22" s="59">
        <f t="shared" si="34"/>
        <v>278.21741231699929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3.65</v>
      </c>
      <c r="AI22" s="13">
        <f>IF('Données projet'!$A$62&gt;35,AI21+AH22-AQ21,IF(A22&lt;'Données projet'!$A$62,$AF$205^A22,IF(A22='Données projet'!$A$62,'Données projet'!$B$62,AI21+AH22-AQ21)))</f>
        <v>58.90561805764559</v>
      </c>
      <c r="AJ22" s="13">
        <f>AI22*VLOOKUP('Données projet'!$B$10,Paramètres!$A$1:$I$89,3,0)*VLOOKUP('Données projet'!$B$10,Paramètres!$A$1:$I$89,5,0)</f>
        <v>59.730296710452635</v>
      </c>
      <c r="AK22" s="13">
        <f t="shared" si="35"/>
        <v>17.100061689857345</v>
      </c>
      <c r="AL22" s="20">
        <f t="shared" si="4"/>
        <v>133.81287421387319</v>
      </c>
      <c r="AM22" s="59">
        <f t="shared" si="5"/>
        <v>413.70176310276202</v>
      </c>
      <c r="AN22" s="59">
        <f ca="1">AVERAGE(OFFSET($AM$3,0,0,'Données projet'!$E$10+1,1))-AVERAGE(OFFSET($H$3,0,0,'Données projet'!$E$10+1,1))</f>
        <v>487.18832528146936</v>
      </c>
      <c r="AO22" s="59">
        <f t="shared" si="36"/>
        <v>306.61893266146666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15.4</v>
      </c>
      <c r="BD22" s="12">
        <f>IF('Données projet'!$A$88&gt;35,BD21+BC22-BL21,IF(A22&lt;'Données projet'!$A$88,$BA$205^A22,IF(A22='Données projet'!$A$88,'Données projet'!$B$88,BD21+BC22-BL21)))</f>
        <v>201.60000000000002</v>
      </c>
      <c r="BE22" s="13">
        <f>BD22*VLOOKUP('Données projet'!$B$11,Paramètres!$A$1:$I$89,3,0)*VLOOKUP('Données projet'!$B$11,Paramètres!$A$1:$I$89,5,0)</f>
        <v>182.40768000000003</v>
      </c>
      <c r="BF22" s="13">
        <f t="shared" si="37"/>
        <v>45.857435663065921</v>
      </c>
      <c r="BG22" s="20">
        <f t="shared" si="7"/>
        <v>397.56174311317318</v>
      </c>
      <c r="BH22" s="59">
        <f t="shared" si="8"/>
        <v>677.45063200206209</v>
      </c>
      <c r="BI22" s="59">
        <f ca="1">AVERAGE(OFFSET($BH$3,0,0,'Données projet'!$E$11+1,1))-AVERAGE(OFFSET($H$3,0,0,'Données projet'!$E$11+1,1))</f>
        <v>436.23918637269577</v>
      </c>
      <c r="BJ22" s="59">
        <f t="shared" si="38"/>
        <v>611.43967996341894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16.2</v>
      </c>
      <c r="BY22" s="12">
        <f>IF('Données projet'!$A$114&gt;35,BY21+BX22-CG21,IF(A22&lt;'Données projet'!$A$114,$BV$205^A22,IF(A22='Données projet'!$A$114,'Données projet'!$B$114,BY21+BX22-CG21)))</f>
        <v>137.80000000000001</v>
      </c>
      <c r="BZ22" s="13">
        <f>BY22*VLOOKUP('Données projet'!$B$12,Paramètres!$A$1:$I$89,3,0)*VLOOKUP('Données projet'!$B$12,Paramètres!$A$1:$I$89,5,0)</f>
        <v>120.38208000000003</v>
      </c>
      <c r="CA22" s="13">
        <f t="shared" si="39"/>
        <v>31.76409668560358</v>
      </c>
      <c r="CB22" s="20">
        <f t="shared" si="10"/>
        <v>264.98792439409294</v>
      </c>
      <c r="CC22" s="59">
        <f t="shared" si="11"/>
        <v>544.87681328298186</v>
      </c>
      <c r="CD22" s="59">
        <f ca="1">AVERAGE(OFFSET($CC$3,0,0,'Données projet'!$E$12+1,1))-AVERAGE(OFFSET($H$3,0,0,'Données projet'!$E$12+1,1))</f>
        <v>304.32767345253382</v>
      </c>
      <c r="CE22" s="59">
        <f t="shared" si="40"/>
        <v>427.16091343339173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28.2</v>
      </c>
      <c r="CT22" s="12">
        <f>IF('Données projet'!$A$140&gt;35,CT21+CS22-DB21,IF(A22&lt;'Données projet'!$A$140,$CQ$205^A22,IF(A22='Données projet'!$A$140,'Données projet'!$B$140,CT21+CS22-DB21)))</f>
        <v>274.79999999999995</v>
      </c>
      <c r="CU22" s="17">
        <f>CT22*VLOOKUP('Données projet'!$B$13,Paramètres!$A$1:$I$89,3,0)*VLOOKUP('Données projet'!$B$13,Paramètres!$A$1:$I$89,5,0)</f>
        <v>153.61319999999998</v>
      </c>
      <c r="CV22" s="13">
        <f t="shared" si="41"/>
        <v>39.398557339898318</v>
      </c>
      <c r="CW22" s="20">
        <f t="shared" si="13"/>
        <v>336.16214403365615</v>
      </c>
      <c r="CX22" s="59">
        <f t="shared" si="14"/>
        <v>616.05103292254501</v>
      </c>
      <c r="CY22" s="59">
        <f ca="1">AVERAGE(OFFSET($CX$3,0,0,'Données projet'!$E$13+1,1))-AVERAGE(OFFSET($H$3,0,0,'Données projet'!$E$13+1,1))</f>
        <v>555.15881087162279</v>
      </c>
      <c r="CZ22" s="59">
        <f t="shared" si="42"/>
        <v>668.20427590250733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27</v>
      </c>
      <c r="DO22" s="12">
        <f>IF('Données projet'!$A$166&gt;35,DO21+DN22-DW21,IF(A22&lt;'Données projet'!$A$166,$DL$205^A22,IF(A22='Données projet'!$A$166,'Données projet'!$B$166,DO21+DN22-DW21)))</f>
        <v>204</v>
      </c>
      <c r="DP22" s="17">
        <f>DO22*VLOOKUP('Données projet'!$B$14,Paramètres!$A$1:$I$89,3,0)*VLOOKUP('Données projet'!$B$14,Paramètres!$A$1:$I$89,5,0)</f>
        <v>95.471999999999994</v>
      </c>
      <c r="DQ22" s="13">
        <f t="shared" si="43"/>
        <v>25.880372123231169</v>
      </c>
      <c r="DR22" s="20">
        <f t="shared" si="16"/>
        <v>211.35538144796092</v>
      </c>
      <c r="DS22" s="59">
        <f t="shared" si="17"/>
        <v>491.24427033684981</v>
      </c>
      <c r="DT22" s="59">
        <f ca="1">AVERAGE(OFFSET($DS$3,0,0,'Données projet'!$E$14+1,1))-AVERAGE(OFFSET($H$3,0,0,'Données projet'!$E$14+1,1))</f>
        <v>523.79180230463714</v>
      </c>
      <c r="DU22" s="59">
        <f t="shared" si="44"/>
        <v>459.3547783500515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16</v>
      </c>
      <c r="EJ22" s="12">
        <f>IF('Données projet'!$A$192&gt;35,EJ21+EI22-ER21,IF(A22&lt;'Données projet'!$A$192,$EG$205^A22,IF(A22='Données projet'!$A$192,'Données projet'!$B$192,EJ21+EI22-ER21)))</f>
        <v>107</v>
      </c>
      <c r="EK22" s="17">
        <f>EJ22*VLOOKUP('Données projet'!$B$15,Paramètres!$A$1:$I$89,3,0)*VLOOKUP('Données projet'!$B$15,Paramètres!$A$1:$I$89,5,0)</f>
        <v>103.49040000000001</v>
      </c>
      <c r="EL22" s="13">
        <f t="shared" si="45"/>
        <v>27.791869560921153</v>
      </c>
      <c r="EM22" s="20">
        <f t="shared" si="19"/>
        <v>228.64995281860433</v>
      </c>
      <c r="EN22" s="59">
        <f t="shared" si="20"/>
        <v>508.53884170749319</v>
      </c>
      <c r="EO22" s="59">
        <f ca="1">AVERAGE(OFFSET($EN$3,0,0,'Données projet'!$E$15+1,1))-AVERAGE(OFFSET($H$3,0,0,'Données projet'!$E$15+1,1))</f>
        <v>484.41278617935654</v>
      </c>
      <c r="EP22" s="59">
        <f t="shared" si="46"/>
        <v>467.97490540700738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16</v>
      </c>
      <c r="FE22" s="12">
        <f>IF('Données projet'!$A$218&gt;35,FE21+FD22-FM21,IF(A22&lt;'Données projet'!$A$218,$FB$205^A22,IF(A22='Données projet'!$A$218,'Données projet'!$B$218,FE21+FD22-FM21)))</f>
        <v>107</v>
      </c>
      <c r="FF22" s="17">
        <f>FE22*VLOOKUP('Données projet'!$B$16,Paramètres!$A$1:$I$89,3,0)*VLOOKUP('Données projet'!$B$16,Paramètres!$A$1:$I$89,5,0)</f>
        <v>115.1748</v>
      </c>
      <c r="FG22" s="13">
        <f t="shared" si="47"/>
        <v>30.546926681092497</v>
      </c>
      <c r="FH22" s="20">
        <f t="shared" si="22"/>
        <v>253.79867396956942</v>
      </c>
      <c r="FI22" s="59">
        <f t="shared" si="23"/>
        <v>533.68756285845825</v>
      </c>
      <c r="FJ22" s="59">
        <f ca="1">AVERAGE(OFFSET($FI$3,0,0,'Données projet'!$E$16+1,1))-AVERAGE(OFFSET($H$3,0,0,'Données projet'!$E$16+1,1))</f>
        <v>534.54020133239135</v>
      </c>
      <c r="FK22" s="59">
        <f t="shared" si="48"/>
        <v>515.48696069008815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11.8</v>
      </c>
      <c r="FZ22" s="12">
        <f>IF('Données projet'!$A$244&gt;35,FZ21+FY22-GH21,IF(A22&lt;'Données projet'!$A$244,$FW$205^A22,IF(A22='Données projet'!$A$244,'Données projet'!$B$244,FZ21+FY22-GH21)))</f>
        <v>151.19999999999999</v>
      </c>
      <c r="GA22" s="17">
        <f>FZ22*VLOOKUP('Données projet'!$B$17,Paramètres!$A$1:$I$89,3,0)*VLOOKUP('Données projet'!$B$17,Paramètres!$A$1:$I$89,5,0)</f>
        <v>143.88191999999998</v>
      </c>
      <c r="GB22" s="13">
        <f t="shared" si="49"/>
        <v>37.184878335388632</v>
      </c>
      <c r="GC22" s="20">
        <f t="shared" si="25"/>
        <v>315.35800710080184</v>
      </c>
      <c r="GD22" s="59">
        <f t="shared" si="26"/>
        <v>595.24689598969076</v>
      </c>
      <c r="GE22" s="59">
        <f ca="1">AVERAGE(OFFSET($GD$3,0,0,'Données projet'!$E$17+1,1))-AVERAGE(OFFSET($H$3,0,0,'Données projet'!$E$17+1,1))</f>
        <v>455.71329051283936</v>
      </c>
      <c r="GF22" s="59">
        <f t="shared" si="50"/>
        <v>479.3743231122258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16</v>
      </c>
      <c r="GU22" s="12">
        <f>IF('Données projet'!$A$270&gt;35,GU21+GT22-HC21,IF(A22&lt;'Données projet'!$A$270,$GR$205^A22,IF(A22='Données projet'!$A$270,'Données projet'!$B$270,GU21+GT22-HC21)))</f>
        <v>107</v>
      </c>
      <c r="GV22" s="17">
        <f>GU22*VLOOKUP('Données projet'!$B$18,Paramètres!$A$1:$I$89,3,0)*VLOOKUP('Données projet'!$B$18,Paramètres!$A$1:$I$89,5,0)</f>
        <v>86.798400000000001</v>
      </c>
      <c r="GW22" s="13">
        <f t="shared" si="51"/>
        <v>23.791455965948352</v>
      </c>
      <c r="GX22" s="20">
        <f t="shared" si="28"/>
        <v>192.61066580735999</v>
      </c>
      <c r="GY22" s="59">
        <f t="shared" si="29"/>
        <v>472.49955469624888</v>
      </c>
      <c r="GZ22" s="59">
        <f ca="1">AVERAGE(OFFSET($GY$3,0,0,'Données projet'!$E$18+1,1))-AVERAGE(OFFSET($H$3,0,0,'Données projet'!$E$18+1,1))</f>
        <v>412.59676769258488</v>
      </c>
      <c r="HA22" s="59">
        <f t="shared" si="52"/>
        <v>399.90063795152133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73</v>
      </c>
      <c r="L23" s="12">
        <f>VLOOKUP(A23,'Données projet'!$A$35:$I$55,9,0)</f>
        <v>3.65</v>
      </c>
      <c r="M23" s="12">
        <f t="array" ref="M23">INDEX(L:L,MIN(IF(ISNUMBER(L23:L219),ROW(L23:L219),"")))</f>
        <v>3.65</v>
      </c>
      <c r="N23" s="13">
        <f>IF('Données projet'!$A$36&gt;35,N22+M23-V22,IF(A23&lt;'Données projet'!$A$36,$K$205^A23,IF(A23='Données projet'!$A$36,'Données projet'!$B$36,N22+M23-V22)))</f>
        <v>73</v>
      </c>
      <c r="O23" s="13">
        <f>N23*VLOOKUP('Données projet'!$B$9,Paramètres!$A$1:$I$89,3,0)*VLOOKUP('Données projet'!$B$9,Paramètres!$A$1:$I$89,5,0)</f>
        <v>66.050399999999996</v>
      </c>
      <c r="P23" s="13">
        <f t="shared" si="33"/>
        <v>18.689342126897891</v>
      </c>
      <c r="Q23" s="20">
        <f t="shared" si="2"/>
        <v>147.58838420434714</v>
      </c>
      <c r="R23" s="59">
        <f t="shared" si="0"/>
        <v>428.69949531545831</v>
      </c>
      <c r="S23" s="59">
        <f ca="1">AVERAGE(OFFSET($R$3,0,0,'Données projet'!$E$9+1,1))-AVERAGE(OFFSET($H$3,0,0,'Données projet'!$E$9+1,1))</f>
        <v>439.19854273764042</v>
      </c>
      <c r="T23" s="59">
        <f t="shared" si="34"/>
        <v>278.21741231699929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6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73</v>
      </c>
      <c r="AG23" s="12">
        <f>VLOOKUP(A23,'Données projet'!$A$61:$I$81,9,0)</f>
        <v>3.65</v>
      </c>
      <c r="AH23" s="12">
        <f t="array" ref="AH23">INDEX(AG:AG,MIN(IF(ISNUMBER(AG23:AG219),ROW(AG23:AG219),"")))</f>
        <v>3.65</v>
      </c>
      <c r="AI23" s="13">
        <f>IF('Données projet'!$A$62&gt;35,AI22+AH23-AQ22,IF(A23&lt;'Données projet'!$A$62,$AF$205^A23,IF(A23='Données projet'!$A$62,'Données projet'!$B$62,AI22+AH23-AQ22)))</f>
        <v>73</v>
      </c>
      <c r="AJ23" s="13">
        <f>AI23*VLOOKUP('Données projet'!$B$10,Paramètres!$A$1:$I$89,3,0)*VLOOKUP('Données projet'!$B$10,Paramètres!$A$1:$I$89,5,0)</f>
        <v>74.022000000000006</v>
      </c>
      <c r="AK23" s="13">
        <f t="shared" si="35"/>
        <v>20.668991235856851</v>
      </c>
      <c r="AL23" s="20">
        <f t="shared" si="4"/>
        <v>164.92014306911736</v>
      </c>
      <c r="AM23" s="59">
        <f t="shared" si="5"/>
        <v>446.03125418022853</v>
      </c>
      <c r="AN23" s="59">
        <f ca="1">AVERAGE(OFFSET($AM$3,0,0,'Données projet'!$E$10+1,1))-AVERAGE(OFFSET($H$3,0,0,'Données projet'!$E$10+1,1))</f>
        <v>487.18832528146936</v>
      </c>
      <c r="AO23" s="59">
        <f t="shared" si="36"/>
        <v>306.61893266146666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217</v>
      </c>
      <c r="BB23" s="12">
        <f>VLOOKUP(A23,'Données projet'!$A$87:$I$107,9,0)</f>
        <v>15.4</v>
      </c>
      <c r="BC23" s="12">
        <f t="array" ref="BC23">INDEX(BB:BB,MIN(IF(ISNUMBER(BB23:BB219),ROW(BB23:BB219),"")))</f>
        <v>15.4</v>
      </c>
      <c r="BD23" s="12">
        <f>IF('Données projet'!$A$88&gt;35,BD22+BC23-BL22,IF(A23&lt;'Données projet'!$A$88,$BA$205^A23,IF(A23='Données projet'!$A$88,'Données projet'!$B$88,BD22+BC23-BL22)))</f>
        <v>217.00000000000003</v>
      </c>
      <c r="BE23" s="13">
        <f>BD23*VLOOKUP('Données projet'!$B$11,Paramètres!$A$1:$I$89,3,0)*VLOOKUP('Données projet'!$B$11,Paramètres!$A$1:$I$89,5,0)</f>
        <v>196.34160000000003</v>
      </c>
      <c r="BF23" s="13">
        <f t="shared" si="37"/>
        <v>48.939300310809159</v>
      </c>
      <c r="BG23" s="20">
        <f t="shared" si="7"/>
        <v>427.19756804132595</v>
      </c>
      <c r="BH23" s="59">
        <f t="shared" si="8"/>
        <v>708.30867915243709</v>
      </c>
      <c r="BI23" s="59">
        <f ca="1">AVERAGE(OFFSET($BH$3,0,0,'Données projet'!$E$11+1,1))-AVERAGE(OFFSET($H$3,0,0,'Données projet'!$E$11+1,1))</f>
        <v>436.23918637269577</v>
      </c>
      <c r="BJ23" s="59">
        <f t="shared" si="38"/>
        <v>611.43967996341894</v>
      </c>
      <c r="BK23" s="15">
        <f>IF(ISNA(VLOOKUP(A23,'Données projet'!$A$87:$I$107,3,0)),0,VLOOKUP(A23,'Données projet'!$A$87:$I$107,3,0))</f>
        <v>4</v>
      </c>
      <c r="BL23" s="15">
        <f>IF(ISNA(VLOOKUP(A23,'Données projet'!$A$87:$I$107,4,0)),0,VLOOKUP(A23,'Données projet'!$A$87:$I$107,4,0))</f>
        <v>23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154</v>
      </c>
      <c r="BW23" s="12">
        <f>VLOOKUP(A23,'Données projet'!$A$113:$I$133,9,0)</f>
        <v>16.2</v>
      </c>
      <c r="BX23" s="12">
        <f t="array" ref="BX23">INDEX(BW:BW,MIN(IF(ISNUMBER(BW23:BW219),ROW(BW23:BW219),"")))</f>
        <v>16.2</v>
      </c>
      <c r="BY23" s="12">
        <f>IF('Données projet'!$A$114&gt;35,BY22+BX23-CG22,IF(A23&lt;'Données projet'!$A$114,$BV$205^A23,IF(A23='Données projet'!$A$114,'Données projet'!$B$114,BY22+BX23-CG22)))</f>
        <v>154</v>
      </c>
      <c r="BZ23" s="13">
        <f>BY23*VLOOKUP('Données projet'!$B$12,Paramètres!$A$1:$I$89,3,0)*VLOOKUP('Données projet'!$B$12,Paramètres!$A$1:$I$89,5,0)</f>
        <v>134.53440000000001</v>
      </c>
      <c r="CA23" s="13">
        <f t="shared" si="39"/>
        <v>35.042026165482234</v>
      </c>
      <c r="CB23" s="20">
        <f t="shared" si="10"/>
        <v>295.34560890488154</v>
      </c>
      <c r="CC23" s="59">
        <f t="shared" si="11"/>
        <v>576.45672001599269</v>
      </c>
      <c r="CD23" s="59">
        <f ca="1">AVERAGE(OFFSET($CC$3,0,0,'Données projet'!$E$12+1,1))-AVERAGE(OFFSET($H$3,0,0,'Données projet'!$E$12+1,1))</f>
        <v>304.32767345253382</v>
      </c>
      <c r="CE23" s="59">
        <f t="shared" si="40"/>
        <v>427.16091343339173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50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303</v>
      </c>
      <c r="CR23" s="12">
        <f>VLOOKUP(A23,'Données projet'!$A$139:$I$159,9,0)</f>
        <v>28.2</v>
      </c>
      <c r="CS23" s="12">
        <f t="array" ref="CS23">INDEX(CR:CR,MIN(IF(ISNUMBER(CR23:CR219),ROW(CR23:CR219),"")))</f>
        <v>28.2</v>
      </c>
      <c r="CT23" s="12">
        <f>IF('Données projet'!$A$140&gt;35,CT22+CS23-DB22,IF(A23&lt;'Données projet'!$A$140,$CQ$205^A23,IF(A23='Données projet'!$A$140,'Données projet'!$B$140,CT22+CS23-DB22)))</f>
        <v>302.99999999999994</v>
      </c>
      <c r="CU23" s="17">
        <f>CT23*VLOOKUP('Données projet'!$B$13,Paramètres!$A$1:$I$89,3,0)*VLOOKUP('Données projet'!$B$13,Paramètres!$A$1:$I$89,5,0)</f>
        <v>169.37699999999995</v>
      </c>
      <c r="CV23" s="13">
        <f t="shared" si="41"/>
        <v>42.950462509094685</v>
      </c>
      <c r="CW23" s="20">
        <f t="shared" si="13"/>
        <v>369.80366387000646</v>
      </c>
      <c r="CX23" s="59">
        <f t="shared" si="14"/>
        <v>650.9147749811176</v>
      </c>
      <c r="CY23" s="59">
        <f ca="1">AVERAGE(OFFSET($CX$3,0,0,'Données projet'!$E$13+1,1))-AVERAGE(OFFSET($H$3,0,0,'Données projet'!$E$13+1,1))</f>
        <v>555.15881087162279</v>
      </c>
      <c r="CZ23" s="59">
        <f t="shared" si="42"/>
        <v>668.20427590250733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43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1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27.215467735643657</v>
      </c>
      <c r="DI23" s="22">
        <f t="shared" si="15"/>
        <v>27.215467735643657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231</v>
      </c>
      <c r="DM23" s="12">
        <f>VLOOKUP(A23,'Données projet'!$A$165:$I$185,9,0)</f>
        <v>27</v>
      </c>
      <c r="DN23" s="12">
        <f t="array" ref="DN23">INDEX(DM:DM,MIN(IF(ISNUMBER(DM23:DM219),ROW(DM23:DM219),"")))</f>
        <v>27</v>
      </c>
      <c r="DO23" s="12">
        <f>IF('Données projet'!$A$166&gt;35,DO22+DN23-DW22,IF(A23&lt;'Données projet'!$A$166,$DL$205^A23,IF(A23='Données projet'!$A$166,'Données projet'!$B$166,DO22+DN23-DW22)))</f>
        <v>231</v>
      </c>
      <c r="DP23" s="17">
        <f>DO23*VLOOKUP('Données projet'!$B$14,Paramètres!$A$1:$I$89,3,0)*VLOOKUP('Données projet'!$B$14,Paramètres!$A$1:$I$89,5,0)</f>
        <v>108.108</v>
      </c>
      <c r="DQ23" s="13">
        <f t="shared" si="43"/>
        <v>28.884765499467161</v>
      </c>
      <c r="DR23" s="20">
        <f t="shared" si="16"/>
        <v>238.59573324490532</v>
      </c>
      <c r="DS23" s="59">
        <f t="shared" si="17"/>
        <v>519.70684435601652</v>
      </c>
      <c r="DT23" s="59">
        <f ca="1">AVERAGE(OFFSET($DS$3,0,0,'Données projet'!$E$14+1,1))-AVERAGE(OFFSET($H$3,0,0,'Données projet'!$E$14+1,1))</f>
        <v>523.79180230463714</v>
      </c>
      <c r="DU23" s="59">
        <f t="shared" si="44"/>
        <v>459.3547783500515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72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1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38.151699497451787</v>
      </c>
      <c r="ED23" s="22">
        <f t="shared" si="18"/>
        <v>38.151699497451787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123</v>
      </c>
      <c r="EH23" s="12">
        <f>VLOOKUP(A23,'Données projet'!$A$191:$I$211,9,0)</f>
        <v>16</v>
      </c>
      <c r="EI23" s="12">
        <f t="array" ref="EI23">INDEX(EH:EH,MIN(IF(ISNUMBER(EH23:EH219),ROW(EH23:EH219),"")))</f>
        <v>16</v>
      </c>
      <c r="EJ23" s="12">
        <f>IF('Données projet'!$A$192&gt;35,EJ22+EI23-ER22,IF(A23&lt;'Données projet'!$A$192,$EG$205^A23,IF(A23='Données projet'!$A$192,'Données projet'!$B$192,EJ22+EI23-ER22)))</f>
        <v>123</v>
      </c>
      <c r="EK23" s="17">
        <f>EJ23*VLOOKUP('Données projet'!$B$15,Paramètres!$A$1:$I$89,3,0)*VLOOKUP('Données projet'!$B$15,Paramètres!$A$1:$I$89,5,0)</f>
        <v>118.96560000000001</v>
      </c>
      <c r="EL23" s="13">
        <f t="shared" si="45"/>
        <v>31.433621056182272</v>
      </c>
      <c r="EM23" s="20">
        <f t="shared" si="19"/>
        <v>261.94531000618412</v>
      </c>
      <c r="EN23" s="59">
        <f t="shared" si="20"/>
        <v>543.05642111729526</v>
      </c>
      <c r="EO23" s="59">
        <f ca="1">AVERAGE(OFFSET($EN$3,0,0,'Données projet'!$E$15+1,1))-AVERAGE(OFFSET($H$3,0,0,'Données projet'!$E$15+1,1))</f>
        <v>484.41278617935654</v>
      </c>
      <c r="EP23" s="59">
        <f t="shared" si="46"/>
        <v>467.97490540700738</v>
      </c>
      <c r="EQ23" s="15">
        <f>IF(ISNA(VLOOKUP(A23,'Données projet'!$A$191:$I$211,3,0)),0,VLOOKUP(A23,'Données projet'!$A$191:$I$211,3,0))</f>
        <v>3</v>
      </c>
      <c r="ER23" s="15">
        <f>IF(ISNA(VLOOKUP(A23,'Données projet'!$A$191:$I$211,4,0)),0,VLOOKUP(A23,'Données projet'!$A$191:$I$211,4,0))</f>
        <v>42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123</v>
      </c>
      <c r="FC23" s="12">
        <f>VLOOKUP(A23,'Données projet'!$A$217:$I$237,9,0)</f>
        <v>16</v>
      </c>
      <c r="FD23" s="12">
        <f t="array" ref="FD23">INDEX(FC:FC,MIN(IF(ISNUMBER(FC23:FC219),ROW(FC23:FC219),"")))</f>
        <v>16</v>
      </c>
      <c r="FE23" s="12">
        <f>IF('Données projet'!$A$218&gt;35,FE22+FD23-FM22,IF(A23&lt;'Données projet'!$A$218,$FB$205^A23,IF(A23='Données projet'!$A$218,'Données projet'!$B$218,FE22+FD23-FM22)))</f>
        <v>123</v>
      </c>
      <c r="FF23" s="17">
        <f>FE23*VLOOKUP('Données projet'!$B$16,Paramètres!$A$1:$I$89,3,0)*VLOOKUP('Données projet'!$B$16,Paramètres!$A$1:$I$89,5,0)</f>
        <v>132.3972</v>
      </c>
      <c r="FG23" s="13">
        <f t="shared" si="47"/>
        <v>34.549691434742741</v>
      </c>
      <c r="FH23" s="20">
        <f t="shared" si="22"/>
        <v>290.76583591551019</v>
      </c>
      <c r="FI23" s="59">
        <f t="shared" si="23"/>
        <v>571.87694702662134</v>
      </c>
      <c r="FJ23" s="59">
        <f ca="1">AVERAGE(OFFSET($FI$3,0,0,'Données projet'!$E$16+1,1))-AVERAGE(OFFSET($H$3,0,0,'Données projet'!$E$16+1,1))</f>
        <v>534.54020133239135</v>
      </c>
      <c r="FK23" s="59">
        <f t="shared" si="48"/>
        <v>515.48696069008815</v>
      </c>
      <c r="FL23" s="15">
        <f>IF(ISNA(VLOOKUP(A23,'Données projet'!$A$217:$I$237,3,0)),0,VLOOKUP(A23,'Données projet'!$A$217:$I$237,3,0))</f>
        <v>3</v>
      </c>
      <c r="FM23" s="15">
        <f>IF(ISNA(VLOOKUP(A23,'Données projet'!$A$217:$I$237,4,0)),0,VLOOKUP(A23,'Données projet'!$A$217:$I$237,4,0))</f>
        <v>42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>
        <f>VLOOKUP(A23,'Données projet'!$A$243:$I$263,2,0)</f>
        <v>163</v>
      </c>
      <c r="FX23" s="12">
        <f>VLOOKUP(A23,'Données projet'!$A$243:$I$263,9,0)</f>
        <v>11.8</v>
      </c>
      <c r="FY23" s="12">
        <f t="array" ref="FY23">INDEX(FX:FX,MIN(IF(ISNUMBER(FX23:FX219),ROW(FX23:FX219),"")))</f>
        <v>11.8</v>
      </c>
      <c r="FZ23" s="12">
        <f>IF('Données projet'!$A$244&gt;35,FZ22+FY23-GH22,IF(A23&lt;'Données projet'!$A$244,$FW$205^A23,IF(A23='Données projet'!$A$244,'Données projet'!$B$244,FZ22+FY23-GH22)))</f>
        <v>163</v>
      </c>
      <c r="GA23" s="17">
        <f>FZ23*VLOOKUP('Données projet'!$B$17,Paramètres!$A$1:$I$89,3,0)*VLOOKUP('Données projet'!$B$17,Paramètres!$A$1:$I$89,5,0)</f>
        <v>155.11079999999998</v>
      </c>
      <c r="GB23" s="13">
        <f t="shared" si="49"/>
        <v>39.737758807485029</v>
      </c>
      <c r="GC23" s="20">
        <f t="shared" si="25"/>
        <v>339.36123992303641</v>
      </c>
      <c r="GD23" s="59">
        <f t="shared" si="26"/>
        <v>620.47235103414755</v>
      </c>
      <c r="GE23" s="59">
        <f ca="1">AVERAGE(OFFSET($GD$3,0,0,'Données projet'!$E$17+1,1))-AVERAGE(OFFSET($H$3,0,0,'Données projet'!$E$17+1,1))</f>
        <v>455.71329051283936</v>
      </c>
      <c r="GF23" s="59">
        <f t="shared" si="50"/>
        <v>479.3743231122258</v>
      </c>
      <c r="GG23" s="15">
        <f>IF(ISNA(VLOOKUP(A23,'Données projet'!$A$243:$I$263,3,0)),0,VLOOKUP(A23,'Données projet'!$A$243:$I$263,3,0))</f>
        <v>3</v>
      </c>
      <c r="GH23" s="15">
        <f>IF(ISNA(VLOOKUP(A23,'Données projet'!$A$243:$I$263,4,0)),0,VLOOKUP(A23,'Données projet'!$A$243:$I$263,4,0))</f>
        <v>23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>
        <f>VLOOKUP(A23,'Données projet'!$A$269:$I$289,2,0)</f>
        <v>123</v>
      </c>
      <c r="GS23" s="12">
        <f>VLOOKUP(A23,'Données projet'!$A$269:$I$289,9,0)</f>
        <v>16</v>
      </c>
      <c r="GT23" s="12">
        <f t="array" ref="GT23">INDEX(GS:GS,MIN(IF(ISNUMBER(GS23:GS219),ROW(GS23:GS219),"")))</f>
        <v>16</v>
      </c>
      <c r="GU23" s="12">
        <f>IF('Données projet'!$A$270&gt;35,GU22+GT23-HC22,IF(A23&lt;'Données projet'!$A$270,$GR$205^A23,IF(A23='Données projet'!$A$270,'Données projet'!$B$270,GU22+GT23-HC22)))</f>
        <v>123</v>
      </c>
      <c r="GV23" s="17">
        <f>GU23*VLOOKUP('Données projet'!$B$18,Paramètres!$A$1:$I$89,3,0)*VLOOKUP('Données projet'!$B$18,Paramètres!$A$1:$I$89,5,0)</f>
        <v>99.777600000000007</v>
      </c>
      <c r="GW23" s="13">
        <f t="shared" si="51"/>
        <v>26.909006951444532</v>
      </c>
      <c r="GX23" s="20">
        <f t="shared" si="28"/>
        <v>220.64584044043252</v>
      </c>
      <c r="GY23" s="59">
        <f t="shared" si="29"/>
        <v>501.75695155154369</v>
      </c>
      <c r="GZ23" s="59">
        <f ca="1">AVERAGE(OFFSET($GY$3,0,0,'Données projet'!$E$18+1,1))-AVERAGE(OFFSET($H$3,0,0,'Données projet'!$E$18+1,1))</f>
        <v>412.59676769258488</v>
      </c>
      <c r="HA23" s="59">
        <f t="shared" si="52"/>
        <v>399.90063795152133</v>
      </c>
      <c r="HB23" s="15">
        <f>IF(ISNA(VLOOKUP(A23,'Données projet'!$A$269:$I$289,3,0)),0,VLOOKUP(A23,'Données projet'!$A$269:$I$289,3,0))</f>
        <v>3</v>
      </c>
      <c r="HC23" s="15">
        <f>IF(ISNA(VLOOKUP(A23,'Données projet'!$A$269:$I$289,4,0)),0,VLOOKUP(A23,'Données projet'!$A$269:$I$289,4,0))</f>
        <v>42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0</v>
      </c>
      <c r="HI23" s="21">
        <f>EXP(-LN(2)/2)*HI22+(1-EXP(-LN(2)/2))/(LN(2)/2)*HC23*HF23*VLOOKUP('Données projet'!$B$18,Paramètres!$A$1:$I$89,3,0)*0.475*44/12</f>
        <v>0</v>
      </c>
      <c r="HJ23" s="22">
        <f t="shared" si="30"/>
        <v>0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7.2</v>
      </c>
      <c r="N24" s="13">
        <f>IF('Données projet'!$A$36&gt;35,N23+M24-V23,IF(A24&lt;'Données projet'!$A$36,$K$205^A24,IF(A24='Données projet'!$A$36,'Données projet'!$B$36,N23+M24-V23)))</f>
        <v>74.2</v>
      </c>
      <c r="O24" s="13">
        <f>N24*VLOOKUP('Données projet'!$B$9,Paramètres!$A$1:$I$89,3,0)*VLOOKUP('Données projet'!$B$9,Paramètres!$A$1:$I$89,5,0)</f>
        <v>67.136160000000004</v>
      </c>
      <c r="P24" s="13">
        <f t="shared" si="33"/>
        <v>18.960545405756019</v>
      </c>
      <c r="Q24" s="20">
        <f t="shared" si="2"/>
        <v>149.95176191502506</v>
      </c>
      <c r="R24" s="59">
        <f t="shared" si="0"/>
        <v>432.2850952483584</v>
      </c>
      <c r="S24" s="59">
        <f ca="1">AVERAGE(OFFSET($R$3,0,0,'Données projet'!$E$9+1,1))-AVERAGE(OFFSET($H$3,0,0,'Données projet'!$E$9+1,1))</f>
        <v>439.19854273764042</v>
      </c>
      <c r="T24" s="59">
        <f t="shared" si="34"/>
        <v>278.21741231699929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7.2</v>
      </c>
      <c r="AI24" s="13">
        <f>IF('Données projet'!$A$62&gt;35,AI23+AH24-AQ23,IF(A24&lt;'Données projet'!$A$62,$AF$205^A24,IF(A24='Données projet'!$A$62,'Données projet'!$B$62,AI23+AH24-AQ23)))</f>
        <v>74.2</v>
      </c>
      <c r="AJ24" s="13">
        <f>AI24*VLOOKUP('Données projet'!$B$10,Paramètres!$A$1:$I$89,3,0)*VLOOKUP('Données projet'!$B$10,Paramètres!$A$1:$I$89,5,0)</f>
        <v>75.238800000000012</v>
      </c>
      <c r="AK24" s="13">
        <f t="shared" si="35"/>
        <v>20.96892143970209</v>
      </c>
      <c r="AL24" s="20">
        <f t="shared" si="4"/>
        <v>167.56178150748116</v>
      </c>
      <c r="AM24" s="59">
        <f t="shared" si="5"/>
        <v>449.89511484081447</v>
      </c>
      <c r="AN24" s="59">
        <f ca="1">AVERAGE(OFFSET($AM$3,0,0,'Données projet'!$E$10+1,1))-AVERAGE(OFFSET($H$3,0,0,'Données projet'!$E$10+1,1))</f>
        <v>487.18832528146936</v>
      </c>
      <c r="AO24" s="59">
        <f t="shared" si="36"/>
        <v>306.61893266146666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13</v>
      </c>
      <c r="BD24" s="12">
        <f>IF('Données projet'!$A$88&gt;35,BD23+BC24-BL23,IF(A24&lt;'Données projet'!$A$88,$BA$205^A24,IF(A24='Données projet'!$A$88,'Données projet'!$B$88,BD23+BC24-BL23)))</f>
        <v>207.00000000000003</v>
      </c>
      <c r="BE24" s="13">
        <f>BD24*VLOOKUP('Données projet'!$B$11,Paramètres!$A$1:$I$89,3,0)*VLOOKUP('Données projet'!$B$11,Paramètres!$A$1:$I$89,5,0)</f>
        <v>187.2936</v>
      </c>
      <c r="BF24" s="13">
        <f t="shared" si="37"/>
        <v>46.941107550760421</v>
      </c>
      <c r="BG24" s="20">
        <f t="shared" si="7"/>
        <v>407.95878231757439</v>
      </c>
      <c r="BH24" s="59">
        <f t="shared" si="8"/>
        <v>690.2921156509077</v>
      </c>
      <c r="BI24" s="59">
        <f ca="1">AVERAGE(OFFSET($BH$3,0,0,'Données projet'!$E$11+1,1))-AVERAGE(OFFSET($H$3,0,0,'Données projet'!$E$11+1,1))</f>
        <v>436.23918637269577</v>
      </c>
      <c r="BJ24" s="59">
        <f t="shared" si="38"/>
        <v>611.43967996341894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15.8</v>
      </c>
      <c r="BY24" s="12">
        <f>IF('Données projet'!$A$114&gt;35,BY23+BX24-CG23,IF(A24&lt;'Données projet'!$A$114,$BV$205^A24,IF(A24='Données projet'!$A$114,'Données projet'!$B$114,BY23+BX24-CG23)))</f>
        <v>119.80000000000001</v>
      </c>
      <c r="BZ24" s="13">
        <f>BY24*VLOOKUP('Données projet'!$B$12,Paramètres!$A$1:$I$89,3,0)*VLOOKUP('Données projet'!$B$12,Paramètres!$A$1:$I$89,5,0)</f>
        <v>104.65728000000001</v>
      </c>
      <c r="CA24" s="13">
        <f t="shared" si="39"/>
        <v>28.068573730915457</v>
      </c>
      <c r="CB24" s="20">
        <f t="shared" si="10"/>
        <v>231.16419524801108</v>
      </c>
      <c r="CC24" s="59">
        <f t="shared" si="11"/>
        <v>513.49752858134434</v>
      </c>
      <c r="CD24" s="59">
        <f ca="1">AVERAGE(OFFSET($CC$3,0,0,'Données projet'!$E$12+1,1))-AVERAGE(OFFSET($H$3,0,0,'Données projet'!$E$12+1,1))</f>
        <v>304.32767345253382</v>
      </c>
      <c r="CE24" s="59">
        <f t="shared" si="40"/>
        <v>427.16091343339173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31.8</v>
      </c>
      <c r="CT24" s="12">
        <f>IF('Données projet'!$A$140&gt;35,CT23+CS24-DB23,IF(A24&lt;'Données projet'!$A$140,$CQ$205^A24,IF(A24='Données projet'!$A$140,'Données projet'!$B$140,CT23+CS24-DB23)))</f>
        <v>291.79999999999995</v>
      </c>
      <c r="CU24" s="17">
        <f>CT24*VLOOKUP('Données projet'!$B$13,Paramètres!$A$1:$I$89,3,0)*VLOOKUP('Données projet'!$B$13,Paramètres!$A$1:$I$89,5,0)</f>
        <v>163.11619999999996</v>
      </c>
      <c r="CV24" s="13">
        <f t="shared" si="41"/>
        <v>41.544592017733109</v>
      </c>
      <c r="CW24" s="20">
        <f t="shared" si="13"/>
        <v>356.4508794308851</v>
      </c>
      <c r="CX24" s="59">
        <f t="shared" si="14"/>
        <v>638.78421276421841</v>
      </c>
      <c r="CY24" s="59">
        <f ca="1">AVERAGE(OFFSET($CX$3,0,0,'Données projet'!$E$13+1,1))-AVERAGE(OFFSET($H$3,0,0,'Données projet'!$E$13+1,1))</f>
        <v>555.15881087162279</v>
      </c>
      <c r="CZ24" s="59">
        <f t="shared" si="42"/>
        <v>668.20427590250733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19.244241789037325</v>
      </c>
      <c r="DI24" s="22">
        <f t="shared" si="15"/>
        <v>19.244241789037325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33.200000000000003</v>
      </c>
      <c r="DO24" s="12">
        <f>IF('Données projet'!$A$166&gt;35,DO23+DN24-DW23,IF(A24&lt;'Données projet'!$A$166,$DL$205^A24,IF(A24='Données projet'!$A$166,'Données projet'!$B$166,DO23+DN24-DW23)))</f>
        <v>192.2</v>
      </c>
      <c r="DP24" s="17">
        <f>DO24*VLOOKUP('Données projet'!$B$14,Paramètres!$A$1:$I$89,3,0)*VLOOKUP('Données projet'!$B$14,Paramètres!$A$1:$I$89,5,0)</f>
        <v>89.94959999999999</v>
      </c>
      <c r="DQ24" s="13">
        <f t="shared" si="43"/>
        <v>24.553069331291823</v>
      </c>
      <c r="DR24" s="20">
        <f t="shared" si="16"/>
        <v>199.42548241866655</v>
      </c>
      <c r="DS24" s="59">
        <f t="shared" si="17"/>
        <v>481.75881575199986</v>
      </c>
      <c r="DT24" s="59">
        <f ca="1">AVERAGE(OFFSET($DS$3,0,0,'Données projet'!$E$14+1,1))-AVERAGE(OFFSET($H$3,0,0,'Données projet'!$E$14+1,1))</f>
        <v>523.79180230463714</v>
      </c>
      <c r="DU24" s="59">
        <f t="shared" si="44"/>
        <v>459.3547783500515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26.977325428439556</v>
      </c>
      <c r="ED24" s="22">
        <f t="shared" si="18"/>
        <v>26.977325428439556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16.8</v>
      </c>
      <c r="EJ24" s="12">
        <f>IF('Données projet'!$A$192&gt;35,EJ23+EI24-ER23,IF(A24&lt;'Données projet'!$A$192,$EG$205^A24,IF(A24='Données projet'!$A$192,'Données projet'!$B$192,EJ23+EI24-ER23)))</f>
        <v>97.800000000000011</v>
      </c>
      <c r="EK24" s="17">
        <f>EJ24*VLOOKUP('Données projet'!$B$15,Paramètres!$A$1:$I$89,3,0)*VLOOKUP('Données projet'!$B$15,Paramètres!$A$1:$I$89,5,0)</f>
        <v>94.592160000000021</v>
      </c>
      <c r="EL24" s="13">
        <f t="shared" si="45"/>
        <v>25.669515338124462</v>
      </c>
      <c r="EM24" s="20">
        <f t="shared" si="19"/>
        <v>209.45575121390013</v>
      </c>
      <c r="EN24" s="59">
        <f t="shared" si="20"/>
        <v>491.78908454723341</v>
      </c>
      <c r="EO24" s="59">
        <f ca="1">AVERAGE(OFFSET($EN$3,0,0,'Données projet'!$E$15+1,1))-AVERAGE(OFFSET($H$3,0,0,'Données projet'!$E$15+1,1))</f>
        <v>484.41278617935654</v>
      </c>
      <c r="EP24" s="59">
        <f t="shared" si="46"/>
        <v>467.97490540700738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16.8</v>
      </c>
      <c r="FE24" s="12">
        <f>IF('Données projet'!$A$218&gt;35,FE23+FD24-FM23,IF(A24&lt;'Données projet'!$A$218,$FB$205^A24,IF(A24='Données projet'!$A$218,'Données projet'!$B$218,FE23+FD24-FM23)))</f>
        <v>97.800000000000011</v>
      </c>
      <c r="FF24" s="17">
        <f>FE24*VLOOKUP('Données projet'!$B$16,Paramètres!$A$1:$I$89,3,0)*VLOOKUP('Données projet'!$B$16,Paramètres!$A$1:$I$89,5,0)</f>
        <v>105.27192000000001</v>
      </c>
      <c r="FG24" s="13">
        <f t="shared" si="47"/>
        <v>28.21417973533687</v>
      </c>
      <c r="FH24" s="20">
        <f t="shared" si="22"/>
        <v>232.4882903723784</v>
      </c>
      <c r="FI24" s="59">
        <f t="shared" si="23"/>
        <v>514.82162370571177</v>
      </c>
      <c r="FJ24" s="59">
        <f ca="1">AVERAGE(OFFSET($FI$3,0,0,'Données projet'!$E$16+1,1))-AVERAGE(OFFSET($H$3,0,0,'Données projet'!$E$16+1,1))</f>
        <v>534.54020133239135</v>
      </c>
      <c r="FK24" s="59">
        <f t="shared" si="48"/>
        <v>515.48696069008815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10.6</v>
      </c>
      <c r="FZ24" s="12">
        <f>IF('Données projet'!$A$244&gt;35,FZ23+FY24-GH23,IF(A24&lt;'Données projet'!$A$244,$FW$205^A24,IF(A24='Données projet'!$A$244,'Données projet'!$B$244,FZ23+FY24-GH23)))</f>
        <v>150.6</v>
      </c>
      <c r="GA24" s="17">
        <f>FZ24*VLOOKUP('Données projet'!$B$17,Paramètres!$A$1:$I$89,3,0)*VLOOKUP('Données projet'!$B$17,Paramètres!$A$1:$I$89,5,0)</f>
        <v>143.31095999999999</v>
      </c>
      <c r="GB24" s="13">
        <f t="shared" si="49"/>
        <v>37.054465009884886</v>
      </c>
      <c r="GC24" s="20">
        <f t="shared" si="25"/>
        <v>314.13644855888282</v>
      </c>
      <c r="GD24" s="59">
        <f t="shared" si="26"/>
        <v>596.46978189221613</v>
      </c>
      <c r="GE24" s="59">
        <f ca="1">AVERAGE(OFFSET($GD$3,0,0,'Données projet'!$E$17+1,1))-AVERAGE(OFFSET($H$3,0,0,'Données projet'!$E$17+1,1))</f>
        <v>455.71329051283936</v>
      </c>
      <c r="GF24" s="59">
        <f t="shared" si="50"/>
        <v>479.3743231122258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16.8</v>
      </c>
      <c r="GU24" s="12">
        <f>IF('Données projet'!$A$270&gt;35,GU23+GT24-HC23,IF(A24&lt;'Données projet'!$A$270,$GR$205^A24,IF(A24='Données projet'!$A$270,'Données projet'!$B$270,GU23+GT24-HC23)))</f>
        <v>97.800000000000011</v>
      </c>
      <c r="GV24" s="17">
        <f>GU24*VLOOKUP('Données projet'!$B$18,Paramètres!$A$1:$I$89,3,0)*VLOOKUP('Données projet'!$B$18,Paramètres!$A$1:$I$89,5,0)</f>
        <v>79.335360000000023</v>
      </c>
      <c r="GW24" s="13">
        <f t="shared" si="51"/>
        <v>21.974597372641874</v>
      </c>
      <c r="GX24" s="20">
        <f t="shared" si="28"/>
        <v>176.44817575735132</v>
      </c>
      <c r="GY24" s="59">
        <f t="shared" si="29"/>
        <v>458.78150909068461</v>
      </c>
      <c r="GZ24" s="59">
        <f ca="1">AVERAGE(OFFSET($GY$3,0,0,'Données projet'!$E$18+1,1))-AVERAGE(OFFSET($H$3,0,0,'Données projet'!$E$18+1,1))</f>
        <v>412.59676769258488</v>
      </c>
      <c r="HA24" s="59">
        <f t="shared" si="52"/>
        <v>399.90063795152133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0</v>
      </c>
      <c r="HI24" s="21">
        <f>EXP(-LN(2)/2)*HI23+(1-EXP(-LN(2)/2))/(LN(2)/2)*HC24*HF24*VLOOKUP('Données projet'!$B$18,Paramètres!$A$1:$I$89,3,0)*0.475*44/12</f>
        <v>0</v>
      </c>
      <c r="HJ24" s="22">
        <f t="shared" si="30"/>
        <v>0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7.2</v>
      </c>
      <c r="N25" s="13">
        <f>IF('Données projet'!$A$36&gt;35,N24+M25-V24,IF(A25&lt;'Données projet'!$A$36,$K$205^A25,IF(A25='Données projet'!$A$36,'Données projet'!$B$36,N24+M25-V24)))</f>
        <v>81.400000000000006</v>
      </c>
      <c r="O25" s="13">
        <f>N25*VLOOKUP('Données projet'!$B$9,Paramètres!$A$1:$I$89,3,0)*VLOOKUP('Données projet'!$B$9,Paramètres!$A$1:$I$89,5,0)</f>
        <v>73.650720000000007</v>
      </c>
      <c r="P25" s="13">
        <f t="shared" si="33"/>
        <v>20.577360172493922</v>
      </c>
      <c r="Q25" s="20">
        <f t="shared" si="2"/>
        <v>164.11390630042692</v>
      </c>
      <c r="R25" s="59">
        <f t="shared" si="0"/>
        <v>447.66946185598249</v>
      </c>
      <c r="S25" s="59">
        <f ca="1">AVERAGE(OFFSET($R$3,0,0,'Données projet'!$E$9+1,1))-AVERAGE(OFFSET($H$3,0,0,'Données projet'!$E$9+1,1))</f>
        <v>439.19854273764042</v>
      </c>
      <c r="T25" s="59">
        <f t="shared" si="34"/>
        <v>278.21741231699929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7.2</v>
      </c>
      <c r="AI25" s="13">
        <f>IF('Données projet'!$A$62&gt;35,AI24+AH25-AQ24,IF(A25&lt;'Données projet'!$A$62,$AF$205^A25,IF(A25='Données projet'!$A$62,'Données projet'!$B$62,AI24+AH25-AQ24)))</f>
        <v>81.400000000000006</v>
      </c>
      <c r="AJ25" s="13">
        <f>AI25*VLOOKUP('Données projet'!$B$10,Paramètres!$A$1:$I$89,3,0)*VLOOKUP('Données projet'!$B$10,Paramètres!$A$1:$I$89,5,0)</f>
        <v>82.539600000000007</v>
      </c>
      <c r="AK25" s="13">
        <f t="shared" si="35"/>
        <v>22.756995627482848</v>
      </c>
      <c r="AL25" s="20">
        <f t="shared" si="4"/>
        <v>183.39157071786599</v>
      </c>
      <c r="AM25" s="59">
        <f t="shared" si="5"/>
        <v>466.94712627342153</v>
      </c>
      <c r="AN25" s="59">
        <f ca="1">AVERAGE(OFFSET($AM$3,0,0,'Données projet'!$E$10+1,1))-AVERAGE(OFFSET($H$3,0,0,'Données projet'!$E$10+1,1))</f>
        <v>487.18832528146936</v>
      </c>
      <c r="AO25" s="59">
        <f t="shared" si="36"/>
        <v>306.61893266146666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13</v>
      </c>
      <c r="BD25" s="12">
        <f>IF('Données projet'!$A$88&gt;35,BD24+BC25-BL24,IF(A25&lt;'Données projet'!$A$88,$BA$205^A25,IF(A25='Données projet'!$A$88,'Données projet'!$B$88,BD24+BC25-BL24)))</f>
        <v>220.00000000000003</v>
      </c>
      <c r="BE25" s="13">
        <f>BD25*VLOOKUP('Données projet'!$B$11,Paramètres!$A$1:$I$89,3,0)*VLOOKUP('Données projet'!$B$11,Paramètres!$A$1:$I$89,5,0)</f>
        <v>199.05600000000001</v>
      </c>
      <c r="BF25" s="13">
        <f t="shared" si="37"/>
        <v>49.536648006253934</v>
      </c>
      <c r="BG25" s="20">
        <f t="shared" si="7"/>
        <v>432.96552861089231</v>
      </c>
      <c r="BH25" s="59">
        <f t="shared" si="8"/>
        <v>716.52108416644785</v>
      </c>
      <c r="BI25" s="59">
        <f ca="1">AVERAGE(OFFSET($BH$3,0,0,'Données projet'!$E$11+1,1))-AVERAGE(OFFSET($H$3,0,0,'Données projet'!$E$11+1,1))</f>
        <v>436.23918637269577</v>
      </c>
      <c r="BJ25" s="59">
        <f t="shared" si="38"/>
        <v>611.43967996341894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15.8</v>
      </c>
      <c r="BY25" s="12">
        <f>IF('Données projet'!$A$114&gt;35,BY24+BX25-CG24,IF(A25&lt;'Données projet'!$A$114,$BV$205^A25,IF(A25='Données projet'!$A$114,'Données projet'!$B$114,BY24+BX25-CG24)))</f>
        <v>135.60000000000002</v>
      </c>
      <c r="BZ25" s="13">
        <f>BY25*VLOOKUP('Données projet'!$B$12,Paramètres!$A$1:$I$89,3,0)*VLOOKUP('Données projet'!$B$12,Paramètres!$A$1:$I$89,5,0)</f>
        <v>118.46016000000003</v>
      </c>
      <c r="CA25" s="13">
        <f t="shared" si="39"/>
        <v>31.315587396029674</v>
      </c>
      <c r="CB25" s="20">
        <f t="shared" si="10"/>
        <v>260.85942671475175</v>
      </c>
      <c r="CC25" s="59">
        <f t="shared" si="11"/>
        <v>544.41498227030729</v>
      </c>
      <c r="CD25" s="59">
        <f ca="1">AVERAGE(OFFSET($CC$3,0,0,'Données projet'!$E$12+1,1))-AVERAGE(OFFSET($H$3,0,0,'Données projet'!$E$12+1,1))</f>
        <v>304.32767345253382</v>
      </c>
      <c r="CE25" s="59">
        <f t="shared" si="40"/>
        <v>427.16091343339173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31.8</v>
      </c>
      <c r="CT25" s="12">
        <f>IF('Données projet'!$A$140&gt;35,CT24+CS25-DB24,IF(A25&lt;'Données projet'!$A$140,$CQ$205^A25,IF(A25='Données projet'!$A$140,'Données projet'!$B$140,CT24+CS25-DB24)))</f>
        <v>323.59999999999997</v>
      </c>
      <c r="CU25" s="17">
        <f>CT25*VLOOKUP('Données projet'!$B$13,Paramètres!$A$1:$I$89,3,0)*VLOOKUP('Données projet'!$B$13,Paramètres!$A$1:$I$89,5,0)</f>
        <v>180.89240000000001</v>
      </c>
      <c r="CV25" s="13">
        <f t="shared" si="41"/>
        <v>45.520671542487669</v>
      </c>
      <c r="CW25" s="20">
        <f t="shared" si="13"/>
        <v>394.33609960316602</v>
      </c>
      <c r="CX25" s="59">
        <f t="shared" si="14"/>
        <v>677.89165515872151</v>
      </c>
      <c r="CY25" s="59">
        <f ca="1">AVERAGE(OFFSET($CX$3,0,0,'Données projet'!$E$13+1,1))-AVERAGE(OFFSET($H$3,0,0,'Données projet'!$E$13+1,1))</f>
        <v>555.15881087162279</v>
      </c>
      <c r="CZ25" s="59">
        <f t="shared" si="42"/>
        <v>668.20427590250733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13.60773386782183</v>
      </c>
      <c r="DI25" s="22">
        <f t="shared" si="15"/>
        <v>13.60773386782183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33.200000000000003</v>
      </c>
      <c r="DO25" s="12">
        <f>IF('Données projet'!$A$166&gt;35,DO24+DN25-DW24,IF(A25&lt;'Données projet'!$A$166,$DL$205^A25,IF(A25='Données projet'!$A$166,'Données projet'!$B$166,DO24+DN25-DW24)))</f>
        <v>225.39999999999998</v>
      </c>
      <c r="DP25" s="17">
        <f>DO25*VLOOKUP('Données projet'!$B$14,Paramètres!$A$1:$I$89,3,0)*VLOOKUP('Données projet'!$B$14,Paramètres!$A$1:$I$89,5,0)</f>
        <v>105.48719999999999</v>
      </c>
      <c r="DQ25" s="13">
        <f t="shared" si="43"/>
        <v>28.265155367923839</v>
      </c>
      <c r="DR25" s="20">
        <f t="shared" si="16"/>
        <v>232.95201893246733</v>
      </c>
      <c r="DS25" s="59">
        <f t="shared" si="17"/>
        <v>516.5075744880229</v>
      </c>
      <c r="DT25" s="59">
        <f ca="1">AVERAGE(OFFSET($DS$3,0,0,'Données projet'!$E$14+1,1))-AVERAGE(OFFSET($H$3,0,0,'Données projet'!$E$14+1,1))</f>
        <v>523.79180230463714</v>
      </c>
      <c r="DU25" s="59">
        <f t="shared" si="44"/>
        <v>459.3547783500515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19.075849748725894</v>
      </c>
      <c r="ED25" s="22">
        <f t="shared" si="18"/>
        <v>19.075849748725894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16.8</v>
      </c>
      <c r="EJ25" s="12">
        <f>IF('Données projet'!$A$192&gt;35,EJ24+EI25-ER24,IF(A25&lt;'Données projet'!$A$192,$EG$205^A25,IF(A25='Données projet'!$A$192,'Données projet'!$B$192,EJ24+EI25-ER24)))</f>
        <v>114.60000000000001</v>
      </c>
      <c r="EK25" s="17">
        <f>EJ25*VLOOKUP('Données projet'!$B$15,Paramètres!$A$1:$I$89,3,0)*VLOOKUP('Données projet'!$B$15,Paramètres!$A$1:$I$89,5,0)</f>
        <v>110.84112000000002</v>
      </c>
      <c r="EL25" s="13">
        <f t="shared" si="45"/>
        <v>29.529071061640771</v>
      </c>
      <c r="EM25" s="20">
        <f t="shared" si="19"/>
        <v>244.47808276569103</v>
      </c>
      <c r="EN25" s="59">
        <f t="shared" si="20"/>
        <v>528.0336383212466</v>
      </c>
      <c r="EO25" s="59">
        <f ca="1">AVERAGE(OFFSET($EN$3,0,0,'Données projet'!$E$15+1,1))-AVERAGE(OFFSET($H$3,0,0,'Données projet'!$E$15+1,1))</f>
        <v>484.41278617935654</v>
      </c>
      <c r="EP25" s="59">
        <f t="shared" si="46"/>
        <v>467.97490540700738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16.8</v>
      </c>
      <c r="FE25" s="12">
        <f>IF('Données projet'!$A$218&gt;35,FE24+FD25-FM24,IF(A25&lt;'Données projet'!$A$218,$FB$205^A25,IF(A25='Données projet'!$A$218,'Données projet'!$B$218,FE24+FD25-FM24)))</f>
        <v>114.60000000000001</v>
      </c>
      <c r="FF25" s="17">
        <f>FE25*VLOOKUP('Données projet'!$B$16,Paramètres!$A$1:$I$89,3,0)*VLOOKUP('Données projet'!$B$16,Paramètres!$A$1:$I$89,5,0)</f>
        <v>123.35544</v>
      </c>
      <c r="FG25" s="13">
        <f t="shared" si="47"/>
        <v>32.456340035111097</v>
      </c>
      <c r="FH25" s="20">
        <f t="shared" si="22"/>
        <v>271.37218356115181</v>
      </c>
      <c r="FI25" s="59">
        <f t="shared" si="23"/>
        <v>554.92773911670736</v>
      </c>
      <c r="FJ25" s="59">
        <f ca="1">AVERAGE(OFFSET($FI$3,0,0,'Données projet'!$E$16+1,1))-AVERAGE(OFFSET($H$3,0,0,'Données projet'!$E$16+1,1))</f>
        <v>534.54020133239135</v>
      </c>
      <c r="FK25" s="59">
        <f t="shared" si="48"/>
        <v>515.48696069008815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10.6</v>
      </c>
      <c r="FZ25" s="12">
        <f>IF('Données projet'!$A$244&gt;35,FZ24+FY25-GH24,IF(A25&lt;'Données projet'!$A$244,$FW$205^A25,IF(A25='Données projet'!$A$244,'Données projet'!$B$244,FZ24+FY25-GH24)))</f>
        <v>161.19999999999999</v>
      </c>
      <c r="GA25" s="17">
        <f>FZ25*VLOOKUP('Données projet'!$B$17,Paramètres!$A$1:$I$89,3,0)*VLOOKUP('Données projet'!$B$17,Paramètres!$A$1:$I$89,5,0)</f>
        <v>153.39792</v>
      </c>
      <c r="GB25" s="13">
        <f t="shared" si="49"/>
        <v>39.349765565193408</v>
      </c>
      <c r="GC25" s="20">
        <f t="shared" si="25"/>
        <v>335.70221902604521</v>
      </c>
      <c r="GD25" s="59">
        <f t="shared" si="26"/>
        <v>619.25777458160076</v>
      </c>
      <c r="GE25" s="59">
        <f ca="1">AVERAGE(OFFSET($GD$3,0,0,'Données projet'!$E$17+1,1))-AVERAGE(OFFSET($H$3,0,0,'Données projet'!$E$17+1,1))</f>
        <v>455.71329051283936</v>
      </c>
      <c r="GF25" s="59">
        <f t="shared" si="50"/>
        <v>479.3743231122258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16.8</v>
      </c>
      <c r="GU25" s="12">
        <f>IF('Données projet'!$A$270&gt;35,GU24+GT25-HC24,IF(A25&lt;'Données projet'!$A$270,$GR$205^A25,IF(A25='Données projet'!$A$270,'Données projet'!$B$270,GU24+GT25-HC24)))</f>
        <v>114.60000000000001</v>
      </c>
      <c r="GV25" s="17">
        <f>GU25*VLOOKUP('Données projet'!$B$18,Paramètres!$A$1:$I$89,3,0)*VLOOKUP('Données projet'!$B$18,Paramètres!$A$1:$I$89,5,0)</f>
        <v>92.963520000000017</v>
      </c>
      <c r="GW25" s="13">
        <f t="shared" si="51"/>
        <v>25.278601439114567</v>
      </c>
      <c r="GX25" s="20">
        <f t="shared" si="28"/>
        <v>205.93836150645791</v>
      </c>
      <c r="GY25" s="59">
        <f t="shared" si="29"/>
        <v>489.49391706201345</v>
      </c>
      <c r="GZ25" s="59">
        <f ca="1">AVERAGE(OFFSET($GY$3,0,0,'Données projet'!$E$18+1,1))-AVERAGE(OFFSET($H$3,0,0,'Données projet'!$E$18+1,1))</f>
        <v>412.59676769258488</v>
      </c>
      <c r="HA25" s="59">
        <f t="shared" si="52"/>
        <v>399.90063795152133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0</v>
      </c>
      <c r="HI25" s="21">
        <f>EXP(-LN(2)/2)*HI24+(1-EXP(-LN(2)/2))/(LN(2)/2)*HC25*HF25*VLOOKUP('Données projet'!$B$18,Paramètres!$A$1:$I$89,3,0)*0.475*44/12</f>
        <v>0</v>
      </c>
      <c r="HJ25" s="22">
        <f t="shared" si="30"/>
        <v>0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7.2</v>
      </c>
      <c r="N26" s="13">
        <f>IF('Données projet'!$A$36&gt;35,N25+M26-V25,IF(A26&lt;'Données projet'!$A$36,$K$205^A26,IF(A26='Données projet'!$A$36,'Données projet'!$B$36,N25+M26-V25)))</f>
        <v>88.600000000000009</v>
      </c>
      <c r="O26" s="13">
        <f>N26*VLOOKUP('Données projet'!$B$9,Paramètres!$A$1:$I$89,3,0)*VLOOKUP('Données projet'!$B$9,Paramètres!$A$1:$I$89,5,0)</f>
        <v>80.165279999999996</v>
      </c>
      <c r="P26" s="13">
        <f t="shared" si="33"/>
        <v>22.177591092468788</v>
      </c>
      <c r="Q26" s="20">
        <f t="shared" si="2"/>
        <v>178.24716715271646</v>
      </c>
      <c r="R26" s="59">
        <f t="shared" si="0"/>
        <v>463.02494493049426</v>
      </c>
      <c r="S26" s="59">
        <f ca="1">AVERAGE(OFFSET($R$3,0,0,'Données projet'!$E$9+1,1))-AVERAGE(OFFSET($H$3,0,0,'Données projet'!$E$9+1,1))</f>
        <v>439.19854273764042</v>
      </c>
      <c r="T26" s="59">
        <f t="shared" si="34"/>
        <v>278.21741231699929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7.2</v>
      </c>
      <c r="AI26" s="13">
        <f>IF('Données projet'!$A$62&gt;35,AI25+AH26-AQ25,IF(A26&lt;'Données projet'!$A$62,$AF$205^A26,IF(A26='Données projet'!$A$62,'Données projet'!$B$62,AI25+AH26-AQ25)))</f>
        <v>88.600000000000009</v>
      </c>
      <c r="AJ26" s="13">
        <f>AI26*VLOOKUP('Données projet'!$B$10,Paramètres!$A$1:$I$89,3,0)*VLOOKUP('Données projet'!$B$10,Paramètres!$A$1:$I$89,5,0)</f>
        <v>89.840400000000017</v>
      </c>
      <c r="AK26" s="13">
        <f t="shared" si="35"/>
        <v>24.526729341796202</v>
      </c>
      <c r="AL26" s="20">
        <f t="shared" si="4"/>
        <v>199.18941693696172</v>
      </c>
      <c r="AM26" s="59">
        <f t="shared" si="5"/>
        <v>483.96719471473949</v>
      </c>
      <c r="AN26" s="59">
        <f ca="1">AVERAGE(OFFSET($AM$3,0,0,'Données projet'!$E$10+1,1))-AVERAGE(OFFSET($H$3,0,0,'Données projet'!$E$10+1,1))</f>
        <v>487.18832528146936</v>
      </c>
      <c r="AO26" s="59">
        <f t="shared" si="36"/>
        <v>306.61893266146666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13</v>
      </c>
      <c r="BD26" s="12">
        <f>IF('Données projet'!$A$88&gt;35,BD25+BC26-BL25,IF(A26&lt;'Données projet'!$A$88,$BA$205^A26,IF(A26='Données projet'!$A$88,'Données projet'!$B$88,BD25+BC26-BL25)))</f>
        <v>233.00000000000003</v>
      </c>
      <c r="BE26" s="13">
        <f>BD26*VLOOKUP('Données projet'!$B$11,Paramètres!$A$1:$I$89,3,0)*VLOOKUP('Données projet'!$B$11,Paramètres!$A$1:$I$89,5,0)</f>
        <v>210.81840000000003</v>
      </c>
      <c r="BF26" s="13">
        <f t="shared" si="37"/>
        <v>52.114386184062198</v>
      </c>
      <c r="BG26" s="20">
        <f t="shared" si="7"/>
        <v>457.94126927057505</v>
      </c>
      <c r="BH26" s="59">
        <f t="shared" si="8"/>
        <v>742.71904704835288</v>
      </c>
      <c r="BI26" s="59">
        <f ca="1">AVERAGE(OFFSET($BH$3,0,0,'Données projet'!$E$11+1,1))-AVERAGE(OFFSET($H$3,0,0,'Données projet'!$E$11+1,1))</f>
        <v>436.23918637269577</v>
      </c>
      <c r="BJ26" s="59">
        <f t="shared" si="38"/>
        <v>611.43967996341894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15.8</v>
      </c>
      <c r="BY26" s="12">
        <f>IF('Données projet'!$A$114&gt;35,BY25+BX26-CG25,IF(A26&lt;'Données projet'!$A$114,$BV$205^A26,IF(A26='Données projet'!$A$114,'Données projet'!$B$114,BY25+BX26-CG25)))</f>
        <v>151.40000000000003</v>
      </c>
      <c r="BZ26" s="13">
        <f>BY26*VLOOKUP('Données projet'!$B$12,Paramètres!$A$1:$I$89,3,0)*VLOOKUP('Données projet'!$B$12,Paramètres!$A$1:$I$89,5,0)</f>
        <v>132.26304000000005</v>
      </c>
      <c r="CA26" s="13">
        <f t="shared" si="39"/>
        <v>34.518755036434833</v>
      </c>
      <c r="CB26" s="20">
        <f t="shared" si="10"/>
        <v>290.47829302179076</v>
      </c>
      <c r="CC26" s="59">
        <f t="shared" si="11"/>
        <v>575.25607079956853</v>
      </c>
      <c r="CD26" s="59">
        <f ca="1">AVERAGE(OFFSET($CC$3,0,0,'Données projet'!$E$12+1,1))-AVERAGE(OFFSET($H$3,0,0,'Données projet'!$E$12+1,1))</f>
        <v>304.32767345253382</v>
      </c>
      <c r="CE26" s="59">
        <f t="shared" si="40"/>
        <v>427.16091343339173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31.8</v>
      </c>
      <c r="CT26" s="12">
        <f>IF('Données projet'!$A$140&gt;35,CT25+CS26-DB25,IF(A26&lt;'Données projet'!$A$140,$CQ$205^A26,IF(A26='Données projet'!$A$140,'Données projet'!$B$140,CT25+CS26-DB25)))</f>
        <v>355.4</v>
      </c>
      <c r="CU26" s="17">
        <f>CT26*VLOOKUP('Données projet'!$B$13,Paramètres!$A$1:$I$89,3,0)*VLOOKUP('Données projet'!$B$13,Paramètres!$A$1:$I$89,5,0)</f>
        <v>198.66859999999997</v>
      </c>
      <c r="CV26" s="13">
        <f t="shared" si="41"/>
        <v>49.451452656287465</v>
      </c>
      <c r="CW26" s="20">
        <f t="shared" si="13"/>
        <v>432.14242504303394</v>
      </c>
      <c r="CX26" s="59">
        <f t="shared" si="14"/>
        <v>716.92020282081171</v>
      </c>
      <c r="CY26" s="59">
        <f ca="1">AVERAGE(OFFSET($CX$3,0,0,'Données projet'!$E$13+1,1))-AVERAGE(OFFSET($H$3,0,0,'Données projet'!$E$13+1,1))</f>
        <v>555.15881087162279</v>
      </c>
      <c r="CZ26" s="59">
        <f t="shared" si="42"/>
        <v>668.20427590250733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9.6221208945186643</v>
      </c>
      <c r="DI26" s="22">
        <f t="shared" si="15"/>
        <v>9.6221208945186643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33.200000000000003</v>
      </c>
      <c r="DO26" s="12">
        <f>IF('Données projet'!$A$166&gt;35,DO25+DN26-DW25,IF(A26&lt;'Données projet'!$A$166,$DL$205^A26,IF(A26='Données projet'!$A$166,'Données projet'!$B$166,DO25+DN26-DW25)))</f>
        <v>258.59999999999997</v>
      </c>
      <c r="DP26" s="17">
        <f>DO26*VLOOKUP('Données projet'!$B$14,Paramètres!$A$1:$I$89,3,0)*VLOOKUP('Données projet'!$B$14,Paramètres!$A$1:$I$89,5,0)</f>
        <v>121.02479999999998</v>
      </c>
      <c r="DQ26" s="13">
        <f t="shared" si="43"/>
        <v>31.913898642318912</v>
      </c>
      <c r="DR26" s="20">
        <f t="shared" si="16"/>
        <v>266.36823346870545</v>
      </c>
      <c r="DS26" s="59">
        <f t="shared" si="17"/>
        <v>551.14601124648323</v>
      </c>
      <c r="DT26" s="59">
        <f ca="1">AVERAGE(OFFSET($DS$3,0,0,'Données projet'!$E$14+1,1))-AVERAGE(OFFSET($H$3,0,0,'Données projet'!$E$14+1,1))</f>
        <v>523.79180230463714</v>
      </c>
      <c r="DU26" s="59">
        <f t="shared" si="44"/>
        <v>459.3547783500515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13.488662714219778</v>
      </c>
      <c r="ED26" s="22">
        <f t="shared" si="18"/>
        <v>13.488662714219778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16.8</v>
      </c>
      <c r="EJ26" s="12">
        <f>IF('Données projet'!$A$192&gt;35,EJ25+EI26-ER25,IF(A26&lt;'Données projet'!$A$192,$EG$205^A26,IF(A26='Données projet'!$A$192,'Données projet'!$B$192,EJ25+EI26-ER25)))</f>
        <v>131.4</v>
      </c>
      <c r="EK26" s="17">
        <f>EJ26*VLOOKUP('Données projet'!$B$15,Paramètres!$A$1:$I$89,3,0)*VLOOKUP('Données projet'!$B$15,Paramètres!$A$1:$I$89,5,0)</f>
        <v>127.09008000000001</v>
      </c>
      <c r="EL26" s="13">
        <f t="shared" si="45"/>
        <v>33.323078908942797</v>
      </c>
      <c r="EM26" s="20">
        <f t="shared" si="19"/>
        <v>279.38625176640875</v>
      </c>
      <c r="EN26" s="59">
        <f t="shared" si="20"/>
        <v>564.16402954418652</v>
      </c>
      <c r="EO26" s="59">
        <f ca="1">AVERAGE(OFFSET($EN$3,0,0,'Données projet'!$E$15+1,1))-AVERAGE(OFFSET($H$3,0,0,'Données projet'!$E$15+1,1))</f>
        <v>484.41278617935654</v>
      </c>
      <c r="EP26" s="59">
        <f t="shared" si="46"/>
        <v>467.97490540700738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16.8</v>
      </c>
      <c r="FE26" s="12">
        <f>IF('Données projet'!$A$218&gt;35,FE25+FD26-FM25,IF(A26&lt;'Données projet'!$A$218,$FB$205^A26,IF(A26='Données projet'!$A$218,'Données projet'!$B$218,FE25+FD26-FM25)))</f>
        <v>131.4</v>
      </c>
      <c r="FF26" s="17">
        <f>FE26*VLOOKUP('Données projet'!$B$16,Paramètres!$A$1:$I$89,3,0)*VLOOKUP('Données projet'!$B$16,Paramètres!$A$1:$I$89,5,0)</f>
        <v>141.43896000000001</v>
      </c>
      <c r="FG26" s="13">
        <f t="shared" si="47"/>
        <v>36.62645458192042</v>
      </c>
      <c r="FH26" s="20">
        <f t="shared" si="22"/>
        <v>310.1305970635114</v>
      </c>
      <c r="FI26" s="59">
        <f t="shared" si="23"/>
        <v>594.90837484128917</v>
      </c>
      <c r="FJ26" s="59">
        <f ca="1">AVERAGE(OFFSET($FI$3,0,0,'Données projet'!$E$16+1,1))-AVERAGE(OFFSET($H$3,0,0,'Données projet'!$E$16+1,1))</f>
        <v>534.54020133239135</v>
      </c>
      <c r="FK26" s="59">
        <f t="shared" si="48"/>
        <v>515.48696069008815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10.6</v>
      </c>
      <c r="FZ26" s="12">
        <f>IF('Données projet'!$A$244&gt;35,FZ25+FY26-GH25,IF(A26&lt;'Données projet'!$A$244,$FW$205^A26,IF(A26='Données projet'!$A$244,'Données projet'!$B$244,FZ25+FY26-GH25)))</f>
        <v>171.79999999999998</v>
      </c>
      <c r="GA26" s="17">
        <f>FZ26*VLOOKUP('Données projet'!$B$17,Paramètres!$A$1:$I$89,3,0)*VLOOKUP('Données projet'!$B$17,Paramètres!$A$1:$I$89,5,0)</f>
        <v>163.48487999999998</v>
      </c>
      <c r="GB26" s="13">
        <f t="shared" si="49"/>
        <v>41.627551418005716</v>
      </c>
      <c r="GC26" s="20">
        <f t="shared" si="25"/>
        <v>357.23748471969321</v>
      </c>
      <c r="GD26" s="59">
        <f t="shared" si="26"/>
        <v>642.01526249747099</v>
      </c>
      <c r="GE26" s="59">
        <f ca="1">AVERAGE(OFFSET($GD$3,0,0,'Données projet'!$E$17+1,1))-AVERAGE(OFFSET($H$3,0,0,'Données projet'!$E$17+1,1))</f>
        <v>455.71329051283936</v>
      </c>
      <c r="GF26" s="59">
        <f t="shared" si="50"/>
        <v>479.3743231122258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16.8</v>
      </c>
      <c r="GU26" s="12">
        <f>IF('Données projet'!$A$270&gt;35,GU25+GT26-HC25,IF(A26&lt;'Données projet'!$A$270,$GR$205^A26,IF(A26='Données projet'!$A$270,'Données projet'!$B$270,GU25+GT26-HC25)))</f>
        <v>131.4</v>
      </c>
      <c r="GV26" s="17">
        <f>GU26*VLOOKUP('Données projet'!$B$18,Paramètres!$A$1:$I$89,3,0)*VLOOKUP('Données projet'!$B$18,Paramètres!$A$1:$I$89,5,0)</f>
        <v>106.59168000000001</v>
      </c>
      <c r="GW26" s="13">
        <f t="shared" si="51"/>
        <v>28.526492713060108</v>
      </c>
      <c r="GX26" s="20">
        <f t="shared" si="28"/>
        <v>235.33081747524636</v>
      </c>
      <c r="GY26" s="59">
        <f t="shared" si="29"/>
        <v>520.10859525302408</v>
      </c>
      <c r="GZ26" s="59">
        <f ca="1">AVERAGE(OFFSET($GY$3,0,0,'Données projet'!$E$18+1,1))-AVERAGE(OFFSET($H$3,0,0,'Données projet'!$E$18+1,1))</f>
        <v>412.59676769258488</v>
      </c>
      <c r="HA26" s="59">
        <f t="shared" si="52"/>
        <v>399.90063795152133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0</v>
      </c>
      <c r="HI26" s="21">
        <f>EXP(-LN(2)/2)*HI25+(1-EXP(-LN(2)/2))/(LN(2)/2)*HC26*HF26*VLOOKUP('Données projet'!$B$18,Paramètres!$A$1:$I$89,3,0)*0.475*44/12</f>
        <v>0</v>
      </c>
      <c r="HJ26" s="22">
        <f t="shared" si="30"/>
        <v>0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7.2</v>
      </c>
      <c r="N27" s="13">
        <f>IF('Données projet'!$A$36&gt;35,N26+M27-V26,IF(A27&lt;'Données projet'!$A$36,$K$205^A27,IF(A27='Données projet'!$A$36,'Données projet'!$B$36,N26+M27-V26)))</f>
        <v>95.800000000000011</v>
      </c>
      <c r="O27" s="13">
        <f>N27*VLOOKUP('Données projet'!$B$9,Paramètres!$A$1:$I$89,3,0)*VLOOKUP('Données projet'!$B$9,Paramètres!$A$1:$I$89,5,0)</f>
        <v>86.679839999999999</v>
      </c>
      <c r="P27" s="13">
        <f t="shared" si="33"/>
        <v>23.762739053789723</v>
      </c>
      <c r="Q27" s="20">
        <f t="shared" si="2"/>
        <v>192.35415851868379</v>
      </c>
      <c r="R27" s="59">
        <f t="shared" si="0"/>
        <v>478.35415851868379</v>
      </c>
      <c r="S27" s="59">
        <f ca="1">AVERAGE(OFFSET($R$3,0,0,'Données projet'!$E$9+1,1))-AVERAGE(OFFSET($H$3,0,0,'Données projet'!$E$9+1,1))</f>
        <v>439.19854273764042</v>
      </c>
      <c r="T27" s="59">
        <f t="shared" si="34"/>
        <v>278.21741231699929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7.2</v>
      </c>
      <c r="AI27" s="13">
        <f>IF('Données projet'!$A$62&gt;35,AI26+AH27-AQ26,IF(A27&lt;'Données projet'!$A$62,$AF$205^A27,IF(A27='Données projet'!$A$62,'Données projet'!$B$62,AI26+AH27-AQ26)))</f>
        <v>95.800000000000011</v>
      </c>
      <c r="AJ27" s="13">
        <f>AI27*VLOOKUP('Données projet'!$B$10,Paramètres!$A$1:$I$89,3,0)*VLOOKUP('Données projet'!$B$10,Paramètres!$A$1:$I$89,5,0)</f>
        <v>97.141200000000026</v>
      </c>
      <c r="AK27" s="13">
        <f t="shared" si="35"/>
        <v>26.279782450761708</v>
      </c>
      <c r="AL27" s="20">
        <f t="shared" si="4"/>
        <v>214.95821110174333</v>
      </c>
      <c r="AM27" s="59">
        <f t="shared" si="5"/>
        <v>500.95821110174336</v>
      </c>
      <c r="AN27" s="59">
        <f ca="1">AVERAGE(OFFSET($AM$3,0,0,'Données projet'!$E$10+1,1))-AVERAGE(OFFSET($H$3,0,0,'Données projet'!$E$10+1,1))</f>
        <v>487.18832528146936</v>
      </c>
      <c r="AO27" s="59">
        <f t="shared" si="36"/>
        <v>306.61893266146666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13</v>
      </c>
      <c r="BD27" s="12">
        <f>IF('Données projet'!$A$88&gt;35,BD26+BC27-BL26,IF(A27&lt;'Données projet'!$A$88,$BA$205^A27,IF(A27='Données projet'!$A$88,'Données projet'!$B$88,BD26+BC27-BL26)))</f>
        <v>246.00000000000003</v>
      </c>
      <c r="BE27" s="13">
        <f>BD27*VLOOKUP('Données projet'!$B$11,Paramètres!$A$1:$I$89,3,0)*VLOOKUP('Données projet'!$B$11,Paramètres!$A$1:$I$89,5,0)</f>
        <v>222.58080000000001</v>
      </c>
      <c r="BF27" s="13">
        <f t="shared" si="37"/>
        <v>54.675428546153249</v>
      </c>
      <c r="BG27" s="20">
        <f t="shared" si="7"/>
        <v>482.8879313845502</v>
      </c>
      <c r="BH27" s="59">
        <f t="shared" si="8"/>
        <v>768.88793138455026</v>
      </c>
      <c r="BI27" s="59">
        <f ca="1">AVERAGE(OFFSET($BH$3,0,0,'Données projet'!$E$11+1,1))-AVERAGE(OFFSET($H$3,0,0,'Données projet'!$E$11+1,1))</f>
        <v>436.23918637269577</v>
      </c>
      <c r="BJ27" s="59">
        <f t="shared" si="38"/>
        <v>611.43967996341894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15.8</v>
      </c>
      <c r="BY27" s="12">
        <f>IF('Données projet'!$A$114&gt;35,BY26+BX27-CG26,IF(A27&lt;'Données projet'!$A$114,$BV$205^A27,IF(A27='Données projet'!$A$114,'Données projet'!$B$114,BY26+BX27-CG26)))</f>
        <v>167.20000000000005</v>
      </c>
      <c r="BZ27" s="13">
        <f>BY27*VLOOKUP('Données projet'!$B$12,Paramètres!$A$1:$I$89,3,0)*VLOOKUP('Données projet'!$B$12,Paramètres!$A$1:$I$89,5,0)</f>
        <v>146.06592000000006</v>
      </c>
      <c r="CA27" s="13">
        <f t="shared" si="39"/>
        <v>37.683173643014399</v>
      </c>
      <c r="CB27" s="20">
        <f t="shared" si="10"/>
        <v>320.0296714282502</v>
      </c>
      <c r="CC27" s="59">
        <f t="shared" si="11"/>
        <v>606.02967142825014</v>
      </c>
      <c r="CD27" s="59">
        <f ca="1">AVERAGE(OFFSET($CC$3,0,0,'Données projet'!$E$12+1,1))-AVERAGE(OFFSET($H$3,0,0,'Données projet'!$E$12+1,1))</f>
        <v>304.32767345253382</v>
      </c>
      <c r="CE27" s="59">
        <f t="shared" si="40"/>
        <v>427.16091343339173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31.8</v>
      </c>
      <c r="CT27" s="12">
        <f>IF('Données projet'!$A$140&gt;35,CT26+CS27-DB26,IF(A27&lt;'Données projet'!$A$140,$CQ$205^A27,IF(A27='Données projet'!$A$140,'Données projet'!$B$140,CT26+CS27-DB26)))</f>
        <v>387.2</v>
      </c>
      <c r="CU27" s="17">
        <f>CT27*VLOOKUP('Données projet'!$B$13,Paramètres!$A$1:$I$89,3,0)*VLOOKUP('Données projet'!$B$13,Paramètres!$A$1:$I$89,5,0)</f>
        <v>216.44479999999999</v>
      </c>
      <c r="CV27" s="13">
        <f t="shared" si="41"/>
        <v>53.341449419561528</v>
      </c>
      <c r="CW27" s="20">
        <f t="shared" si="13"/>
        <v>469.87771773906962</v>
      </c>
      <c r="CX27" s="59">
        <f t="shared" si="14"/>
        <v>755.87771773906957</v>
      </c>
      <c r="CY27" s="59">
        <f ca="1">AVERAGE(OFFSET($CX$3,0,0,'Données projet'!$E$13+1,1))-AVERAGE(OFFSET($H$3,0,0,'Données projet'!$E$13+1,1))</f>
        <v>555.15881087162279</v>
      </c>
      <c r="CZ27" s="59">
        <f t="shared" si="42"/>
        <v>668.20427590250733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6.8038669339109168</v>
      </c>
      <c r="DI27" s="22">
        <f t="shared" si="15"/>
        <v>6.8038669339109168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33.200000000000003</v>
      </c>
      <c r="DO27" s="12">
        <f>IF('Données projet'!$A$166&gt;35,DO26+DN27-DW26,IF(A27&lt;'Données projet'!$A$166,$DL$205^A27,IF(A27='Données projet'!$A$166,'Données projet'!$B$166,DO26+DN27-DW26)))</f>
        <v>291.79999999999995</v>
      </c>
      <c r="DP27" s="17">
        <f>DO27*VLOOKUP('Données projet'!$B$14,Paramètres!$A$1:$I$89,3,0)*VLOOKUP('Données projet'!$B$14,Paramètres!$A$1:$I$89,5,0)</f>
        <v>136.56239999999997</v>
      </c>
      <c r="DQ27" s="13">
        <f t="shared" si="43"/>
        <v>35.508363795743612</v>
      </c>
      <c r="DR27" s="20">
        <f t="shared" si="16"/>
        <v>299.68991361092009</v>
      </c>
      <c r="DS27" s="59">
        <f t="shared" si="17"/>
        <v>585.68991361092003</v>
      </c>
      <c r="DT27" s="59">
        <f ca="1">AVERAGE(OFFSET($DS$3,0,0,'Données projet'!$E$14+1,1))-AVERAGE(OFFSET($H$3,0,0,'Données projet'!$E$14+1,1))</f>
        <v>523.79180230463714</v>
      </c>
      <c r="DU27" s="59">
        <f t="shared" si="44"/>
        <v>459.3547783500515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9.5379248743629468</v>
      </c>
      <c r="ED27" s="22">
        <f t="shared" si="18"/>
        <v>9.5379248743629468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16.8</v>
      </c>
      <c r="EJ27" s="12">
        <f>IF('Données projet'!$A$192&gt;35,EJ26+EI27-ER26,IF(A27&lt;'Données projet'!$A$192,$EG$205^A27,IF(A27='Données projet'!$A$192,'Données projet'!$B$192,EJ26+EI27-ER26)))</f>
        <v>148.20000000000002</v>
      </c>
      <c r="EK27" s="17">
        <f>EJ27*VLOOKUP('Données projet'!$B$15,Paramètres!$A$1:$I$89,3,0)*VLOOKUP('Données projet'!$B$15,Paramètres!$A$1:$I$89,5,0)</f>
        <v>143.33904000000004</v>
      </c>
      <c r="EL27" s="13">
        <f t="shared" si="45"/>
        <v>37.060880192160809</v>
      </c>
      <c r="EM27" s="20">
        <f t="shared" si="19"/>
        <v>314.19652766801346</v>
      </c>
      <c r="EN27" s="59">
        <f t="shared" si="20"/>
        <v>600.19652766801346</v>
      </c>
      <c r="EO27" s="59">
        <f ca="1">AVERAGE(OFFSET($EN$3,0,0,'Données projet'!$E$15+1,1))-AVERAGE(OFFSET($H$3,0,0,'Données projet'!$E$15+1,1))</f>
        <v>484.41278617935654</v>
      </c>
      <c r="EP27" s="59">
        <f t="shared" si="46"/>
        <v>467.97490540700738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16.8</v>
      </c>
      <c r="FE27" s="12">
        <f>IF('Données projet'!$A$218&gt;35,FE26+FD27-FM26,IF(A27&lt;'Données projet'!$A$218,$FB$205^A27,IF(A27='Données projet'!$A$218,'Données projet'!$B$218,FE26+FD27-FM26)))</f>
        <v>148.20000000000002</v>
      </c>
      <c r="FF27" s="17">
        <f>FE27*VLOOKUP('Données projet'!$B$16,Paramètres!$A$1:$I$89,3,0)*VLOOKUP('Données projet'!$B$16,Paramètres!$A$1:$I$89,5,0)</f>
        <v>159.52248000000003</v>
      </c>
      <c r="FG27" s="13">
        <f t="shared" si="47"/>
        <v>40.73479070866675</v>
      </c>
      <c r="FH27" s="20">
        <f t="shared" si="22"/>
        <v>348.78141315092802</v>
      </c>
      <c r="FI27" s="59">
        <f t="shared" si="23"/>
        <v>634.78141315092807</v>
      </c>
      <c r="FJ27" s="59">
        <f ca="1">AVERAGE(OFFSET($FI$3,0,0,'Données projet'!$E$16+1,1))-AVERAGE(OFFSET($H$3,0,0,'Données projet'!$E$16+1,1))</f>
        <v>534.54020133239135</v>
      </c>
      <c r="FK27" s="59">
        <f t="shared" si="48"/>
        <v>515.48696069008815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10.6</v>
      </c>
      <c r="FZ27" s="12">
        <f>IF('Données projet'!$A$244&gt;35,FZ26+FY27-GH26,IF(A27&lt;'Données projet'!$A$244,$FW$205^A27,IF(A27='Données projet'!$A$244,'Données projet'!$B$244,FZ26+FY27-GH26)))</f>
        <v>182.39999999999998</v>
      </c>
      <c r="GA27" s="17">
        <f>FZ27*VLOOKUP('Données projet'!$B$17,Paramètres!$A$1:$I$89,3,0)*VLOOKUP('Données projet'!$B$17,Paramètres!$A$1:$I$89,5,0)</f>
        <v>173.57183999999998</v>
      </c>
      <c r="GB27" s="13">
        <f t="shared" si="49"/>
        <v>43.889026259091224</v>
      </c>
      <c r="GC27" s="20">
        <f t="shared" si="25"/>
        <v>378.74434206791716</v>
      </c>
      <c r="GD27" s="59">
        <f t="shared" si="26"/>
        <v>664.74434206791716</v>
      </c>
      <c r="GE27" s="59">
        <f ca="1">AVERAGE(OFFSET($GD$3,0,0,'Données projet'!$E$17+1,1))-AVERAGE(OFFSET($H$3,0,0,'Données projet'!$E$17+1,1))</f>
        <v>455.71329051283936</v>
      </c>
      <c r="GF27" s="59">
        <f t="shared" si="50"/>
        <v>479.3743231122258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16.8</v>
      </c>
      <c r="GU27" s="12">
        <f>IF('Données projet'!$A$270&gt;35,GU26+GT27-HC26,IF(A27&lt;'Données projet'!$A$270,$GR$205^A27,IF(A27='Données projet'!$A$270,'Données projet'!$B$270,GU26+GT27-HC26)))</f>
        <v>148.20000000000002</v>
      </c>
      <c r="GV27" s="17">
        <f>GU27*VLOOKUP('Données projet'!$B$18,Paramètres!$A$1:$I$89,3,0)*VLOOKUP('Données projet'!$B$18,Paramètres!$A$1:$I$89,5,0)</f>
        <v>120.21984000000002</v>
      </c>
      <c r="GW27" s="13">
        <f t="shared" si="51"/>
        <v>31.726267900699519</v>
      </c>
      <c r="GX27" s="20">
        <f t="shared" si="28"/>
        <v>264.63947126038499</v>
      </c>
      <c r="GY27" s="59">
        <f t="shared" si="29"/>
        <v>550.63947126038499</v>
      </c>
      <c r="GZ27" s="59">
        <f ca="1">AVERAGE(OFFSET($GY$3,0,0,'Données projet'!$E$18+1,1))-AVERAGE(OFFSET($H$3,0,0,'Données projet'!$E$18+1,1))</f>
        <v>412.59676769258488</v>
      </c>
      <c r="HA27" s="59">
        <f t="shared" si="52"/>
        <v>399.90063795152133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0</v>
      </c>
      <c r="HI27" s="21">
        <f>EXP(-LN(2)/2)*HI26+(1-EXP(-LN(2)/2))/(LN(2)/2)*HC27*HF27*VLOOKUP('Données projet'!$B$18,Paramètres!$A$1:$I$89,3,0)*0.475*44/12</f>
        <v>0</v>
      </c>
      <c r="HJ27" s="22">
        <f t="shared" si="30"/>
        <v>0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103</v>
      </c>
      <c r="L28" s="12">
        <f>VLOOKUP(A28,'Données projet'!$A$35:$I$55,9,0)</f>
        <v>7.2</v>
      </c>
      <c r="M28" s="12">
        <f t="array" ref="M28">INDEX(L:L,MIN(IF(ISNUMBER(L28:L224),ROW(L28:L224),"")))</f>
        <v>7.2</v>
      </c>
      <c r="N28" s="13">
        <f>IF('Données projet'!$A$36&gt;35,N27+M28-V27,IF(A28&lt;'Données projet'!$A$36,$K$205^A28,IF(A28='Données projet'!$A$36,'Données projet'!$B$36,N27+M28-V27)))</f>
        <v>103.00000000000001</v>
      </c>
      <c r="O28" s="13">
        <f>N28*VLOOKUP('Données projet'!$B$9,Paramètres!$A$1:$I$89,3,0)*VLOOKUP('Données projet'!$B$9,Paramètres!$A$1:$I$89,5,0)</f>
        <v>93.194400000000002</v>
      </c>
      <c r="P28" s="13">
        <f t="shared" si="33"/>
        <v>25.33406653691528</v>
      </c>
      <c r="Q28" s="20">
        <f t="shared" si="2"/>
        <v>206.43707921846078</v>
      </c>
      <c r="R28" s="59">
        <f t="shared" si="0"/>
        <v>493.65930144068301</v>
      </c>
      <c r="S28" s="59">
        <f ca="1">AVERAGE(OFFSET($R$3,0,0,'Données projet'!$E$9+1,1))-AVERAGE(OFFSET($H$3,0,0,'Données projet'!$E$9+1,1))</f>
        <v>439.19854273764042</v>
      </c>
      <c r="T28" s="59">
        <f t="shared" si="34"/>
        <v>278.21741231699929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28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103</v>
      </c>
      <c r="AG28" s="12">
        <f>VLOOKUP(A28,'Données projet'!$A$61:$I$81,9,0)</f>
        <v>7.2</v>
      </c>
      <c r="AH28" s="12">
        <f t="array" ref="AH28">INDEX(AG:AG,MIN(IF(ISNUMBER(AG28:AG224),ROW(AG28:AG224),"")))</f>
        <v>7.2</v>
      </c>
      <c r="AI28" s="13">
        <f>IF('Données projet'!$A$62&gt;35,AI27+AH28-AQ27,IF(A28&lt;'Données projet'!$A$62,$AF$205^A28,IF(A28='Données projet'!$A$62,'Données projet'!$B$62,AI27+AH28-AQ27)))</f>
        <v>103.00000000000001</v>
      </c>
      <c r="AJ28" s="13">
        <f>AI28*VLOOKUP('Données projet'!$B$10,Paramètres!$A$1:$I$89,3,0)*VLOOKUP('Données projet'!$B$10,Paramètres!$A$1:$I$89,5,0)</f>
        <v>104.44200000000004</v>
      </c>
      <c r="AK28" s="13">
        <f t="shared" si="35"/>
        <v>28.01755116176631</v>
      </c>
      <c r="AL28" s="20">
        <f t="shared" si="4"/>
        <v>230.70038494007636</v>
      </c>
      <c r="AM28" s="59">
        <f t="shared" si="5"/>
        <v>517.92260716229862</v>
      </c>
      <c r="AN28" s="59">
        <f ca="1">AVERAGE(OFFSET($AM$3,0,0,'Données projet'!$E$10+1,1))-AVERAGE(OFFSET($H$3,0,0,'Données projet'!$E$10+1,1))</f>
        <v>487.18832528146936</v>
      </c>
      <c r="AO28" s="59">
        <f t="shared" si="36"/>
        <v>306.61893266146666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28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259</v>
      </c>
      <c r="BB28" s="12">
        <f>VLOOKUP(A28,'Données projet'!$A$87:$I$107,9,0)</f>
        <v>13</v>
      </c>
      <c r="BC28" s="12">
        <f t="array" ref="BC28">INDEX(BB:BB,MIN(IF(ISNUMBER(BB28:BB224),ROW(BB28:BB224),"")))</f>
        <v>13</v>
      </c>
      <c r="BD28" s="12">
        <f>IF('Données projet'!$A$88&gt;35,BD27+BC28-BL27,IF(A28&lt;'Données projet'!$A$88,$BA$205^A28,IF(A28='Données projet'!$A$88,'Données projet'!$B$88,BD27+BC28-BL27)))</f>
        <v>259</v>
      </c>
      <c r="BE28" s="13">
        <f>BD28*VLOOKUP('Données projet'!$B$11,Paramètres!$A$1:$I$89,3,0)*VLOOKUP('Données projet'!$B$11,Paramètres!$A$1:$I$89,5,0)</f>
        <v>234.3432</v>
      </c>
      <c r="BF28" s="13">
        <f t="shared" si="37"/>
        <v>57.220758006491664</v>
      </c>
      <c r="BG28" s="20">
        <f t="shared" si="7"/>
        <v>507.80722686130622</v>
      </c>
      <c r="BH28" s="59">
        <f t="shared" si="8"/>
        <v>795.02944908352845</v>
      </c>
      <c r="BI28" s="59">
        <f ca="1">AVERAGE(OFFSET($BH$3,0,0,'Données projet'!$E$11+1,1))-AVERAGE(OFFSET($H$3,0,0,'Données projet'!$E$11+1,1))</f>
        <v>436.23918637269577</v>
      </c>
      <c r="BJ28" s="59">
        <f t="shared" si="38"/>
        <v>611.43967996341894</v>
      </c>
      <c r="BK28" s="15">
        <f>IF(ISNA(VLOOKUP(A28,'Données projet'!$A$87:$I$107,3,0)),0,VLOOKUP(A28,'Données projet'!$A$87:$I$107,3,0))</f>
        <v>5</v>
      </c>
      <c r="BL28" s="15">
        <f>IF(ISNA(VLOOKUP(A28,'Données projet'!$A$87:$I$107,4,0)),0,VLOOKUP(A28,'Données projet'!$A$87:$I$107,4,0))</f>
        <v>18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183</v>
      </c>
      <c r="BW28" s="12">
        <f>VLOOKUP(A28,'Données projet'!$A$113:$I$133,9,0)</f>
        <v>15.8</v>
      </c>
      <c r="BX28" s="12">
        <f t="array" ref="BX28">INDEX(BW:BW,MIN(IF(ISNUMBER(BW28:BW224),ROW(BW28:BW224),"")))</f>
        <v>15.8</v>
      </c>
      <c r="BY28" s="12">
        <f>IF('Données projet'!$A$114&gt;35,BY27+BX28-CG27,IF(A28&lt;'Données projet'!$A$114,$BV$205^A28,IF(A28='Données projet'!$A$114,'Données projet'!$B$114,BY27+BX28-CG27)))</f>
        <v>183.00000000000006</v>
      </c>
      <c r="BZ28" s="13">
        <f>BY28*VLOOKUP('Données projet'!$B$12,Paramètres!$A$1:$I$89,3,0)*VLOOKUP('Données projet'!$B$12,Paramètres!$A$1:$I$89,5,0)</f>
        <v>159.86880000000008</v>
      </c>
      <c r="CA28" s="13">
        <f t="shared" si="39"/>
        <v>40.812921467768035</v>
      </c>
      <c r="CB28" s="20">
        <f t="shared" si="10"/>
        <v>349.52066488969609</v>
      </c>
      <c r="CC28" s="59">
        <f t="shared" si="11"/>
        <v>636.74288711191832</v>
      </c>
      <c r="CD28" s="59">
        <f ca="1">AVERAGE(OFFSET($CC$3,0,0,'Données projet'!$E$12+1,1))-AVERAGE(OFFSET($H$3,0,0,'Données projet'!$E$12+1,1))</f>
        <v>304.32767345253382</v>
      </c>
      <c r="CE28" s="59">
        <f t="shared" si="40"/>
        <v>427.16091343339173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52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419</v>
      </c>
      <c r="CR28" s="12">
        <f>VLOOKUP(A28,'Données projet'!$A$139:$I$159,9,0)</f>
        <v>31.8</v>
      </c>
      <c r="CS28" s="12">
        <f t="array" ref="CS28">INDEX(CR:CR,MIN(IF(ISNUMBER(CR28:CR224),ROW(CR28:CR224),"")))</f>
        <v>31.8</v>
      </c>
      <c r="CT28" s="12">
        <f>IF('Données projet'!$A$140&gt;35,CT27+CS28-DB27,IF(A28&lt;'Données projet'!$A$140,$CQ$205^A28,IF(A28='Données projet'!$A$140,'Données projet'!$B$140,CT27+CS28-DB27)))</f>
        <v>419</v>
      </c>
      <c r="CU28" s="17">
        <f>CT28*VLOOKUP('Données projet'!$B$13,Paramètres!$A$1:$I$89,3,0)*VLOOKUP('Données projet'!$B$13,Paramètres!$A$1:$I$89,5,0)</f>
        <v>234.221</v>
      </c>
      <c r="CV28" s="13">
        <f t="shared" si="41"/>
        <v>57.194392182630075</v>
      </c>
      <c r="CW28" s="20">
        <f t="shared" si="13"/>
        <v>507.54847471808063</v>
      </c>
      <c r="CX28" s="59">
        <f t="shared" si="14"/>
        <v>794.77069694030286</v>
      </c>
      <c r="CY28" s="59">
        <f ca="1">AVERAGE(OFFSET($CX$3,0,0,'Données projet'!$E$13+1,1))-AVERAGE(OFFSET($H$3,0,0,'Données projet'!$E$13+1,1))</f>
        <v>555.15881087162279</v>
      </c>
      <c r="CZ28" s="59">
        <f t="shared" si="42"/>
        <v>668.20427590250733</v>
      </c>
      <c r="DA28" s="15">
        <f>IF(ISNA(VLOOKUP(A28,'Données projet'!$A$139:$I$159,3,0)),0,VLOOKUP(A28,'Données projet'!$A$139:$I$159,3,0))</f>
        <v>2</v>
      </c>
      <c r="DB28" s="15">
        <f>IF(ISNA(VLOOKUP(A28,'Données projet'!$A$139:$I$159,4,0)),0,VLOOKUP(A28,'Données projet'!$A$139:$I$159,4,0))</f>
        <v>60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0.55000000000000004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24.374782328696071</v>
      </c>
      <c r="DH28" s="21">
        <f>EXP(-LN(2)/2)*DH27+(1-EXP(-LN(2)/2))/(LN(2)/2)*DB28*DE28*VLOOKUP('Données projet'!$B$13,Paramètres!$A$1:$I$89,3,0)*0.475*44/12</f>
        <v>4.811060447259333</v>
      </c>
      <c r="DI28" s="22">
        <f t="shared" si="15"/>
        <v>29.185842775955404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325</v>
      </c>
      <c r="DM28" s="12">
        <f>VLOOKUP(A28,'Données projet'!$A$165:$I$185,9,0)</f>
        <v>33.200000000000003</v>
      </c>
      <c r="DN28" s="12">
        <f t="array" ref="DN28">INDEX(DM:DM,MIN(IF(ISNUMBER(DM28:DM224),ROW(DM28:DM224),"")))</f>
        <v>33.200000000000003</v>
      </c>
      <c r="DO28" s="12">
        <f>IF('Données projet'!$A$166&gt;35,DO27+DN28-DW27,IF(A28&lt;'Données projet'!$A$166,$DL$205^A28,IF(A28='Données projet'!$A$166,'Données projet'!$B$166,DO27+DN28-DW27)))</f>
        <v>324.99999999999994</v>
      </c>
      <c r="DP28" s="17">
        <f>DO28*VLOOKUP('Données projet'!$B$14,Paramètres!$A$1:$I$89,3,0)*VLOOKUP('Données projet'!$B$14,Paramètres!$A$1:$I$89,5,0)</f>
        <v>152.09999999999997</v>
      </c>
      <c r="DQ28" s="13">
        <f t="shared" si="43"/>
        <v>39.055431318323095</v>
      </c>
      <c r="DR28" s="20">
        <f t="shared" si="16"/>
        <v>332.92904287941263</v>
      </c>
      <c r="DS28" s="59">
        <f t="shared" si="17"/>
        <v>620.15126510163486</v>
      </c>
      <c r="DT28" s="59">
        <f ca="1">AVERAGE(OFFSET($DS$3,0,0,'Données projet'!$E$14+1,1))-AVERAGE(OFFSET($H$3,0,0,'Données projet'!$E$14+1,1))</f>
        <v>523.79180230463714</v>
      </c>
      <c r="DU28" s="59">
        <f t="shared" si="44"/>
        <v>459.3547783500515</v>
      </c>
      <c r="DV28" s="15">
        <f>IF(ISNA(VLOOKUP(A28,'Données projet'!$A$165:$I$185,3,0)),0,VLOOKUP(A28,'Données projet'!$A$165:$I$185,3,0))</f>
        <v>2</v>
      </c>
      <c r="DW28" s="15">
        <f>IF(ISNA(VLOOKUP(A28,'Données projet'!$A$165:$I$185,4,0)),0,VLOOKUP(A28,'Données projet'!$A$165:$I$185,4,0))</f>
        <v>84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0.55000000000000004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28.569512310843759</v>
      </c>
      <c r="EC28" s="21">
        <f>EXP(-LN(2)/2)*EC27+(1-EXP(-LN(2)/2))/(LN(2)/2)*DW28*DZ28*VLOOKUP('Données projet'!$B$14,Paramètres!$A$1:$I$89,3,0)*0.475*44/12</f>
        <v>6.7443313571098891</v>
      </c>
      <c r="ED28" s="22">
        <f t="shared" si="18"/>
        <v>35.313843667953648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165</v>
      </c>
      <c r="EH28" s="12">
        <f>VLOOKUP(A28,'Données projet'!$A$191:$I$211,9,0)</f>
        <v>16.8</v>
      </c>
      <c r="EI28" s="12">
        <f t="array" ref="EI28">INDEX(EH:EH,MIN(IF(ISNUMBER(EH28:EH224),ROW(EH28:EH224),"")))</f>
        <v>16.8</v>
      </c>
      <c r="EJ28" s="12">
        <f>IF('Données projet'!$A$192&gt;35,EJ27+EI28-ER27,IF(A28&lt;'Données projet'!$A$192,$EG$205^A28,IF(A28='Données projet'!$A$192,'Données projet'!$B$192,EJ27+EI28-ER27)))</f>
        <v>165.00000000000003</v>
      </c>
      <c r="EK28" s="17">
        <f>EJ28*VLOOKUP('Données projet'!$B$15,Paramètres!$A$1:$I$89,3,0)*VLOOKUP('Données projet'!$B$15,Paramètres!$A$1:$I$89,5,0)</f>
        <v>159.58800000000002</v>
      </c>
      <c r="EL28" s="13">
        <f t="shared" si="45"/>
        <v>40.74957371668588</v>
      </c>
      <c r="EM28" s="20">
        <f t="shared" si="19"/>
        <v>348.92127422322795</v>
      </c>
      <c r="EN28" s="59">
        <f t="shared" si="20"/>
        <v>636.14349644545018</v>
      </c>
      <c r="EO28" s="59">
        <f ca="1">AVERAGE(OFFSET($EN$3,0,0,'Données projet'!$E$15+1,1))-AVERAGE(OFFSET($H$3,0,0,'Données projet'!$E$15+1,1))</f>
        <v>484.41278617935654</v>
      </c>
      <c r="EP28" s="59">
        <f t="shared" si="46"/>
        <v>467.97490540700738</v>
      </c>
      <c r="EQ28" s="15">
        <f>IF(ISNA(VLOOKUP(A28,'Données projet'!$A$191:$I$211,3,0)),0,VLOOKUP(A28,'Données projet'!$A$191:$I$211,3,0))</f>
        <v>4</v>
      </c>
      <c r="ER28" s="15">
        <f>IF(ISNA(VLOOKUP(A28,'Données projet'!$A$191:$I$211,4,0)),0,VLOOKUP(A28,'Données projet'!$A$191:$I$211,4,0))</f>
        <v>42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165</v>
      </c>
      <c r="FC28" s="12">
        <f>VLOOKUP(A28,'Données projet'!$A$217:$I$237,9,0)</f>
        <v>16.8</v>
      </c>
      <c r="FD28" s="12">
        <f t="array" ref="FD28">INDEX(FC:FC,MIN(IF(ISNUMBER(FC28:FC224),ROW(FC28:FC224),"")))</f>
        <v>16.8</v>
      </c>
      <c r="FE28" s="12">
        <f>IF('Données projet'!$A$218&gt;35,FE27+FD28-FM27,IF(A28&lt;'Données projet'!$A$218,$FB$205^A28,IF(A28='Données projet'!$A$218,'Données projet'!$B$218,FE27+FD28-FM27)))</f>
        <v>165.00000000000003</v>
      </c>
      <c r="FF28" s="17">
        <f>FE28*VLOOKUP('Données projet'!$B$16,Paramètres!$A$1:$I$89,3,0)*VLOOKUP('Données projet'!$B$16,Paramètres!$A$1:$I$89,5,0)</f>
        <v>177.60600000000002</v>
      </c>
      <c r="FG28" s="13">
        <f t="shared" si="47"/>
        <v>44.789150937858665</v>
      </c>
      <c r="FH28" s="20">
        <f t="shared" si="22"/>
        <v>387.33822121677053</v>
      </c>
      <c r="FI28" s="59">
        <f t="shared" si="23"/>
        <v>674.56044343899271</v>
      </c>
      <c r="FJ28" s="59">
        <f ca="1">AVERAGE(OFFSET($FI$3,0,0,'Données projet'!$E$16+1,1))-AVERAGE(OFFSET($H$3,0,0,'Données projet'!$E$16+1,1))</f>
        <v>534.54020133239135</v>
      </c>
      <c r="FK28" s="59">
        <f t="shared" si="48"/>
        <v>515.48696069008815</v>
      </c>
      <c r="FL28" s="15">
        <f>IF(ISNA(VLOOKUP(A28,'Données projet'!$A$217:$I$237,3,0)),0,VLOOKUP(A28,'Données projet'!$A$217:$I$237,3,0))</f>
        <v>4</v>
      </c>
      <c r="FM28" s="15">
        <f>IF(ISNA(VLOOKUP(A28,'Données projet'!$A$217:$I$237,4,0)),0,VLOOKUP(A28,'Données projet'!$A$217:$I$237,4,0))</f>
        <v>42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>
        <f>VLOOKUP(A28,'Données projet'!$A$243:$I$263,2,0)</f>
        <v>193</v>
      </c>
      <c r="FX28" s="12">
        <f>VLOOKUP(A28,'Données projet'!$A$243:$I$263,9,0)</f>
        <v>10.6</v>
      </c>
      <c r="FY28" s="12">
        <f t="array" ref="FY28">INDEX(FX:FX,MIN(IF(ISNUMBER(FX28:FX224),ROW(FX28:FX224),"")))</f>
        <v>10.6</v>
      </c>
      <c r="FZ28" s="12">
        <f>IF('Données projet'!$A$244&gt;35,FZ27+FY28-GH27,IF(A28&lt;'Données projet'!$A$244,$FW$205^A28,IF(A28='Données projet'!$A$244,'Données projet'!$B$244,FZ27+FY28-GH27)))</f>
        <v>192.99999999999997</v>
      </c>
      <c r="GA28" s="17">
        <f>FZ28*VLOOKUP('Données projet'!$B$17,Paramètres!$A$1:$I$89,3,0)*VLOOKUP('Données projet'!$B$17,Paramètres!$A$1:$I$89,5,0)</f>
        <v>183.65879999999996</v>
      </c>
      <c r="GB28" s="13">
        <f t="shared" si="49"/>
        <v>46.135245973879186</v>
      </c>
      <c r="GC28" s="20">
        <f t="shared" si="25"/>
        <v>400.22463007117284</v>
      </c>
      <c r="GD28" s="59">
        <f t="shared" si="26"/>
        <v>687.44685229339507</v>
      </c>
      <c r="GE28" s="59">
        <f ca="1">AVERAGE(OFFSET($GD$3,0,0,'Données projet'!$E$17+1,1))-AVERAGE(OFFSET($H$3,0,0,'Données projet'!$E$17+1,1))</f>
        <v>455.71329051283936</v>
      </c>
      <c r="GF28" s="59">
        <f t="shared" si="50"/>
        <v>479.3743231122258</v>
      </c>
      <c r="GG28" s="15">
        <f>IF(ISNA(VLOOKUP(A28,'Données projet'!$A$243:$I$263,3,0)),0,VLOOKUP(A28,'Données projet'!$A$243:$I$263,3,0))</f>
        <v>4</v>
      </c>
      <c r="GH28" s="15">
        <f>IF(ISNA(VLOOKUP(A28,'Données projet'!$A$243:$I$263,4,0)),0,VLOOKUP(A28,'Données projet'!$A$243:$I$263,4,0))</f>
        <v>27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>
        <f>VLOOKUP(A28,'Données projet'!$A$269:$I$289,2,0)</f>
        <v>165</v>
      </c>
      <c r="GS28" s="12">
        <f>VLOOKUP(A28,'Données projet'!$A$269:$I$289,9,0)</f>
        <v>16.8</v>
      </c>
      <c r="GT28" s="12">
        <f t="array" ref="GT28">INDEX(GS:GS,MIN(IF(ISNUMBER(GS28:GS224),ROW(GS28:GS224),"")))</f>
        <v>16.8</v>
      </c>
      <c r="GU28" s="12">
        <f>IF('Données projet'!$A$270&gt;35,GU27+GT28-HC27,IF(A28&lt;'Données projet'!$A$270,$GR$205^A28,IF(A28='Données projet'!$A$270,'Données projet'!$B$270,GU27+GT28-HC27)))</f>
        <v>165.00000000000003</v>
      </c>
      <c r="GV28" s="17">
        <f>GU28*VLOOKUP('Données projet'!$B$18,Paramètres!$A$1:$I$89,3,0)*VLOOKUP('Données projet'!$B$18,Paramètres!$A$1:$I$89,5,0)</f>
        <v>133.84800000000001</v>
      </c>
      <c r="GW28" s="13">
        <f t="shared" si="51"/>
        <v>34.884003992121691</v>
      </c>
      <c r="GX28" s="20">
        <f t="shared" si="28"/>
        <v>293.87490695294525</v>
      </c>
      <c r="GY28" s="59">
        <f t="shared" si="29"/>
        <v>581.09712917516754</v>
      </c>
      <c r="GZ28" s="59">
        <f ca="1">AVERAGE(OFFSET($GY$3,0,0,'Données projet'!$E$18+1,1))-AVERAGE(OFFSET($H$3,0,0,'Données projet'!$E$18+1,1))</f>
        <v>412.59676769258488</v>
      </c>
      <c r="HA28" s="59">
        <f t="shared" si="52"/>
        <v>399.90063795152133</v>
      </c>
      <c r="HB28" s="15">
        <f>IF(ISNA(VLOOKUP(A28,'Données projet'!$A$269:$I$289,3,0)),0,VLOOKUP(A28,'Données projet'!$A$269:$I$289,3,0))</f>
        <v>4</v>
      </c>
      <c r="HC28" s="15">
        <f>IF(ISNA(VLOOKUP(A28,'Données projet'!$A$269:$I$289,4,0)),0,VLOOKUP(A28,'Données projet'!$A$269:$I$289,4,0))</f>
        <v>42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0</v>
      </c>
      <c r="HI28" s="21">
        <f>EXP(-LN(2)/2)*HI27+(1-EXP(-LN(2)/2))/(LN(2)/2)*HC28*HF28*VLOOKUP('Données projet'!$B$18,Paramètres!$A$1:$I$89,3,0)*0.475*44/12</f>
        <v>0</v>
      </c>
      <c r="HJ28" s="22">
        <f t="shared" si="30"/>
        <v>0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9.1999999999999993</v>
      </c>
      <c r="N29" s="13">
        <f>IF('Données projet'!$A$36&gt;35,N28+M29-V28,IF(A29&lt;'Données projet'!$A$36,$K$205^A29,IF(A29='Données projet'!$A$36,'Données projet'!$B$36,N28+M29-V28)))</f>
        <v>84.200000000000017</v>
      </c>
      <c r="O29" s="13">
        <f>N29*VLOOKUP('Données projet'!$B$9,Paramètres!$A$1:$I$89,3,0)*VLOOKUP('Données projet'!$B$9,Paramètres!$A$1:$I$89,5,0)</f>
        <v>76.184160000000006</v>
      </c>
      <c r="P29" s="13">
        <f t="shared" si="33"/>
        <v>21.201554232857223</v>
      </c>
      <c r="Q29" s="20">
        <f t="shared" si="2"/>
        <v>169.613452288893</v>
      </c>
      <c r="R29" s="59">
        <f t="shared" si="0"/>
        <v>458.05789673333743</v>
      </c>
      <c r="S29" s="59">
        <f ca="1">AVERAGE(OFFSET($R$3,0,0,'Données projet'!$E$9+1,1))-AVERAGE(OFFSET($H$3,0,0,'Données projet'!$E$9+1,1))</f>
        <v>439.19854273764042</v>
      </c>
      <c r="T29" s="59">
        <f t="shared" si="34"/>
        <v>278.21741231699929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9.1999999999999993</v>
      </c>
      <c r="AI29" s="13">
        <f>IF('Données projet'!$A$62&gt;35,AI28+AH29-AQ28,IF(A29&lt;'Données projet'!$A$62,$AF$205^A29,IF(A29='Données projet'!$A$62,'Données projet'!$B$62,AI28+AH29-AQ28)))</f>
        <v>84.200000000000017</v>
      </c>
      <c r="AJ29" s="13">
        <f>AI29*VLOOKUP('Données projet'!$B$10,Paramètres!$A$1:$I$89,3,0)*VLOOKUP('Données projet'!$B$10,Paramètres!$A$1:$I$89,5,0)</f>
        <v>85.378800000000027</v>
      </c>
      <c r="AK29" s="13">
        <f t="shared" si="35"/>
        <v>23.447306793896516</v>
      </c>
      <c r="AL29" s="20">
        <f t="shared" si="4"/>
        <v>189.53880266603645</v>
      </c>
      <c r="AM29" s="59">
        <f t="shared" si="5"/>
        <v>477.98324711048087</v>
      </c>
      <c r="AN29" s="59">
        <f ca="1">AVERAGE(OFFSET($AM$3,0,0,'Données projet'!$E$10+1,1))-AVERAGE(OFFSET($H$3,0,0,'Données projet'!$E$10+1,1))</f>
        <v>487.18832528146936</v>
      </c>
      <c r="AO29" s="59">
        <f t="shared" si="36"/>
        <v>306.61893266146666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10.6</v>
      </c>
      <c r="BD29" s="12">
        <f>IF('Données projet'!$A$88&gt;35,BD28+BC29-BL28,IF(A29&lt;'Données projet'!$A$88,$BA$205^A29,IF(A29='Données projet'!$A$88,'Données projet'!$B$88,BD28+BC29-BL28)))</f>
        <v>251.60000000000002</v>
      </c>
      <c r="BE29" s="13">
        <f>BD29*VLOOKUP('Données projet'!$B$11,Paramètres!$A$1:$I$89,3,0)*VLOOKUP('Données projet'!$B$11,Paramètres!$A$1:$I$89,5,0)</f>
        <v>227.64768000000001</v>
      </c>
      <c r="BF29" s="13">
        <f t="shared" si="37"/>
        <v>55.773751036838362</v>
      </c>
      <c r="BG29" s="20">
        <f t="shared" si="7"/>
        <v>493.62565905582687</v>
      </c>
      <c r="BH29" s="59">
        <f t="shared" si="8"/>
        <v>782.07010350027133</v>
      </c>
      <c r="BI29" s="59">
        <f ca="1">AVERAGE(OFFSET($BH$3,0,0,'Données projet'!$E$11+1,1))-AVERAGE(OFFSET($H$3,0,0,'Données projet'!$E$11+1,1))</f>
        <v>436.23918637269577</v>
      </c>
      <c r="BJ29" s="59">
        <f t="shared" si="38"/>
        <v>611.43967996341894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14.8</v>
      </c>
      <c r="BY29" s="12">
        <f>IF('Données projet'!$A$114&gt;35,BY28+BX29-CG28,IF(A29&lt;'Données projet'!$A$114,$BV$205^A29,IF(A29='Données projet'!$A$114,'Données projet'!$B$114,BY28+BX29-CG28)))</f>
        <v>145.80000000000007</v>
      </c>
      <c r="BZ29" s="13">
        <f>BY29*VLOOKUP('Données projet'!$B$12,Paramètres!$A$1:$I$89,3,0)*VLOOKUP('Données projet'!$B$12,Paramètres!$A$1:$I$89,5,0)</f>
        <v>127.37088000000008</v>
      </c>
      <c r="CA29" s="13">
        <f t="shared" si="39"/>
        <v>33.388126388800522</v>
      </c>
      <c r="CB29" s="20">
        <f t="shared" si="10"/>
        <v>279.98860279382774</v>
      </c>
      <c r="CC29" s="59">
        <f t="shared" si="11"/>
        <v>568.43304723827214</v>
      </c>
      <c r="CD29" s="59">
        <f ca="1">AVERAGE(OFFSET($CC$3,0,0,'Données projet'!$E$12+1,1))-AVERAGE(OFFSET($H$3,0,0,'Données projet'!$E$12+1,1))</f>
        <v>304.32767345253382</v>
      </c>
      <c r="CE29" s="59">
        <f t="shared" si="40"/>
        <v>427.16091343339173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33</v>
      </c>
      <c r="CT29" s="12">
        <f>IF('Données projet'!$A$140&gt;35,CT28+CS29-DB28,IF(A29&lt;'Données projet'!$A$140,$CQ$205^A29,IF(A29='Données projet'!$A$140,'Données projet'!$B$140,CT28+CS29-DB28)))</f>
        <v>392</v>
      </c>
      <c r="CU29" s="17">
        <f>CT29*VLOOKUP('Données projet'!$B$13,Paramètres!$A$1:$I$89,3,0)*VLOOKUP('Données projet'!$B$13,Paramètres!$A$1:$I$89,5,0)</f>
        <v>219.12800000000001</v>
      </c>
      <c r="CV29" s="13">
        <f t="shared" si="41"/>
        <v>53.925317044064428</v>
      </c>
      <c r="CW29" s="20">
        <f t="shared" si="13"/>
        <v>475.56786051841215</v>
      </c>
      <c r="CX29" s="59">
        <f t="shared" si="14"/>
        <v>764.01230496285666</v>
      </c>
      <c r="CY29" s="59">
        <f ca="1">AVERAGE(OFFSET($CX$3,0,0,'Données projet'!$E$13+1,1))-AVERAGE(OFFSET($H$3,0,0,'Données projet'!$E$13+1,1))</f>
        <v>555.15881087162279</v>
      </c>
      <c r="CZ29" s="59">
        <f t="shared" si="42"/>
        <v>668.20427590250733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23.708252624103782</v>
      </c>
      <c r="DH29" s="21">
        <f>EXP(-LN(2)/2)*DH28+(1-EXP(-LN(2)/2))/(LN(2)/2)*DB29*DE29*VLOOKUP('Données projet'!$B$13,Paramètres!$A$1:$I$89,3,0)*0.475*44/12</f>
        <v>3.4019334669554588</v>
      </c>
      <c r="DI29" s="22">
        <f t="shared" si="15"/>
        <v>27.110186091059241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34.799999999999997</v>
      </c>
      <c r="DO29" s="12">
        <f>IF('Données projet'!$A$166&gt;35,DO28+DN29-DW28,IF(A29&lt;'Données projet'!$A$166,$DL$205^A29,IF(A29='Données projet'!$A$166,'Données projet'!$B$166,DO28+DN29-DW28)))</f>
        <v>275.79999999999995</v>
      </c>
      <c r="DP29" s="17">
        <f>DO29*VLOOKUP('Données projet'!$B$14,Paramètres!$A$1:$I$89,3,0)*VLOOKUP('Données projet'!$B$14,Paramètres!$A$1:$I$89,5,0)</f>
        <v>129.07439999999997</v>
      </c>
      <c r="DQ29" s="13">
        <f t="shared" si="43"/>
        <v>33.782391484889324</v>
      </c>
      <c r="DR29" s="20">
        <f t="shared" si="16"/>
        <v>283.64224516951549</v>
      </c>
      <c r="DS29" s="59">
        <f t="shared" si="17"/>
        <v>572.08668961395995</v>
      </c>
      <c r="DT29" s="59">
        <f ca="1">AVERAGE(OFFSET($DS$3,0,0,'Données projet'!$E$14+1,1))-AVERAGE(OFFSET($H$3,0,0,'Données projet'!$E$14+1,1))</f>
        <v>523.79180230463714</v>
      </c>
      <c r="DU29" s="59">
        <f t="shared" si="44"/>
        <v>459.3547783500515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27.788277494298381</v>
      </c>
      <c r="EC29" s="21">
        <f>EXP(-LN(2)/2)*EC28+(1-EXP(-LN(2)/2))/(LN(2)/2)*DW29*DZ29*VLOOKUP('Données projet'!$B$14,Paramètres!$A$1:$I$89,3,0)*0.475*44/12</f>
        <v>4.7689624371814734</v>
      </c>
      <c r="ED29" s="22">
        <f t="shared" si="18"/>
        <v>32.557239931479856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16.399999999999999</v>
      </c>
      <c r="EJ29" s="12">
        <f>IF('Données projet'!$A$192&gt;35,EJ28+EI29-ER28,IF(A29&lt;'Données projet'!$A$192,$EG$205^A29,IF(A29='Données projet'!$A$192,'Données projet'!$B$192,EJ28+EI29-ER28)))</f>
        <v>139.40000000000003</v>
      </c>
      <c r="EK29" s="17">
        <f>EJ29*VLOOKUP('Données projet'!$B$15,Paramètres!$A$1:$I$89,3,0)*VLOOKUP('Données projet'!$B$15,Paramètres!$A$1:$I$89,5,0)</f>
        <v>134.82768000000004</v>
      </c>
      <c r="EL29" s="13">
        <f t="shared" si="45"/>
        <v>35.109516092536481</v>
      </c>
      <c r="EM29" s="20">
        <f t="shared" si="19"/>
        <v>295.97394986116774</v>
      </c>
      <c r="EN29" s="59">
        <f t="shared" si="20"/>
        <v>584.4183943056122</v>
      </c>
      <c r="EO29" s="59">
        <f ca="1">AVERAGE(OFFSET($EN$3,0,0,'Données projet'!$E$15+1,1))-AVERAGE(OFFSET($H$3,0,0,'Données projet'!$E$15+1,1))</f>
        <v>484.41278617935654</v>
      </c>
      <c r="EP29" s="59">
        <f t="shared" si="46"/>
        <v>467.97490540700738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16.399999999999999</v>
      </c>
      <c r="FE29" s="12">
        <f>IF('Données projet'!$A$218&gt;35,FE28+FD29-FM28,IF(A29&lt;'Données projet'!$A$218,$FB$205^A29,IF(A29='Données projet'!$A$218,'Données projet'!$B$218,FE28+FD29-FM28)))</f>
        <v>139.40000000000003</v>
      </c>
      <c r="FF29" s="17">
        <f>FE29*VLOOKUP('Données projet'!$B$16,Paramètres!$A$1:$I$89,3,0)*VLOOKUP('Données projet'!$B$16,Paramètres!$A$1:$I$89,5,0)</f>
        <v>150.05016000000003</v>
      </c>
      <c r="FG29" s="13">
        <f t="shared" si="47"/>
        <v>38.589984439024605</v>
      </c>
      <c r="FH29" s="20">
        <f t="shared" si="22"/>
        <v>328.5482515646346</v>
      </c>
      <c r="FI29" s="59">
        <f t="shared" si="23"/>
        <v>616.99269600907905</v>
      </c>
      <c r="FJ29" s="59">
        <f ca="1">AVERAGE(OFFSET($FI$3,0,0,'Données projet'!$E$16+1,1))-AVERAGE(OFFSET($H$3,0,0,'Données projet'!$E$16+1,1))</f>
        <v>534.54020133239135</v>
      </c>
      <c r="FK29" s="59">
        <f t="shared" si="48"/>
        <v>515.48696069008815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9.6</v>
      </c>
      <c r="FZ29" s="12">
        <f>IF('Données projet'!$A$244&gt;35,FZ28+FY29-GH28,IF(A29&lt;'Données projet'!$A$244,$FW$205^A29,IF(A29='Données projet'!$A$244,'Données projet'!$B$244,FZ28+FY29-GH28)))</f>
        <v>175.59999999999997</v>
      </c>
      <c r="GA29" s="17">
        <f>FZ29*VLOOKUP('Données projet'!$B$17,Paramètres!$A$1:$I$89,3,0)*VLOOKUP('Données projet'!$B$17,Paramètres!$A$1:$I$89,5,0)</f>
        <v>167.10095999999996</v>
      </c>
      <c r="GB29" s="13">
        <f t="shared" si="49"/>
        <v>42.440086521434345</v>
      </c>
      <c r="GC29" s="20">
        <f t="shared" si="25"/>
        <v>364.95065602483146</v>
      </c>
      <c r="GD29" s="59">
        <f t="shared" si="26"/>
        <v>653.39510046927592</v>
      </c>
      <c r="GE29" s="59">
        <f ca="1">AVERAGE(OFFSET($GD$3,0,0,'Données projet'!$E$17+1,1))-AVERAGE(OFFSET($H$3,0,0,'Données projet'!$E$17+1,1))</f>
        <v>455.71329051283936</v>
      </c>
      <c r="GF29" s="59">
        <f t="shared" si="50"/>
        <v>479.3743231122258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16.399999999999999</v>
      </c>
      <c r="GU29" s="12">
        <f>IF('Données projet'!$A$270&gt;35,GU28+GT29-HC28,IF(A29&lt;'Données projet'!$A$270,$GR$205^A29,IF(A29='Données projet'!$A$270,'Données projet'!$B$270,GU28+GT29-HC28)))</f>
        <v>139.40000000000003</v>
      </c>
      <c r="GV29" s="17">
        <f>GU29*VLOOKUP('Données projet'!$B$18,Paramètres!$A$1:$I$89,3,0)*VLOOKUP('Données projet'!$B$18,Paramètres!$A$1:$I$89,5,0)</f>
        <v>113.08128000000002</v>
      </c>
      <c r="GW29" s="13">
        <f t="shared" si="51"/>
        <v>30.05578679297923</v>
      </c>
      <c r="GX29" s="20">
        <f t="shared" si="28"/>
        <v>249.29705799777221</v>
      </c>
      <c r="GY29" s="59">
        <f t="shared" si="29"/>
        <v>537.74150244221664</v>
      </c>
      <c r="GZ29" s="59">
        <f ca="1">AVERAGE(OFFSET($GY$3,0,0,'Données projet'!$E$18+1,1))-AVERAGE(OFFSET($H$3,0,0,'Données projet'!$E$18+1,1))</f>
        <v>412.59676769258488</v>
      </c>
      <c r="HA29" s="59">
        <f t="shared" si="52"/>
        <v>399.90063795152133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0</v>
      </c>
      <c r="HI29" s="21">
        <f>EXP(-LN(2)/2)*HI28+(1-EXP(-LN(2)/2))/(LN(2)/2)*HC29*HF29*VLOOKUP('Données projet'!$B$18,Paramètres!$A$1:$I$89,3,0)*0.475*44/12</f>
        <v>0</v>
      </c>
      <c r="HJ29" s="22">
        <f t="shared" si="30"/>
        <v>0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9.1999999999999993</v>
      </c>
      <c r="N30" s="13">
        <f>IF('Données projet'!$A$36&gt;35,N29+M30-V29,IF(A30&lt;'Données projet'!$A$36,$K$205^A30,IF(A30='Données projet'!$A$36,'Données projet'!$B$36,N29+M30-V29)))</f>
        <v>93.40000000000002</v>
      </c>
      <c r="O30" s="13">
        <f>N30*VLOOKUP('Données projet'!$B$9,Paramètres!$A$1:$I$89,3,0)*VLOOKUP('Données projet'!$B$9,Paramètres!$A$1:$I$89,5,0)</f>
        <v>84.508320000000026</v>
      </c>
      <c r="P30" s="13">
        <f t="shared" si="33"/>
        <v>23.235950088324714</v>
      </c>
      <c r="Q30" s="20">
        <f t="shared" si="2"/>
        <v>187.65460373716556</v>
      </c>
      <c r="R30" s="59">
        <f t="shared" si="0"/>
        <v>477.32127040383227</v>
      </c>
      <c r="S30" s="59">
        <f ca="1">AVERAGE(OFFSET($R$3,0,0,'Données projet'!$E$9+1,1))-AVERAGE(OFFSET($H$3,0,0,'Données projet'!$E$9+1,1))</f>
        <v>439.19854273764042</v>
      </c>
      <c r="T30" s="59">
        <f t="shared" si="34"/>
        <v>278.21741231699929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9.1999999999999993</v>
      </c>
      <c r="AI30" s="13">
        <f>IF('Données projet'!$A$62&gt;35,AI29+AH30-AQ29,IF(A30&lt;'Données projet'!$A$62,$AF$205^A30,IF(A30='Données projet'!$A$62,'Données projet'!$B$62,AI29+AH30-AQ29)))</f>
        <v>93.40000000000002</v>
      </c>
      <c r="AJ30" s="13">
        <f>AI30*VLOOKUP('Données projet'!$B$10,Paramètres!$A$1:$I$89,3,0)*VLOOKUP('Données projet'!$B$10,Paramètres!$A$1:$I$89,5,0)</f>
        <v>94.707600000000028</v>
      </c>
      <c r="AK30" s="13">
        <f t="shared" si="35"/>
        <v>25.697193912523566</v>
      </c>
      <c r="AL30" s="20">
        <f t="shared" si="4"/>
        <v>209.70501606431188</v>
      </c>
      <c r="AM30" s="59">
        <f t="shared" si="5"/>
        <v>499.37168273097859</v>
      </c>
      <c r="AN30" s="59">
        <f ca="1">AVERAGE(OFFSET($AM$3,0,0,'Données projet'!$E$10+1,1))-AVERAGE(OFFSET($H$3,0,0,'Données projet'!$E$10+1,1))</f>
        <v>487.18832528146936</v>
      </c>
      <c r="AO30" s="59">
        <f t="shared" si="36"/>
        <v>306.61893266146666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10.6</v>
      </c>
      <c r="BD30" s="12">
        <f>IF('Données projet'!$A$88&gt;35,BD29+BC30-BL29,IF(A30&lt;'Données projet'!$A$88,$BA$205^A30,IF(A30='Données projet'!$A$88,'Données projet'!$B$88,BD29+BC30-BL29)))</f>
        <v>262.20000000000005</v>
      </c>
      <c r="BE30" s="13">
        <f>BD30*VLOOKUP('Données projet'!$B$11,Paramètres!$A$1:$I$89,3,0)*VLOOKUP('Données projet'!$B$11,Paramètres!$A$1:$I$89,5,0)</f>
        <v>237.23856000000004</v>
      </c>
      <c r="BF30" s="13">
        <f t="shared" si="37"/>
        <v>57.84499363660688</v>
      </c>
      <c r="BG30" s="20">
        <f t="shared" si="7"/>
        <v>513.93718925042367</v>
      </c>
      <c r="BH30" s="59">
        <f t="shared" si="8"/>
        <v>803.60385591709041</v>
      </c>
      <c r="BI30" s="59">
        <f ca="1">AVERAGE(OFFSET($BH$3,0,0,'Données projet'!$E$11+1,1))-AVERAGE(OFFSET($H$3,0,0,'Données projet'!$E$11+1,1))</f>
        <v>436.23918637269577</v>
      </c>
      <c r="BJ30" s="59">
        <f t="shared" si="38"/>
        <v>611.43967996341894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14.8</v>
      </c>
      <c r="BY30" s="12">
        <f>IF('Données projet'!$A$114&gt;35,BY29+BX30-CG29,IF(A30&lt;'Données projet'!$A$114,$BV$205^A30,IF(A30='Données projet'!$A$114,'Données projet'!$B$114,BY29+BX30-CG29)))</f>
        <v>160.60000000000008</v>
      </c>
      <c r="BZ30" s="13">
        <f>BY30*VLOOKUP('Données projet'!$B$12,Paramètres!$A$1:$I$89,3,0)*VLOOKUP('Données projet'!$B$12,Paramètres!$A$1:$I$89,5,0)</f>
        <v>140.30016000000009</v>
      </c>
      <c r="CA30" s="13">
        <f t="shared" si="39"/>
        <v>36.365759362628388</v>
      </c>
      <c r="CB30" s="20">
        <f t="shared" si="10"/>
        <v>307.69314288991126</v>
      </c>
      <c r="CC30" s="59">
        <f t="shared" si="11"/>
        <v>597.35980955657794</v>
      </c>
      <c r="CD30" s="59">
        <f ca="1">AVERAGE(OFFSET($CC$3,0,0,'Données projet'!$E$12+1,1))-AVERAGE(OFFSET($H$3,0,0,'Données projet'!$E$12+1,1))</f>
        <v>304.32767345253382</v>
      </c>
      <c r="CE30" s="59">
        <f t="shared" si="40"/>
        <v>427.16091343339173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33</v>
      </c>
      <c r="CT30" s="12">
        <f>IF('Données projet'!$A$140&gt;35,CT29+CS30-DB29,IF(A30&lt;'Données projet'!$A$140,$CQ$205^A30,IF(A30='Données projet'!$A$140,'Données projet'!$B$140,CT29+CS30-DB29)))</f>
        <v>425</v>
      </c>
      <c r="CU30" s="17">
        <f>CT30*VLOOKUP('Données projet'!$B$13,Paramètres!$A$1:$I$89,3,0)*VLOOKUP('Données projet'!$B$13,Paramètres!$A$1:$I$89,5,0)</f>
        <v>237.57500000000002</v>
      </c>
      <c r="CV30" s="13">
        <f t="shared" si="41"/>
        <v>57.917471937261162</v>
      </c>
      <c r="CW30" s="20">
        <f t="shared" si="13"/>
        <v>514.64938862406325</v>
      </c>
      <c r="CX30" s="59">
        <f t="shared" si="14"/>
        <v>804.31605529072999</v>
      </c>
      <c r="CY30" s="59">
        <f ca="1">AVERAGE(OFFSET($CX$3,0,0,'Données projet'!$E$13+1,1))-AVERAGE(OFFSET($H$3,0,0,'Données projet'!$E$13+1,1))</f>
        <v>555.15881087162279</v>
      </c>
      <c r="CZ30" s="59">
        <f t="shared" si="42"/>
        <v>668.20427590250733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23.059949209334846</v>
      </c>
      <c r="DH30" s="21">
        <f>EXP(-LN(2)/2)*DH29+(1-EXP(-LN(2)/2))/(LN(2)/2)*DB30*DE30*VLOOKUP('Données projet'!$B$13,Paramètres!$A$1:$I$89,3,0)*0.475*44/12</f>
        <v>2.405530223629667</v>
      </c>
      <c r="DI30" s="22">
        <f t="shared" si="15"/>
        <v>25.465479432964514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34.799999999999997</v>
      </c>
      <c r="DO30" s="12">
        <f>IF('Données projet'!$A$166&gt;35,DO29+DN30-DW29,IF(A30&lt;'Données projet'!$A$166,$DL$205^A30,IF(A30='Données projet'!$A$166,'Données projet'!$B$166,DO29+DN30-DW29)))</f>
        <v>310.59999999999997</v>
      </c>
      <c r="DP30" s="17">
        <f>DO30*VLOOKUP('Données projet'!$B$14,Paramètres!$A$1:$I$89,3,0)*VLOOKUP('Données projet'!$B$14,Paramètres!$A$1:$I$89,5,0)</f>
        <v>145.36079999999998</v>
      </c>
      <c r="DQ30" s="13">
        <f t="shared" si="43"/>
        <v>37.522390863089207</v>
      </c>
      <c r="DR30" s="20">
        <f t="shared" si="16"/>
        <v>318.52155741988031</v>
      </c>
      <c r="DS30" s="59">
        <f t="shared" si="17"/>
        <v>608.18822408654705</v>
      </c>
      <c r="DT30" s="59">
        <f ca="1">AVERAGE(OFFSET($DS$3,0,0,'Données projet'!$E$14+1,1))-AVERAGE(OFFSET($H$3,0,0,'Données projet'!$E$14+1,1))</f>
        <v>523.79180230463714</v>
      </c>
      <c r="DU30" s="59">
        <f t="shared" si="44"/>
        <v>459.3547783500515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27.028405584894788</v>
      </c>
      <c r="EC30" s="21">
        <f>EXP(-LN(2)/2)*EC29+(1-EXP(-LN(2)/2))/(LN(2)/2)*DW30*DZ30*VLOOKUP('Données projet'!$B$14,Paramètres!$A$1:$I$89,3,0)*0.475*44/12</f>
        <v>3.3721656785549445</v>
      </c>
      <c r="ED30" s="22">
        <f t="shared" si="18"/>
        <v>30.400571263449734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16.399999999999999</v>
      </c>
      <c r="EJ30" s="12">
        <f>IF('Données projet'!$A$192&gt;35,EJ29+EI30-ER29,IF(A30&lt;'Données projet'!$A$192,$EG$205^A30,IF(A30='Données projet'!$A$192,'Données projet'!$B$192,EJ29+EI30-ER29)))</f>
        <v>155.80000000000004</v>
      </c>
      <c r="EK30" s="17">
        <f>EJ30*VLOOKUP('Données projet'!$B$15,Paramètres!$A$1:$I$89,3,0)*VLOOKUP('Données projet'!$B$15,Paramètres!$A$1:$I$89,5,0)</f>
        <v>150.68976000000004</v>
      </c>
      <c r="EL30" s="13">
        <f t="shared" si="45"/>
        <v>38.735294176946205</v>
      </c>
      <c r="EM30" s="20">
        <f t="shared" si="19"/>
        <v>329.91530269151468</v>
      </c>
      <c r="EN30" s="59">
        <f t="shared" si="20"/>
        <v>619.58196935818137</v>
      </c>
      <c r="EO30" s="59">
        <f ca="1">AVERAGE(OFFSET($EN$3,0,0,'Données projet'!$E$15+1,1))-AVERAGE(OFFSET($H$3,0,0,'Données projet'!$E$15+1,1))</f>
        <v>484.41278617935654</v>
      </c>
      <c r="EP30" s="59">
        <f t="shared" si="46"/>
        <v>467.97490540700738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16.399999999999999</v>
      </c>
      <c r="FE30" s="12">
        <f>IF('Données projet'!$A$218&gt;35,FE29+FD30-FM29,IF(A30&lt;'Données projet'!$A$218,$FB$205^A30,IF(A30='Données projet'!$A$218,'Données projet'!$B$218,FE29+FD30-FM29)))</f>
        <v>155.80000000000004</v>
      </c>
      <c r="FF30" s="17">
        <f>FE30*VLOOKUP('Données projet'!$B$16,Paramètres!$A$1:$I$89,3,0)*VLOOKUP('Données projet'!$B$16,Paramètres!$A$1:$I$89,5,0)</f>
        <v>167.70312000000004</v>
      </c>
      <c r="FG30" s="13">
        <f t="shared" si="47"/>
        <v>42.575192309390879</v>
      </c>
      <c r="FH30" s="20">
        <f t="shared" si="22"/>
        <v>366.2347272721891</v>
      </c>
      <c r="FI30" s="59">
        <f t="shared" si="23"/>
        <v>655.90139393885579</v>
      </c>
      <c r="FJ30" s="59">
        <f ca="1">AVERAGE(OFFSET($FI$3,0,0,'Données projet'!$E$16+1,1))-AVERAGE(OFFSET($H$3,0,0,'Données projet'!$E$16+1,1))</f>
        <v>534.54020133239135</v>
      </c>
      <c r="FK30" s="59">
        <f t="shared" si="48"/>
        <v>515.48696069008815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9.6</v>
      </c>
      <c r="FZ30" s="12">
        <f>IF('Données projet'!$A$244&gt;35,FZ29+FY30-GH29,IF(A30&lt;'Données projet'!$A$244,$FW$205^A30,IF(A30='Données projet'!$A$244,'Données projet'!$B$244,FZ29+FY30-GH29)))</f>
        <v>185.19999999999996</v>
      </c>
      <c r="GA30" s="17">
        <f>FZ30*VLOOKUP('Données projet'!$B$17,Paramètres!$A$1:$I$89,3,0)*VLOOKUP('Données projet'!$B$17,Paramètres!$A$1:$I$89,5,0)</f>
        <v>176.23631999999998</v>
      </c>
      <c r="GB30" s="13">
        <f t="shared" si="49"/>
        <v>44.483809700571747</v>
      </c>
      <c r="GC30" s="20">
        <f t="shared" si="25"/>
        <v>384.42089256182908</v>
      </c>
      <c r="GD30" s="59">
        <f t="shared" si="26"/>
        <v>674.08755922849582</v>
      </c>
      <c r="GE30" s="59">
        <f ca="1">AVERAGE(OFFSET($GD$3,0,0,'Données projet'!$E$17+1,1))-AVERAGE(OFFSET($H$3,0,0,'Données projet'!$E$17+1,1))</f>
        <v>455.71329051283936</v>
      </c>
      <c r="GF30" s="59">
        <f t="shared" si="50"/>
        <v>479.3743231122258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16.399999999999999</v>
      </c>
      <c r="GU30" s="12">
        <f>IF('Données projet'!$A$270&gt;35,GU29+GT30-HC29,IF(A30&lt;'Données projet'!$A$270,$GR$205^A30,IF(A30='Données projet'!$A$270,'Données projet'!$B$270,GU29+GT30-HC29)))</f>
        <v>155.80000000000004</v>
      </c>
      <c r="GV30" s="17">
        <f>GU30*VLOOKUP('Données projet'!$B$18,Paramètres!$A$1:$I$89,3,0)*VLOOKUP('Données projet'!$B$18,Paramètres!$A$1:$I$89,5,0)</f>
        <v>126.38496000000004</v>
      </c>
      <c r="GW30" s="13">
        <f t="shared" si="51"/>
        <v>33.159663610206088</v>
      </c>
      <c r="GX30" s="20">
        <f t="shared" si="28"/>
        <v>277.87355278777568</v>
      </c>
      <c r="GY30" s="59">
        <f t="shared" si="29"/>
        <v>567.54021945444242</v>
      </c>
      <c r="GZ30" s="59">
        <f ca="1">AVERAGE(OFFSET($GY$3,0,0,'Données projet'!$E$18+1,1))-AVERAGE(OFFSET($H$3,0,0,'Données projet'!$E$18+1,1))</f>
        <v>412.59676769258488</v>
      </c>
      <c r="HA30" s="59">
        <f t="shared" si="52"/>
        <v>399.90063795152133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0</v>
      </c>
      <c r="HI30" s="21">
        <f>EXP(-LN(2)/2)*HI29+(1-EXP(-LN(2)/2))/(LN(2)/2)*HC30*HF30*VLOOKUP('Données projet'!$B$18,Paramètres!$A$1:$I$89,3,0)*0.475*44/12</f>
        <v>0</v>
      </c>
      <c r="HJ30" s="22">
        <f t="shared" si="30"/>
        <v>0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9.1999999999999993</v>
      </c>
      <c r="N31" s="13">
        <f>IF('Données projet'!$A$36&gt;35,N30+M31-V30,IF(A31&lt;'Données projet'!$A$36,$K$205^A31,IF(A31='Données projet'!$A$36,'Données projet'!$B$36,N30+M31-V30)))</f>
        <v>102.60000000000002</v>
      </c>
      <c r="O31" s="13">
        <f>N31*VLOOKUP('Données projet'!$B$9,Paramètres!$A$1:$I$89,3,0)*VLOOKUP('Données projet'!$B$9,Paramètres!$A$1:$I$89,5,0)</f>
        <v>92.832480000000018</v>
      </c>
      <c r="P31" s="13">
        <f t="shared" si="33"/>
        <v>25.247114117480137</v>
      </c>
      <c r="Q31" s="20">
        <f t="shared" si="2"/>
        <v>205.65529308794461</v>
      </c>
      <c r="R31" s="59">
        <f t="shared" si="0"/>
        <v>496.54418197683344</v>
      </c>
      <c r="S31" s="59">
        <f ca="1">AVERAGE(OFFSET($R$3,0,0,'Données projet'!$E$9+1,1))-AVERAGE(OFFSET($H$3,0,0,'Données projet'!$E$9+1,1))</f>
        <v>439.19854273764042</v>
      </c>
      <c r="T31" s="59">
        <f t="shared" si="34"/>
        <v>278.21741231699929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9.1999999999999993</v>
      </c>
      <c r="AI31" s="13">
        <f>IF('Données projet'!$A$62&gt;35,AI30+AH31-AQ30,IF(A31&lt;'Données projet'!$A$62,$AF$205^A31,IF(A31='Données projet'!$A$62,'Données projet'!$B$62,AI30+AH31-AQ30)))</f>
        <v>102.60000000000002</v>
      </c>
      <c r="AJ31" s="13">
        <f>AI31*VLOOKUP('Données projet'!$B$10,Paramètres!$A$1:$I$89,3,0)*VLOOKUP('Données projet'!$B$10,Paramètres!$A$1:$I$89,5,0)</f>
        <v>104.03640000000003</v>
      </c>
      <c r="AK31" s="13">
        <f t="shared" si="35"/>
        <v>27.921388397820998</v>
      </c>
      <c r="AL31" s="20">
        <f t="shared" si="4"/>
        <v>229.82648145953826</v>
      </c>
      <c r="AM31" s="59">
        <f t="shared" si="5"/>
        <v>520.71537034842709</v>
      </c>
      <c r="AN31" s="59">
        <f ca="1">AVERAGE(OFFSET($AM$3,0,0,'Données projet'!$E$10+1,1))-AVERAGE(OFFSET($H$3,0,0,'Données projet'!$E$10+1,1))</f>
        <v>487.18832528146936</v>
      </c>
      <c r="AO31" s="59">
        <f t="shared" si="36"/>
        <v>306.61893266146666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10.6</v>
      </c>
      <c r="BD31" s="12">
        <f>IF('Données projet'!$A$88&gt;35,BD30+BC31-BL30,IF(A31&lt;'Données projet'!$A$88,$BA$205^A31,IF(A31='Données projet'!$A$88,'Données projet'!$B$88,BD30+BC31-BL30)))</f>
        <v>272.80000000000007</v>
      </c>
      <c r="BE31" s="13">
        <f>BD31*VLOOKUP('Données projet'!$B$11,Paramètres!$A$1:$I$89,3,0)*VLOOKUP('Données projet'!$B$11,Paramètres!$A$1:$I$89,5,0)</f>
        <v>246.82944000000003</v>
      </c>
      <c r="BF31" s="13">
        <f t="shared" si="37"/>
        <v>59.906509645447485</v>
      </c>
      <c r="BG31" s="20">
        <f t="shared" si="7"/>
        <v>534.23177896582104</v>
      </c>
      <c r="BH31" s="59">
        <f t="shared" si="8"/>
        <v>825.12066785470984</v>
      </c>
      <c r="BI31" s="59">
        <f ca="1">AVERAGE(OFFSET($BH$3,0,0,'Données projet'!$E$11+1,1))-AVERAGE(OFFSET($H$3,0,0,'Données projet'!$E$11+1,1))</f>
        <v>436.23918637269577</v>
      </c>
      <c r="BJ31" s="59">
        <f t="shared" si="38"/>
        <v>611.43967996341894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14.8</v>
      </c>
      <c r="BY31" s="12">
        <f>IF('Données projet'!$A$114&gt;35,BY30+BX31-CG30,IF(A31&lt;'Données projet'!$A$114,$BV$205^A31,IF(A31='Données projet'!$A$114,'Données projet'!$B$114,BY30+BX31-CG30)))</f>
        <v>175.40000000000009</v>
      </c>
      <c r="BZ31" s="13">
        <f>BY31*VLOOKUP('Données projet'!$B$12,Paramètres!$A$1:$I$89,3,0)*VLOOKUP('Données projet'!$B$12,Paramètres!$A$1:$I$89,5,0)</f>
        <v>153.2294400000001</v>
      </c>
      <c r="CA31" s="13">
        <f t="shared" si="39"/>
        <v>39.311575138468363</v>
      </c>
      <c r="CB31" s="20">
        <f t="shared" si="10"/>
        <v>335.34226803283252</v>
      </c>
      <c r="CC31" s="59">
        <f t="shared" si="11"/>
        <v>626.23115692172132</v>
      </c>
      <c r="CD31" s="59">
        <f ca="1">AVERAGE(OFFSET($CC$3,0,0,'Données projet'!$E$12+1,1))-AVERAGE(OFFSET($H$3,0,0,'Données projet'!$E$12+1,1))</f>
        <v>304.32767345253382</v>
      </c>
      <c r="CE31" s="59">
        <f t="shared" si="40"/>
        <v>427.16091343339173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33</v>
      </c>
      <c r="CT31" s="12">
        <f>IF('Données projet'!$A$140&gt;35,CT30+CS31-DB30,IF(A31&lt;'Données projet'!$A$140,$CQ$205^A31,IF(A31='Données projet'!$A$140,'Données projet'!$B$140,CT30+CS31-DB30)))</f>
        <v>458</v>
      </c>
      <c r="CU31" s="17">
        <f>CT31*VLOOKUP('Données projet'!$B$13,Paramètres!$A$1:$I$89,3,0)*VLOOKUP('Données projet'!$B$13,Paramètres!$A$1:$I$89,5,0)</f>
        <v>256.02199999999999</v>
      </c>
      <c r="CV31" s="13">
        <f t="shared" si="41"/>
        <v>61.873669712051253</v>
      </c>
      <c r="CW31" s="20">
        <f t="shared" si="13"/>
        <v>553.66829141515586</v>
      </c>
      <c r="CX31" s="59">
        <f t="shared" si="14"/>
        <v>844.55718030404478</v>
      </c>
      <c r="CY31" s="59">
        <f ca="1">AVERAGE(OFFSET($CX$3,0,0,'Données projet'!$E$13+1,1))-AVERAGE(OFFSET($H$3,0,0,'Données projet'!$E$13+1,1))</f>
        <v>555.15881087162279</v>
      </c>
      <c r="CZ31" s="59">
        <f t="shared" si="42"/>
        <v>668.20427590250733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22.429373685535559</v>
      </c>
      <c r="DH31" s="21">
        <f>EXP(-LN(2)/2)*DH30+(1-EXP(-LN(2)/2))/(LN(2)/2)*DB31*DE31*VLOOKUP('Données projet'!$B$13,Paramètres!$A$1:$I$89,3,0)*0.475*44/12</f>
        <v>1.7009667334777299</v>
      </c>
      <c r="DI31" s="22">
        <f t="shared" si="15"/>
        <v>24.13034041901329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34.799999999999997</v>
      </c>
      <c r="DO31" s="12">
        <f>IF('Données projet'!$A$166&gt;35,DO30+DN31-DW30,IF(A31&lt;'Données projet'!$A$166,$DL$205^A31,IF(A31='Données projet'!$A$166,'Données projet'!$B$166,DO30+DN31-DW30)))</f>
        <v>345.4</v>
      </c>
      <c r="DP31" s="17">
        <f>DO31*VLOOKUP('Données projet'!$B$14,Paramètres!$A$1:$I$89,3,0)*VLOOKUP('Données projet'!$B$14,Paramètres!$A$1:$I$89,5,0)</f>
        <v>161.6472</v>
      </c>
      <c r="DQ31" s="13">
        <f t="shared" si="43"/>
        <v>41.213824203214038</v>
      </c>
      <c r="DR31" s="20">
        <f t="shared" si="16"/>
        <v>353.31628382059779</v>
      </c>
      <c r="DS31" s="59">
        <f t="shared" si="17"/>
        <v>644.20517270948665</v>
      </c>
      <c r="DT31" s="59">
        <f ca="1">AVERAGE(OFFSET($DS$3,0,0,'Données projet'!$E$14+1,1))-AVERAGE(OFFSET($H$3,0,0,'Données projet'!$E$14+1,1))</f>
        <v>523.79180230463714</v>
      </c>
      <c r="DU31" s="59">
        <f t="shared" si="44"/>
        <v>459.3547783500515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26.289312412813764</v>
      </c>
      <c r="EC31" s="21">
        <f>EXP(-LN(2)/2)*EC30+(1-EXP(-LN(2)/2))/(LN(2)/2)*DW31*DZ31*VLOOKUP('Données projet'!$B$14,Paramètres!$A$1:$I$89,3,0)*0.475*44/12</f>
        <v>2.3844812185907367</v>
      </c>
      <c r="ED31" s="22">
        <f t="shared" si="18"/>
        <v>28.6737936314045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16.399999999999999</v>
      </c>
      <c r="EJ31" s="12">
        <f>IF('Données projet'!$A$192&gt;35,EJ30+EI31-ER30,IF(A31&lt;'Données projet'!$A$192,$EG$205^A31,IF(A31='Données projet'!$A$192,'Données projet'!$B$192,EJ30+EI31-ER30)))</f>
        <v>172.20000000000005</v>
      </c>
      <c r="EK31" s="17">
        <f>EJ31*VLOOKUP('Données projet'!$B$15,Paramètres!$A$1:$I$89,3,0)*VLOOKUP('Données projet'!$B$15,Paramètres!$A$1:$I$89,5,0)</f>
        <v>166.55184000000006</v>
      </c>
      <c r="EL31" s="13">
        <f t="shared" si="45"/>
        <v>42.316831835556208</v>
      </c>
      <c r="EM31" s="20">
        <f t="shared" si="19"/>
        <v>363.77960344692718</v>
      </c>
      <c r="EN31" s="59">
        <f t="shared" si="20"/>
        <v>654.66849233581604</v>
      </c>
      <c r="EO31" s="59">
        <f ca="1">AVERAGE(OFFSET($EN$3,0,0,'Données projet'!$E$15+1,1))-AVERAGE(OFFSET($H$3,0,0,'Données projet'!$E$15+1,1))</f>
        <v>484.41278617935654</v>
      </c>
      <c r="EP31" s="59">
        <f t="shared" si="46"/>
        <v>467.97490540700738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16.399999999999999</v>
      </c>
      <c r="FE31" s="12">
        <f>IF('Données projet'!$A$218&gt;35,FE30+FD31-FM30,IF(A31&lt;'Données projet'!$A$218,$FB$205^A31,IF(A31='Données projet'!$A$218,'Données projet'!$B$218,FE30+FD31-FM30)))</f>
        <v>172.20000000000005</v>
      </c>
      <c r="FF31" s="17">
        <f>FE31*VLOOKUP('Données projet'!$B$16,Paramètres!$A$1:$I$89,3,0)*VLOOKUP('Données projet'!$B$16,Paramètres!$A$1:$I$89,5,0)</f>
        <v>185.35608000000005</v>
      </c>
      <c r="FG31" s="13">
        <f t="shared" si="47"/>
        <v>46.511774122403146</v>
      </c>
      <c r="FH31" s="20">
        <f t="shared" si="22"/>
        <v>403.83651259651884</v>
      </c>
      <c r="FI31" s="59">
        <f t="shared" si="23"/>
        <v>694.7254014854077</v>
      </c>
      <c r="FJ31" s="59">
        <f ca="1">AVERAGE(OFFSET($FI$3,0,0,'Données projet'!$E$16+1,1))-AVERAGE(OFFSET($H$3,0,0,'Données projet'!$E$16+1,1))</f>
        <v>534.54020133239135</v>
      </c>
      <c r="FK31" s="59">
        <f t="shared" si="48"/>
        <v>515.48696069008815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9.6</v>
      </c>
      <c r="FZ31" s="12">
        <f>IF('Données projet'!$A$244&gt;35,FZ30+FY31-GH30,IF(A31&lt;'Données projet'!$A$244,$FW$205^A31,IF(A31='Données projet'!$A$244,'Données projet'!$B$244,FZ30+FY31-GH30)))</f>
        <v>194.79999999999995</v>
      </c>
      <c r="GA31" s="17">
        <f>FZ31*VLOOKUP('Données projet'!$B$17,Paramètres!$A$1:$I$89,3,0)*VLOOKUP('Données projet'!$B$17,Paramètres!$A$1:$I$89,5,0)</f>
        <v>185.37167999999997</v>
      </c>
      <c r="GB31" s="13">
        <f t="shared" si="49"/>
        <v>46.515232992466068</v>
      </c>
      <c r="GC31" s="20">
        <f t="shared" si="25"/>
        <v>403.86970679521164</v>
      </c>
      <c r="GD31" s="59">
        <f t="shared" si="26"/>
        <v>694.75859568410056</v>
      </c>
      <c r="GE31" s="59">
        <f ca="1">AVERAGE(OFFSET($GD$3,0,0,'Données projet'!$E$17+1,1))-AVERAGE(OFFSET($H$3,0,0,'Données projet'!$E$17+1,1))</f>
        <v>455.71329051283936</v>
      </c>
      <c r="GF31" s="59">
        <f t="shared" si="50"/>
        <v>479.3743231122258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16.399999999999999</v>
      </c>
      <c r="GU31" s="12">
        <f>IF('Données projet'!$A$270&gt;35,GU30+GT31-HC30,IF(A31&lt;'Données projet'!$A$270,$GR$205^A31,IF(A31='Données projet'!$A$270,'Données projet'!$B$270,GU30+GT31-HC30)))</f>
        <v>172.20000000000005</v>
      </c>
      <c r="GV31" s="17">
        <f>GU31*VLOOKUP('Données projet'!$B$18,Paramètres!$A$1:$I$89,3,0)*VLOOKUP('Données projet'!$B$18,Paramètres!$A$1:$I$89,5,0)</f>
        <v>139.68864000000005</v>
      </c>
      <c r="GW31" s="13">
        <f t="shared" si="51"/>
        <v>36.22566805112433</v>
      </c>
      <c r="GX31" s="20">
        <f t="shared" si="28"/>
        <v>306.38408652237496</v>
      </c>
      <c r="GY31" s="59">
        <f t="shared" si="29"/>
        <v>597.27297541126381</v>
      </c>
      <c r="GZ31" s="59">
        <f ca="1">AVERAGE(OFFSET($GY$3,0,0,'Données projet'!$E$18+1,1))-AVERAGE(OFFSET($H$3,0,0,'Données projet'!$E$18+1,1))</f>
        <v>412.59676769258488</v>
      </c>
      <c r="HA31" s="59">
        <f t="shared" si="52"/>
        <v>399.90063795152133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0</v>
      </c>
      <c r="HI31" s="21">
        <f>EXP(-LN(2)/2)*HI30+(1-EXP(-LN(2)/2))/(LN(2)/2)*HC31*HF31*VLOOKUP('Données projet'!$B$18,Paramètres!$A$1:$I$89,3,0)*0.475*44/12</f>
        <v>0</v>
      </c>
      <c r="HJ31" s="22">
        <f t="shared" si="30"/>
        <v>0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9.1999999999999993</v>
      </c>
      <c r="N32" s="13">
        <f>IF('Données projet'!$A$36&gt;35,N31+M32-V31,IF(A32&lt;'Données projet'!$A$36,$K$205^A32,IF(A32='Données projet'!$A$36,'Données projet'!$B$36,N31+M32-V31)))</f>
        <v>111.80000000000003</v>
      </c>
      <c r="O32" s="13">
        <f>N32*VLOOKUP('Données projet'!$B$9,Paramètres!$A$1:$I$89,3,0)*VLOOKUP('Données projet'!$B$9,Paramètres!$A$1:$I$89,5,0)</f>
        <v>101.15664000000001</v>
      </c>
      <c r="P32" s="13">
        <f t="shared" si="33"/>
        <v>27.237366379381644</v>
      </c>
      <c r="Q32" s="20">
        <f t="shared" si="2"/>
        <v>223.61956111075639</v>
      </c>
      <c r="R32" s="59">
        <f t="shared" si="0"/>
        <v>515.73067222186751</v>
      </c>
      <c r="S32" s="59">
        <f ca="1">AVERAGE(OFFSET($R$3,0,0,'Données projet'!$E$9+1,1))-AVERAGE(OFFSET($H$3,0,0,'Données projet'!$E$9+1,1))</f>
        <v>439.19854273764042</v>
      </c>
      <c r="T32" s="59">
        <f t="shared" si="34"/>
        <v>278.21741231699929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9.1999999999999993</v>
      </c>
      <c r="AI32" s="13">
        <f>IF('Données projet'!$A$62&gt;35,AI31+AH32-AQ31,IF(A32&lt;'Données projet'!$A$62,$AF$205^A32,IF(A32='Données projet'!$A$62,'Données projet'!$B$62,AI31+AH32-AQ31)))</f>
        <v>111.80000000000003</v>
      </c>
      <c r="AJ32" s="13">
        <f>AI32*VLOOKUP('Données projet'!$B$10,Paramètres!$A$1:$I$89,3,0)*VLOOKUP('Données projet'!$B$10,Paramètres!$A$1:$I$89,5,0)</f>
        <v>113.36520000000003</v>
      </c>
      <c r="AK32" s="13">
        <f t="shared" si="35"/>
        <v>30.122456058687614</v>
      </c>
      <c r="AL32" s="20">
        <f t="shared" si="4"/>
        <v>249.9076676355476</v>
      </c>
      <c r="AM32" s="59">
        <f t="shared" si="5"/>
        <v>542.01877874665877</v>
      </c>
      <c r="AN32" s="59">
        <f ca="1">AVERAGE(OFFSET($AM$3,0,0,'Données projet'!$E$10+1,1))-AVERAGE(OFFSET($H$3,0,0,'Données projet'!$E$10+1,1))</f>
        <v>487.18832528146936</v>
      </c>
      <c r="AO32" s="59">
        <f t="shared" si="36"/>
        <v>306.61893266146666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10.6</v>
      </c>
      <c r="BD32" s="12">
        <f>IF('Données projet'!$A$88&gt;35,BD31+BC32-BL31,IF(A32&lt;'Données projet'!$A$88,$BA$205^A32,IF(A32='Données projet'!$A$88,'Données projet'!$B$88,BD31+BC32-BL31)))</f>
        <v>283.40000000000009</v>
      </c>
      <c r="BE32" s="13">
        <f>BD32*VLOOKUP('Données projet'!$B$11,Paramètres!$A$1:$I$89,3,0)*VLOOKUP('Données projet'!$B$11,Paramètres!$A$1:$I$89,5,0)</f>
        <v>256.42032000000006</v>
      </c>
      <c r="BF32" s="13">
        <f t="shared" si="37"/>
        <v>61.958720258016918</v>
      </c>
      <c r="BG32" s="20">
        <f t="shared" si="7"/>
        <v>554.51016178271277</v>
      </c>
      <c r="BH32" s="59">
        <f t="shared" si="8"/>
        <v>846.62127289382397</v>
      </c>
      <c r="BI32" s="59">
        <f ca="1">AVERAGE(OFFSET($BH$3,0,0,'Données projet'!$E$11+1,1))-AVERAGE(OFFSET($H$3,0,0,'Données projet'!$E$11+1,1))</f>
        <v>436.23918637269577</v>
      </c>
      <c r="BJ32" s="59">
        <f t="shared" si="38"/>
        <v>611.43967996341894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14.8</v>
      </c>
      <c r="BY32" s="12">
        <f>IF('Données projet'!$A$114&gt;35,BY31+BX32-CG31,IF(A32&lt;'Données projet'!$A$114,$BV$205^A32,IF(A32='Données projet'!$A$114,'Données projet'!$B$114,BY31+BX32-CG31)))</f>
        <v>190.2000000000001</v>
      </c>
      <c r="BZ32" s="13">
        <f>BY32*VLOOKUP('Données projet'!$B$12,Paramètres!$A$1:$I$89,3,0)*VLOOKUP('Données projet'!$B$12,Paramètres!$A$1:$I$89,5,0)</f>
        <v>166.15872000000013</v>
      </c>
      <c r="CA32" s="13">
        <f t="shared" si="39"/>
        <v>42.228563636586422</v>
      </c>
      <c r="CB32" s="20">
        <f t="shared" si="10"/>
        <v>362.94118566705487</v>
      </c>
      <c r="CC32" s="59">
        <f t="shared" si="11"/>
        <v>655.05229677816601</v>
      </c>
      <c r="CD32" s="59">
        <f ca="1">AVERAGE(OFFSET($CC$3,0,0,'Données projet'!$E$12+1,1))-AVERAGE(OFFSET($H$3,0,0,'Données projet'!$E$12+1,1))</f>
        <v>304.32767345253382</v>
      </c>
      <c r="CE32" s="59">
        <f t="shared" si="40"/>
        <v>427.16091343339173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33</v>
      </c>
      <c r="CT32" s="12">
        <f>IF('Données projet'!$A$140&gt;35,CT31+CS32-DB31,IF(A32&lt;'Données projet'!$A$140,$CQ$205^A32,IF(A32='Données projet'!$A$140,'Données projet'!$B$140,CT31+CS32-DB31)))</f>
        <v>491</v>
      </c>
      <c r="CU32" s="17">
        <f>CT32*VLOOKUP('Données projet'!$B$13,Paramètres!$A$1:$I$89,3,0)*VLOOKUP('Données projet'!$B$13,Paramètres!$A$1:$I$89,5,0)</f>
        <v>274.46899999999999</v>
      </c>
      <c r="CV32" s="13">
        <f t="shared" si="41"/>
        <v>65.796795812732981</v>
      </c>
      <c r="CW32" s="20">
        <f t="shared" si="13"/>
        <v>592.62959437384313</v>
      </c>
      <c r="CX32" s="59">
        <f t="shared" si="14"/>
        <v>884.74070548495433</v>
      </c>
      <c r="CY32" s="59">
        <f ca="1">AVERAGE(OFFSET($CX$3,0,0,'Données projet'!$E$13+1,1))-AVERAGE(OFFSET($H$3,0,0,'Données projet'!$E$13+1,1))</f>
        <v>555.15881087162279</v>
      </c>
      <c r="CZ32" s="59">
        <f t="shared" si="42"/>
        <v>668.20427590250733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21.816041282595091</v>
      </c>
      <c r="DH32" s="21">
        <f>EXP(-LN(2)/2)*DH31+(1-EXP(-LN(2)/2))/(LN(2)/2)*DB32*DE32*VLOOKUP('Données projet'!$B$13,Paramètres!$A$1:$I$89,3,0)*0.475*44/12</f>
        <v>1.2027651118148337</v>
      </c>
      <c r="DI32" s="22">
        <f t="shared" si="15"/>
        <v>23.018806394409925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34.799999999999997</v>
      </c>
      <c r="DO32" s="12">
        <f>IF('Données projet'!$A$166&gt;35,DO31+DN32-DW31,IF(A32&lt;'Données projet'!$A$166,$DL$205^A32,IF(A32='Données projet'!$A$166,'Données projet'!$B$166,DO31+DN32-DW31)))</f>
        <v>380.2</v>
      </c>
      <c r="DP32" s="17">
        <f>DO32*VLOOKUP('Données projet'!$B$14,Paramètres!$A$1:$I$89,3,0)*VLOOKUP('Données projet'!$B$14,Paramètres!$A$1:$I$89,5,0)</f>
        <v>177.93359999999998</v>
      </c>
      <c r="DQ32" s="13">
        <f t="shared" si="43"/>
        <v>44.862141751330832</v>
      </c>
      <c r="DR32" s="20">
        <f t="shared" si="16"/>
        <v>388.03591688356778</v>
      </c>
      <c r="DS32" s="59">
        <f t="shared" si="17"/>
        <v>680.14702799467887</v>
      </c>
      <c r="DT32" s="59">
        <f ca="1">AVERAGE(OFFSET($DS$3,0,0,'Données projet'!$E$14+1,1))-AVERAGE(OFFSET($H$3,0,0,'Données projet'!$E$14+1,1))</f>
        <v>523.79180230463714</v>
      </c>
      <c r="DU32" s="59">
        <f t="shared" si="44"/>
        <v>459.3547783500515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25.570429782390516</v>
      </c>
      <c r="EC32" s="21">
        <f>EXP(-LN(2)/2)*EC31+(1-EXP(-LN(2)/2))/(LN(2)/2)*DW32*DZ32*VLOOKUP('Données projet'!$B$14,Paramètres!$A$1:$I$89,3,0)*0.475*44/12</f>
        <v>1.6860828392774723</v>
      </c>
      <c r="ED32" s="22">
        <f t="shared" si="18"/>
        <v>27.256512621667987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16.399999999999999</v>
      </c>
      <c r="EJ32" s="12">
        <f>IF('Données projet'!$A$192&gt;35,EJ31+EI32-ER31,IF(A32&lt;'Données projet'!$A$192,$EG$205^A32,IF(A32='Données projet'!$A$192,'Données projet'!$B$192,EJ31+EI32-ER31)))</f>
        <v>188.60000000000005</v>
      </c>
      <c r="EK32" s="17">
        <f>EJ32*VLOOKUP('Données projet'!$B$15,Paramètres!$A$1:$I$89,3,0)*VLOOKUP('Données projet'!$B$15,Paramètres!$A$1:$I$89,5,0)</f>
        <v>182.41392000000005</v>
      </c>
      <c r="EL32" s="13">
        <f t="shared" si="45"/>
        <v>45.85882179981607</v>
      </c>
      <c r="EM32" s="20">
        <f t="shared" si="19"/>
        <v>397.57502530134639</v>
      </c>
      <c r="EN32" s="59">
        <f t="shared" si="20"/>
        <v>689.68613641245747</v>
      </c>
      <c r="EO32" s="59">
        <f ca="1">AVERAGE(OFFSET($EN$3,0,0,'Données projet'!$E$15+1,1))-AVERAGE(OFFSET($H$3,0,0,'Données projet'!$E$15+1,1))</f>
        <v>484.41278617935654</v>
      </c>
      <c r="EP32" s="59">
        <f t="shared" si="46"/>
        <v>467.97490540700738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16.399999999999999</v>
      </c>
      <c r="FE32" s="12">
        <f>IF('Données projet'!$A$218&gt;35,FE31+FD32-FM31,IF(A32&lt;'Données projet'!$A$218,$FB$205^A32,IF(A32='Données projet'!$A$218,'Données projet'!$B$218,FE31+FD32-FM31)))</f>
        <v>188.60000000000005</v>
      </c>
      <c r="FF32" s="17">
        <f>FE32*VLOOKUP('Données projet'!$B$16,Paramètres!$A$1:$I$89,3,0)*VLOOKUP('Données projet'!$B$16,Paramètres!$A$1:$I$89,5,0)</f>
        <v>203.00904000000003</v>
      </c>
      <c r="FG32" s="13">
        <f t="shared" si="47"/>
        <v>50.404887808268668</v>
      </c>
      <c r="FH32" s="20">
        <f t="shared" si="22"/>
        <v>441.36259093273458</v>
      </c>
      <c r="FI32" s="59">
        <f t="shared" si="23"/>
        <v>733.47370204384572</v>
      </c>
      <c r="FJ32" s="59">
        <f ca="1">AVERAGE(OFFSET($FI$3,0,0,'Données projet'!$E$16+1,1))-AVERAGE(OFFSET($H$3,0,0,'Données projet'!$E$16+1,1))</f>
        <v>534.54020133239135</v>
      </c>
      <c r="FK32" s="59">
        <f t="shared" si="48"/>
        <v>515.48696069008815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9.6</v>
      </c>
      <c r="FZ32" s="12">
        <f>IF('Données projet'!$A$244&gt;35,FZ31+FY32-GH31,IF(A32&lt;'Données projet'!$A$244,$FW$205^A32,IF(A32='Données projet'!$A$244,'Données projet'!$B$244,FZ31+FY32-GH31)))</f>
        <v>204.39999999999995</v>
      </c>
      <c r="GA32" s="17">
        <f>FZ32*VLOOKUP('Données projet'!$B$17,Paramètres!$A$1:$I$89,3,0)*VLOOKUP('Données projet'!$B$17,Paramètres!$A$1:$I$89,5,0)</f>
        <v>194.50703999999996</v>
      </c>
      <c r="GB32" s="13">
        <f t="shared" si="49"/>
        <v>48.535031730585615</v>
      </c>
      <c r="GC32" s="20">
        <f t="shared" si="25"/>
        <v>423.29827493076988</v>
      </c>
      <c r="GD32" s="59">
        <f t="shared" si="26"/>
        <v>715.40938604188102</v>
      </c>
      <c r="GE32" s="59">
        <f ca="1">AVERAGE(OFFSET($GD$3,0,0,'Données projet'!$E$17+1,1))-AVERAGE(OFFSET($H$3,0,0,'Données projet'!$E$17+1,1))</f>
        <v>455.71329051283936</v>
      </c>
      <c r="GF32" s="59">
        <f t="shared" si="50"/>
        <v>479.3743231122258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16.399999999999999</v>
      </c>
      <c r="GU32" s="12">
        <f>IF('Données projet'!$A$270&gt;35,GU31+GT32-HC31,IF(A32&lt;'Données projet'!$A$270,$GR$205^A32,IF(A32='Données projet'!$A$270,'Données projet'!$B$270,GU31+GT32-HC31)))</f>
        <v>188.60000000000005</v>
      </c>
      <c r="GV32" s="17">
        <f>GU32*VLOOKUP('Données projet'!$B$18,Paramètres!$A$1:$I$89,3,0)*VLOOKUP('Données projet'!$B$18,Paramètres!$A$1:$I$89,5,0)</f>
        <v>152.99232000000006</v>
      </c>
      <c r="GW32" s="13">
        <f t="shared" si="51"/>
        <v>39.257817366657008</v>
      </c>
      <c r="GX32" s="20">
        <f t="shared" si="28"/>
        <v>334.83565591359439</v>
      </c>
      <c r="GY32" s="59">
        <f t="shared" si="29"/>
        <v>626.94676702470554</v>
      </c>
      <c r="GZ32" s="59">
        <f ca="1">AVERAGE(OFFSET($GY$3,0,0,'Données projet'!$E$18+1,1))-AVERAGE(OFFSET($H$3,0,0,'Données projet'!$E$18+1,1))</f>
        <v>412.59676769258488</v>
      </c>
      <c r="HA32" s="59">
        <f t="shared" si="52"/>
        <v>399.90063795152133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0</v>
      </c>
      <c r="HH32" s="21">
        <f>EXP(-LN(2)/25)*HH31+(1-EXP(-LN(2)/25))/(LN(2)/25)*Calculateur!HC32*Calculateur!HE32*VLOOKUP('Données projet'!$B$18,Paramètres!$A$1:$I$89,3,0)*0.475*44/12</f>
        <v>0</v>
      </c>
      <c r="HI32" s="21">
        <f>EXP(-LN(2)/2)*HI31+(1-EXP(-LN(2)/2))/(LN(2)/2)*HC32*HF32*VLOOKUP('Données projet'!$B$18,Paramètres!$A$1:$I$89,3,0)*0.475*44/12</f>
        <v>0</v>
      </c>
      <c r="HJ32" s="22">
        <f t="shared" si="30"/>
        <v>0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</v>
      </c>
      <c r="L33" s="12">
        <f>VLOOKUP(A33,'Données projet'!$A$35:$I$55,9,0)</f>
        <v>9.1999999999999993</v>
      </c>
      <c r="M33" s="12">
        <f t="array" ref="M33">INDEX(L:L,MIN(IF(ISNUMBER(L33:L229),ROW(L33:L229),"")))</f>
        <v>9.1999999999999993</v>
      </c>
      <c r="N33" s="13">
        <f>IF('Données projet'!$A$36&gt;35,N32+M33-V32,IF(A33&lt;'Données projet'!$A$36,$K$205^A33,IF(A33='Données projet'!$A$36,'Données projet'!$B$36,N32+M33-V32)))</f>
        <v>121.00000000000003</v>
      </c>
      <c r="O33" s="13">
        <f>N33*VLOOKUP('Données projet'!$B$9,Paramètres!$A$1:$I$89,3,0)*VLOOKUP('Données projet'!$B$9,Paramètres!$A$1:$I$89,5,0)</f>
        <v>109.48080000000002</v>
      </c>
      <c r="P33" s="13">
        <f t="shared" si="33"/>
        <v>29.208623339903898</v>
      </c>
      <c r="Q33" s="20">
        <f t="shared" si="2"/>
        <v>241.55074565033269</v>
      </c>
      <c r="R33" s="59">
        <f t="shared" si="0"/>
        <v>534.88407898366597</v>
      </c>
      <c r="S33" s="59">
        <f ca="1">AVERAGE(OFFSET($R$3,0,0,'Données projet'!$E$9+1,1))-AVERAGE(OFFSET($H$3,0,0,'Données projet'!$E$9+1,1))</f>
        <v>439.19854273764042</v>
      </c>
      <c r="T33" s="59">
        <f t="shared" si="34"/>
        <v>278.21741231699929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28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121</v>
      </c>
      <c r="AG33" s="12">
        <f>VLOOKUP(A33,'Données projet'!$A$61:$I$81,9,0)</f>
        <v>9.1999999999999993</v>
      </c>
      <c r="AH33" s="12">
        <f t="array" ref="AH33">INDEX(AG:AG,MIN(IF(ISNUMBER(AG33:AG229),ROW(AG33:AG229),"")))</f>
        <v>9.1999999999999993</v>
      </c>
      <c r="AI33" s="13">
        <f>IF('Données projet'!$A$62&gt;35,AI32+AH33-AQ32,IF(A33&lt;'Données projet'!$A$62,$AF$205^A33,IF(A33='Données projet'!$A$62,'Données projet'!$B$62,AI32+AH33-AQ32)))</f>
        <v>121.00000000000003</v>
      </c>
      <c r="AJ33" s="13">
        <f>AI33*VLOOKUP('Données projet'!$B$10,Paramètres!$A$1:$I$89,3,0)*VLOOKUP('Données projet'!$B$10,Paramètres!$A$1:$I$89,5,0)</f>
        <v>122.69400000000003</v>
      </c>
      <c r="AK33" s="13">
        <f t="shared" si="35"/>
        <v>32.302516360650685</v>
      </c>
      <c r="AL33" s="20">
        <f t="shared" si="4"/>
        <v>269.95226599480003</v>
      </c>
      <c r="AM33" s="59">
        <f t="shared" si="5"/>
        <v>563.28559932813334</v>
      </c>
      <c r="AN33" s="59">
        <f ca="1">AVERAGE(OFFSET($AM$3,0,0,'Données projet'!$E$10+1,1))-AVERAGE(OFFSET($H$3,0,0,'Données projet'!$E$10+1,1))</f>
        <v>487.18832528146936</v>
      </c>
      <c r="AO33" s="59">
        <f t="shared" si="36"/>
        <v>306.61893266146666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28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294</v>
      </c>
      <c r="BB33" s="12">
        <f>VLOOKUP(A33,'Données projet'!$A$87:$I$107,9,0)</f>
        <v>10.6</v>
      </c>
      <c r="BC33" s="12">
        <f t="array" ref="BC33">INDEX(BB:BB,MIN(IF(ISNUMBER(BB33:BB229),ROW(BB33:BB229),"")))</f>
        <v>10.6</v>
      </c>
      <c r="BD33" s="12">
        <f>IF('Données projet'!$A$88&gt;35,BD32+BC33-BL32,IF(A33&lt;'Données projet'!$A$88,$BA$205^A33,IF(A33='Données projet'!$A$88,'Données projet'!$B$88,BD32+BC33-BL32)))</f>
        <v>294.00000000000011</v>
      </c>
      <c r="BE33" s="13">
        <f>BD33*VLOOKUP('Données projet'!$B$11,Paramètres!$A$1:$I$89,3,0)*VLOOKUP('Données projet'!$B$11,Paramètres!$A$1:$I$89,5,0)</f>
        <v>266.01120000000009</v>
      </c>
      <c r="BF33" s="13">
        <f t="shared" si="37"/>
        <v>64.002013376125717</v>
      </c>
      <c r="BG33" s="20">
        <f t="shared" si="7"/>
        <v>574.77301329675242</v>
      </c>
      <c r="BH33" s="59">
        <f t="shared" si="8"/>
        <v>868.10634663008568</v>
      </c>
      <c r="BI33" s="59">
        <f ca="1">AVERAGE(OFFSET($BH$3,0,0,'Données projet'!$E$11+1,1))-AVERAGE(OFFSET($H$3,0,0,'Données projet'!$E$11+1,1))</f>
        <v>436.23918637269577</v>
      </c>
      <c r="BJ33" s="59">
        <f t="shared" si="38"/>
        <v>611.43967996341894</v>
      </c>
      <c r="BK33" s="15">
        <f>IF(ISNA(VLOOKUP(A33,'Données projet'!$A$87:$I$107,3,0)),0,VLOOKUP(A33,'Données projet'!$A$87:$I$107,3,0))</f>
        <v>6</v>
      </c>
      <c r="BL33" s="15">
        <f>IF(ISNA(VLOOKUP(A33,'Données projet'!$A$87:$I$107,4,0)),0,VLOOKUP(A33,'Données projet'!$A$87:$I$107,4,0))</f>
        <v>14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205</v>
      </c>
      <c r="BW33" s="12">
        <f>VLOOKUP(A33,'Données projet'!$A$113:$I$133,9,0)</f>
        <v>14.8</v>
      </c>
      <c r="BX33" s="12">
        <f t="array" ref="BX33">INDEX(BW:BW,MIN(IF(ISNUMBER(BW33:BW229),ROW(BW33:BW229),"")))</f>
        <v>14.8</v>
      </c>
      <c r="BY33" s="12">
        <f>IF('Données projet'!$A$114&gt;35,BY32+BX33-CG32,IF(A33&lt;'Données projet'!$A$114,$BV$205^A33,IF(A33='Données projet'!$A$114,'Données projet'!$B$114,BY32+BX33-CG32)))</f>
        <v>205.00000000000011</v>
      </c>
      <c r="BZ33" s="13">
        <f>BY33*VLOOKUP('Données projet'!$B$12,Paramètres!$A$1:$I$89,3,0)*VLOOKUP('Données projet'!$B$12,Paramètres!$A$1:$I$89,5,0)</f>
        <v>179.08800000000011</v>
      </c>
      <c r="CA33" s="13">
        <f t="shared" si="39"/>
        <v>45.119223023956877</v>
      </c>
      <c r="CB33" s="20">
        <f t="shared" si="10"/>
        <v>390.4942467667251</v>
      </c>
      <c r="CC33" s="59">
        <f t="shared" si="11"/>
        <v>683.82758010005841</v>
      </c>
      <c r="CD33" s="59">
        <f ca="1">AVERAGE(OFFSET($CC$3,0,0,'Données projet'!$E$12+1,1))-AVERAGE(OFFSET($H$3,0,0,'Données projet'!$E$12+1,1))</f>
        <v>304.32767345253382</v>
      </c>
      <c r="CE33" s="59">
        <f t="shared" si="40"/>
        <v>427.16091343339173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51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524</v>
      </c>
      <c r="CR33" s="12">
        <f>VLOOKUP(A33,'Données projet'!$A$139:$I$159,9,0)</f>
        <v>33</v>
      </c>
      <c r="CS33" s="12">
        <f t="array" ref="CS33">INDEX(CR:CR,MIN(IF(ISNUMBER(CR33:CR229),ROW(CR33:CR229),"")))</f>
        <v>33</v>
      </c>
      <c r="CT33" s="12">
        <f>IF('Données projet'!$A$140&gt;35,CT32+CS33-DB32,IF(A33&lt;'Données projet'!$A$140,$CQ$205^A33,IF(A33='Données projet'!$A$140,'Données projet'!$B$140,CT32+CS33-DB32)))</f>
        <v>524</v>
      </c>
      <c r="CU33" s="17">
        <f>CT33*VLOOKUP('Données projet'!$B$13,Paramètres!$A$1:$I$89,3,0)*VLOOKUP('Données projet'!$B$13,Paramètres!$A$1:$I$89,5,0)</f>
        <v>292.916</v>
      </c>
      <c r="CV33" s="13">
        <f t="shared" si="41"/>
        <v>69.68932587703776</v>
      </c>
      <c r="CW33" s="20">
        <f t="shared" si="13"/>
        <v>631.53760923584082</v>
      </c>
      <c r="CX33" s="59">
        <f t="shared" si="14"/>
        <v>924.87094256917408</v>
      </c>
      <c r="CY33" s="59">
        <f ca="1">AVERAGE(OFFSET($CX$3,0,0,'Données projet'!$E$13+1,1))-AVERAGE(OFFSET($H$3,0,0,'Données projet'!$E$13+1,1))</f>
        <v>555.15881087162279</v>
      </c>
      <c r="CZ33" s="59">
        <f t="shared" si="42"/>
        <v>668.20427590250733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90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0.55000000000000004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57.781653979510878</v>
      </c>
      <c r="DH33" s="21">
        <f>EXP(-LN(2)/2)*DH32+(1-EXP(-LN(2)/2))/(LN(2)/2)*DB33*DE33*VLOOKUP('Données projet'!$B$13,Paramètres!$A$1:$I$89,3,0)*0.475*44/12</f>
        <v>0.85048336673886504</v>
      </c>
      <c r="DI33" s="22">
        <f t="shared" si="15"/>
        <v>58.632137346249742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415</v>
      </c>
      <c r="DM33" s="12">
        <f>VLOOKUP(A33,'Données projet'!$A$165:$I$185,9,0)</f>
        <v>34.799999999999997</v>
      </c>
      <c r="DN33" s="12">
        <f t="array" ref="DN33">INDEX(DM:DM,MIN(IF(ISNUMBER(DM33:DM229),ROW(DM33:DM229),"")))</f>
        <v>34.799999999999997</v>
      </c>
      <c r="DO33" s="12">
        <f>IF('Données projet'!$A$166&gt;35,DO32+DN33-DW32,IF(A33&lt;'Données projet'!$A$166,$DL$205^A33,IF(A33='Données projet'!$A$166,'Données projet'!$B$166,DO32+DN33-DW32)))</f>
        <v>415</v>
      </c>
      <c r="DP33" s="17">
        <f>DO33*VLOOKUP('Données projet'!$B$14,Paramètres!$A$1:$I$89,3,0)*VLOOKUP('Données projet'!$B$14,Paramètres!$A$1:$I$89,5,0)</f>
        <v>194.22000000000003</v>
      </c>
      <c r="DQ33" s="13">
        <f t="shared" si="43"/>
        <v>48.471738765579829</v>
      </c>
      <c r="DR33" s="20">
        <f t="shared" si="16"/>
        <v>422.68811168338493</v>
      </c>
      <c r="DS33" s="59">
        <f t="shared" si="17"/>
        <v>716.02144501671819</v>
      </c>
      <c r="DT33" s="59">
        <f ca="1">AVERAGE(OFFSET($DS$3,0,0,'Données projet'!$E$14+1,1))-AVERAGE(OFFSET($H$3,0,0,'Données projet'!$E$14+1,1))</f>
        <v>523.79180230463714</v>
      </c>
      <c r="DU33" s="59">
        <f t="shared" si="44"/>
        <v>459.3547783500515</v>
      </c>
      <c r="DV33" s="15">
        <f>IF(ISNA(VLOOKUP(A33,'Données projet'!$A$165:$I$185,3,0)),0,VLOOKUP(A33,'Données projet'!$A$165:$I$185,3,0))</f>
        <v>3</v>
      </c>
      <c r="DW33" s="15">
        <f>IF(ISNA(VLOOKUP(A33,'Données projet'!$A$165:$I$185,4,0)),0,VLOOKUP(A33,'Données projet'!$A$165:$I$185,4,0))</f>
        <v>84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0.55000000000000004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53.440717346144346</v>
      </c>
      <c r="EC33" s="21">
        <f>EXP(-LN(2)/2)*EC32+(1-EXP(-LN(2)/2))/(LN(2)/2)*DW33*DZ33*VLOOKUP('Données projet'!$B$14,Paramètres!$A$1:$I$89,3,0)*0.475*44/12</f>
        <v>1.1922406092953683</v>
      </c>
      <c r="ED33" s="22">
        <f t="shared" si="18"/>
        <v>54.632957955439714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205</v>
      </c>
      <c r="EH33" s="12">
        <f>VLOOKUP(A33,'Données projet'!$A$191:$I$211,9,0)</f>
        <v>16.399999999999999</v>
      </c>
      <c r="EI33" s="12">
        <f t="array" ref="EI33">INDEX(EH:EH,MIN(IF(ISNUMBER(EH33:EH229),ROW(EH33:EH229),"")))</f>
        <v>16.399999999999999</v>
      </c>
      <c r="EJ33" s="12">
        <f>IF('Données projet'!$A$192&gt;35,EJ32+EI33-ER32,IF(A33&lt;'Données projet'!$A$192,$EG$205^A33,IF(A33='Données projet'!$A$192,'Données projet'!$B$192,EJ32+EI33-ER32)))</f>
        <v>205.00000000000006</v>
      </c>
      <c r="EK33" s="17">
        <f>EJ33*VLOOKUP('Données projet'!$B$15,Paramètres!$A$1:$I$89,3,0)*VLOOKUP('Données projet'!$B$15,Paramètres!$A$1:$I$89,5,0)</f>
        <v>198.27600000000007</v>
      </c>
      <c r="EL33" s="13">
        <f t="shared" si="45"/>
        <v>49.365094013592753</v>
      </c>
      <c r="EM33" s="20">
        <f t="shared" si="19"/>
        <v>431.30823874034081</v>
      </c>
      <c r="EN33" s="59">
        <f t="shared" si="20"/>
        <v>724.64157207367407</v>
      </c>
      <c r="EO33" s="59">
        <f ca="1">AVERAGE(OFFSET($EN$3,0,0,'Données projet'!$E$15+1,1))-AVERAGE(OFFSET($H$3,0,0,'Données projet'!$E$15+1,1))</f>
        <v>484.41278617935654</v>
      </c>
      <c r="EP33" s="59">
        <f t="shared" si="46"/>
        <v>467.97490540700738</v>
      </c>
      <c r="EQ33" s="15">
        <f>IF(ISNA(VLOOKUP(A33,'Données projet'!$A$191:$I$211,3,0)),0,VLOOKUP(A33,'Données projet'!$A$191:$I$211,3,0))</f>
        <v>5</v>
      </c>
      <c r="ER33" s="15">
        <f>IF(ISNA(VLOOKUP(A33,'Données projet'!$A$191:$I$211,4,0)),0,VLOOKUP(A33,'Données projet'!$A$191:$I$211,4,0))</f>
        <v>42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205</v>
      </c>
      <c r="FC33" s="12">
        <f>VLOOKUP(A33,'Données projet'!$A$217:$I$237,9,0)</f>
        <v>16.399999999999999</v>
      </c>
      <c r="FD33" s="12">
        <f t="array" ref="FD33">INDEX(FC:FC,MIN(IF(ISNUMBER(FC33:FC229),ROW(FC33:FC229),"")))</f>
        <v>16.399999999999999</v>
      </c>
      <c r="FE33" s="12">
        <f>IF('Données projet'!$A$218&gt;35,FE32+FD33-FM32,IF(A33&lt;'Données projet'!$A$218,$FB$205^A33,IF(A33='Données projet'!$A$218,'Données projet'!$B$218,FE32+FD33-FM32)))</f>
        <v>205.00000000000006</v>
      </c>
      <c r="FF33" s="17">
        <f>FE33*VLOOKUP('Données projet'!$B$16,Paramètres!$A$1:$I$89,3,0)*VLOOKUP('Données projet'!$B$16,Paramètres!$A$1:$I$89,5,0)</f>
        <v>220.66200000000003</v>
      </c>
      <c r="FG33" s="13">
        <f t="shared" si="47"/>
        <v>54.258742979954953</v>
      </c>
      <c r="FH33" s="20">
        <f t="shared" si="22"/>
        <v>478.82029402342158</v>
      </c>
      <c r="FI33" s="59">
        <f t="shared" si="23"/>
        <v>772.1536273567549</v>
      </c>
      <c r="FJ33" s="59">
        <f ca="1">AVERAGE(OFFSET($FI$3,0,0,'Données projet'!$E$16+1,1))-AVERAGE(OFFSET($H$3,0,0,'Données projet'!$E$16+1,1))</f>
        <v>534.54020133239135</v>
      </c>
      <c r="FK33" s="59">
        <f t="shared" si="48"/>
        <v>515.48696069008815</v>
      </c>
      <c r="FL33" s="15">
        <f>IF(ISNA(VLOOKUP(A33,'Données projet'!$A$217:$I$237,3,0)),0,VLOOKUP(A33,'Données projet'!$A$217:$I$237,3,0))</f>
        <v>5</v>
      </c>
      <c r="FM33" s="15">
        <f>IF(ISNA(VLOOKUP(A33,'Données projet'!$A$217:$I$237,4,0)),0,VLOOKUP(A33,'Données projet'!$A$217:$I$237,4,0))</f>
        <v>42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214</v>
      </c>
      <c r="FX33" s="12">
        <f>VLOOKUP(A33,'Données projet'!$A$243:$I$263,9,0)</f>
        <v>9.6</v>
      </c>
      <c r="FY33" s="12">
        <f t="array" ref="FY33">INDEX(FX:FX,MIN(IF(ISNUMBER(FX33:FX229),ROW(FX33:FX229),"")))</f>
        <v>9.6</v>
      </c>
      <c r="FZ33" s="12">
        <f>IF('Données projet'!$A$244&gt;35,FZ32+FY33-GH32,IF(A33&lt;'Données projet'!$A$244,$FW$205^A33,IF(A33='Données projet'!$A$244,'Données projet'!$B$244,FZ32+FY33-GH32)))</f>
        <v>213.99999999999994</v>
      </c>
      <c r="GA33" s="17">
        <f>FZ33*VLOOKUP('Données projet'!$B$17,Paramètres!$A$1:$I$89,3,0)*VLOOKUP('Données projet'!$B$17,Paramètres!$A$1:$I$89,5,0)</f>
        <v>203.64239999999995</v>
      </c>
      <c r="GB33" s="13">
        <f t="shared" si="49"/>
        <v>50.543814227115405</v>
      </c>
      <c r="GC33" s="20">
        <f t="shared" si="25"/>
        <v>442.70765644555922</v>
      </c>
      <c r="GD33" s="59">
        <f t="shared" si="26"/>
        <v>736.04098977889248</v>
      </c>
      <c r="GE33" s="59">
        <f ca="1">AVERAGE(OFFSET($GD$3,0,0,'Données projet'!$E$17+1,1))-AVERAGE(OFFSET($H$3,0,0,'Données projet'!$E$17+1,1))</f>
        <v>455.71329051283936</v>
      </c>
      <c r="GF33" s="59">
        <f t="shared" si="50"/>
        <v>479.3743231122258</v>
      </c>
      <c r="GG33" s="15">
        <f>IF(ISNA(VLOOKUP(A33,'Données projet'!$A$243:$I$263,3,0)),0,VLOOKUP(A33,'Données projet'!$A$243:$I$263,3,0))</f>
        <v>5</v>
      </c>
      <c r="GH33" s="15">
        <f>IF(ISNA(VLOOKUP(A33,'Données projet'!$A$243:$I$263,4,0)),0,VLOOKUP(A33,'Données projet'!$A$243:$I$263,4,0))</f>
        <v>29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0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>
        <f>VLOOKUP(A33,'Données projet'!$A$269:$I$289,2,0)</f>
        <v>205</v>
      </c>
      <c r="GS33" s="12">
        <f>VLOOKUP(A33,'Données projet'!$A$269:$I$289,9,0)</f>
        <v>16.399999999999999</v>
      </c>
      <c r="GT33" s="12">
        <f t="array" ref="GT33">INDEX(GS:GS,MIN(IF(ISNUMBER(GS33:GS229),ROW(GS33:GS229),"")))</f>
        <v>16.399999999999999</v>
      </c>
      <c r="GU33" s="12">
        <f>IF('Données projet'!$A$270&gt;35,GU32+GT33-HC32,IF(A33&lt;'Données projet'!$A$270,$GR$205^A33,IF(A33='Données projet'!$A$270,'Données projet'!$B$270,GU32+GT33-HC32)))</f>
        <v>205.00000000000006</v>
      </c>
      <c r="GV33" s="17">
        <f>GU33*VLOOKUP('Données projet'!$B$18,Paramètres!$A$1:$I$89,3,0)*VLOOKUP('Données projet'!$B$18,Paramètres!$A$1:$I$89,5,0)</f>
        <v>166.29600000000005</v>
      </c>
      <c r="GW33" s="13">
        <f t="shared" si="51"/>
        <v>42.259390211399776</v>
      </c>
      <c r="GX33" s="20">
        <f t="shared" si="28"/>
        <v>363.2339712848547</v>
      </c>
      <c r="GY33" s="59">
        <f t="shared" si="29"/>
        <v>656.56730461818802</v>
      </c>
      <c r="GZ33" s="59">
        <f ca="1">AVERAGE(OFFSET($GY$3,0,0,'Données projet'!$E$18+1,1))-AVERAGE(OFFSET($H$3,0,0,'Données projet'!$E$18+1,1))</f>
        <v>412.59676769258488</v>
      </c>
      <c r="HA33" s="59">
        <f t="shared" si="52"/>
        <v>399.90063795152133</v>
      </c>
      <c r="HB33" s="15">
        <f>IF(ISNA(VLOOKUP(A33,'Données projet'!$A$269:$I$289,3,0)),0,VLOOKUP(A33,'Données projet'!$A$269:$I$289,3,0))</f>
        <v>5</v>
      </c>
      <c r="HC33" s="15">
        <f>IF(ISNA(VLOOKUP(A33,'Données projet'!$A$269:$I$289,4,0)),0,VLOOKUP(A33,'Données projet'!$A$269:$I$289,4,0))</f>
        <v>42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>
        <f>EXP(-LN(2)/35)*HG32+(1-EXP(-LN(2)/35))/(LN(2)/35)*HC33*HD33*VLOOKUP('Données projet'!$B$18,Paramètres!$A$1:$I$89,3,0)*0.475*44/12</f>
        <v>0</v>
      </c>
      <c r="HH33" s="21">
        <f>EXP(-LN(2)/25)*HH32+(1-EXP(-LN(2)/25))/(LN(2)/25)*Calculateur!HC33*Calculateur!HE33*VLOOKUP('Données projet'!$B$18,Paramètres!$A$1:$I$89,3,0)*0.475*44/12</f>
        <v>0</v>
      </c>
      <c r="HI33" s="21">
        <f>EXP(-LN(2)/2)*HI32+(1-EXP(-LN(2)/2))/(LN(2)/2)*HC33*HF33*VLOOKUP('Données projet'!$B$18,Paramètres!$A$1:$I$89,3,0)*0.475*44/12</f>
        <v>0</v>
      </c>
      <c r="HJ33" s="22">
        <f t="shared" si="30"/>
        <v>0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10.8</v>
      </c>
      <c r="N34" s="13">
        <f>IF('Données projet'!$A$36&gt;35,N33+M34-V33,IF(A34&lt;'Données projet'!$A$36,$K$205^A34,IF(A34='Données projet'!$A$36,'Données projet'!$B$36,N33+M34-V33)))</f>
        <v>103.80000000000004</v>
      </c>
      <c r="O34" s="13">
        <f>N34*VLOOKUP('Données projet'!$B$9,Paramètres!$A$1:$I$89,3,0)*VLOOKUP('Données projet'!$B$9,Paramètres!$A$1:$I$89,5,0)</f>
        <v>93.91824000000004</v>
      </c>
      <c r="P34" s="13">
        <f t="shared" si="33"/>
        <v>25.507853654186022</v>
      </c>
      <c r="Q34" s="20">
        <f t="shared" si="2"/>
        <v>208.00044644770739</v>
      </c>
      <c r="R34" s="59">
        <f t="shared" si="0"/>
        <v>501.33377978104068</v>
      </c>
      <c r="S34" s="59">
        <f ca="1">AVERAGE(OFFSET($R$3,0,0,'Données projet'!$E$9+1,1))-AVERAGE(OFFSET($H$3,0,0,'Données projet'!$E$9+1,1))</f>
        <v>439.19854273764042</v>
      </c>
      <c r="T34" s="59">
        <f t="shared" si="34"/>
        <v>278.21741231699929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10.8</v>
      </c>
      <c r="AI34" s="13">
        <f>IF('Données projet'!$A$62&gt;35,AI33+AH34-AQ33,IF(A34&lt;'Données projet'!$A$62,$AF$205^A34,IF(A34='Données projet'!$A$62,'Données projet'!$B$62,AI33+AH34-AQ33)))</f>
        <v>103.80000000000004</v>
      </c>
      <c r="AJ34" s="13">
        <f>AI34*VLOOKUP('Données projet'!$B$10,Paramètres!$A$1:$I$89,3,0)*VLOOKUP('Données projet'!$B$10,Paramètres!$A$1:$I$89,5,0)</f>
        <v>105.25320000000005</v>
      </c>
      <c r="AK34" s="13">
        <f t="shared" si="35"/>
        <v>28.209746498519422</v>
      </c>
      <c r="AL34" s="20">
        <f t="shared" si="4"/>
        <v>232.44796515158808</v>
      </c>
      <c r="AM34" s="59">
        <f t="shared" si="5"/>
        <v>525.78129848492142</v>
      </c>
      <c r="AN34" s="59">
        <f ca="1">AVERAGE(OFFSET($AM$3,0,0,'Données projet'!$E$10+1,1))-AVERAGE(OFFSET($H$3,0,0,'Données projet'!$E$10+1,1))</f>
        <v>487.18832528146936</v>
      </c>
      <c r="AO34" s="59">
        <f t="shared" si="36"/>
        <v>306.61893266146666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8.6</v>
      </c>
      <c r="BD34" s="12">
        <f>IF('Données projet'!$A$88&gt;35,BD33+BC34-BL33,IF(A34&lt;'Données projet'!$A$88,$BA$205^A34,IF(A34='Données projet'!$A$88,'Données projet'!$B$88,BD33+BC34-BL33)))</f>
        <v>288.60000000000014</v>
      </c>
      <c r="BE34" s="13">
        <f>BD34*VLOOKUP('Données projet'!$B$11,Paramètres!$A$1:$I$89,3,0)*VLOOKUP('Données projet'!$B$11,Paramètres!$A$1:$I$89,5,0)</f>
        <v>261.12528000000009</v>
      </c>
      <c r="BF34" s="13">
        <f t="shared" si="37"/>
        <v>62.962181856353716</v>
      </c>
      <c r="BG34" s="20">
        <f t="shared" si="7"/>
        <v>564.45232939981622</v>
      </c>
      <c r="BH34" s="59">
        <f t="shared" si="8"/>
        <v>857.78566273314959</v>
      </c>
      <c r="BI34" s="59">
        <f ca="1">AVERAGE(OFFSET($BH$3,0,0,'Données projet'!$E$11+1,1))-AVERAGE(OFFSET($H$3,0,0,'Données projet'!$E$11+1,1))</f>
        <v>436.23918637269577</v>
      </c>
      <c r="BJ34" s="59">
        <f t="shared" si="38"/>
        <v>611.43967996341894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13.6</v>
      </c>
      <c r="BY34" s="12">
        <f>IF('Données projet'!$A$114&gt;35,BY33+BX34-CG33,IF(A34&lt;'Données projet'!$A$114,$BV$205^A34,IF(A34='Données projet'!$A$114,'Données projet'!$B$114,BY33+BX34-CG33)))</f>
        <v>167.60000000000011</v>
      </c>
      <c r="BZ34" s="13">
        <f>BY34*VLOOKUP('Données projet'!$B$12,Paramètres!$A$1:$I$89,3,0)*VLOOKUP('Données projet'!$B$12,Paramètres!$A$1:$I$89,5,0)</f>
        <v>146.41536000000011</v>
      </c>
      <c r="CA34" s="13">
        <f t="shared" si="39"/>
        <v>37.762820103024502</v>
      </c>
      <c r="CB34" s="20">
        <f t="shared" si="10"/>
        <v>320.77699701276782</v>
      </c>
      <c r="CC34" s="59">
        <f t="shared" si="11"/>
        <v>614.11033034610114</v>
      </c>
      <c r="CD34" s="59">
        <f ca="1">AVERAGE(OFFSET($CC$3,0,0,'Données projet'!$E$12+1,1))-AVERAGE(OFFSET($H$3,0,0,'Données projet'!$E$12+1,1))</f>
        <v>304.32767345253382</v>
      </c>
      <c r="CE34" s="59">
        <f t="shared" si="40"/>
        <v>427.16091343339173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28.4</v>
      </c>
      <c r="CT34" s="12">
        <f>IF('Données projet'!$A$140&gt;35,CT33+CS34-DB33,IF(A34&lt;'Données projet'!$A$140,$CQ$205^A34,IF(A34='Données projet'!$A$140,'Données projet'!$B$140,CT33+CS34-DB33)))</f>
        <v>462.4</v>
      </c>
      <c r="CU34" s="17">
        <f>CT34*VLOOKUP('Données projet'!$B$13,Paramètres!$A$1:$I$89,3,0)*VLOOKUP('Données projet'!$B$13,Paramètres!$A$1:$I$89,5,0)</f>
        <v>258.48160000000001</v>
      </c>
      <c r="CV34" s="13">
        <f t="shared" si="41"/>
        <v>62.398606187610767</v>
      </c>
      <c r="CW34" s="20">
        <f t="shared" si="13"/>
        <v>558.86635911008875</v>
      </c>
      <c r="CX34" s="59">
        <f t="shared" si="14"/>
        <v>852.19969244342201</v>
      </c>
      <c r="CY34" s="59">
        <f ca="1">AVERAGE(OFFSET($CX$3,0,0,'Données projet'!$E$13+1,1))-AVERAGE(OFFSET($H$3,0,0,'Données projet'!$E$13+1,1))</f>
        <v>555.15881087162279</v>
      </c>
      <c r="CZ34" s="59">
        <f t="shared" si="42"/>
        <v>668.20427590250733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56.201611612836032</v>
      </c>
      <c r="DH34" s="21">
        <f>EXP(-LN(2)/2)*DH33+(1-EXP(-LN(2)/2))/(LN(2)/2)*DB34*DE34*VLOOKUP('Données projet'!$B$13,Paramètres!$A$1:$I$89,3,0)*0.475*44/12</f>
        <v>0.60138255590741696</v>
      </c>
      <c r="DI34" s="22">
        <f t="shared" si="15"/>
        <v>56.802994168743446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34</v>
      </c>
      <c r="DO34" s="12">
        <f>IF('Données projet'!$A$166&gt;35,DO33+DN34-DW33,IF(A34&lt;'Données projet'!$A$166,$DL$205^A34,IF(A34='Données projet'!$A$166,'Données projet'!$B$166,DO33+DN34-DW33)))</f>
        <v>365</v>
      </c>
      <c r="DP34" s="17">
        <f>DO34*VLOOKUP('Données projet'!$B$14,Paramètres!$A$1:$I$89,3,0)*VLOOKUP('Données projet'!$B$14,Paramètres!$A$1:$I$89,5,0)</f>
        <v>170.82000000000002</v>
      </c>
      <c r="DQ34" s="13">
        <f t="shared" si="43"/>
        <v>43.273624843069463</v>
      </c>
      <c r="DR34" s="20">
        <f t="shared" si="16"/>
        <v>372.87972993501268</v>
      </c>
      <c r="DS34" s="59">
        <f t="shared" si="17"/>
        <v>666.21306326834599</v>
      </c>
      <c r="DT34" s="59">
        <f ca="1">AVERAGE(OFFSET($DS$3,0,0,'Données projet'!$E$14+1,1))-AVERAGE(OFFSET($H$3,0,0,'Données projet'!$E$14+1,1))</f>
        <v>523.79180230463714</v>
      </c>
      <c r="DU34" s="59">
        <f t="shared" si="44"/>
        <v>459.3547783500515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51.979378119988844</v>
      </c>
      <c r="EC34" s="21">
        <f>EXP(-LN(2)/2)*EC33+(1-EXP(-LN(2)/2))/(LN(2)/2)*DW34*DZ34*VLOOKUP('Données projet'!$B$14,Paramètres!$A$1:$I$89,3,0)*0.475*44/12</f>
        <v>0.84304141963873613</v>
      </c>
      <c r="ED34" s="22">
        <f t="shared" si="18"/>
        <v>52.822419539627582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15.2</v>
      </c>
      <c r="EJ34" s="12">
        <f>IF('Données projet'!$A$192&gt;35,EJ33+EI34-ER33,IF(A34&lt;'Données projet'!$A$192,$EG$205^A34,IF(A34='Données projet'!$A$192,'Données projet'!$B$192,EJ33+EI34-ER33)))</f>
        <v>178.20000000000005</v>
      </c>
      <c r="EK34" s="17">
        <f>EJ34*VLOOKUP('Données projet'!$B$15,Paramètres!$A$1:$I$89,3,0)*VLOOKUP('Données projet'!$B$15,Paramètres!$A$1:$I$89,5,0)</f>
        <v>172.35504000000003</v>
      </c>
      <c r="EL34" s="13">
        <f t="shared" si="45"/>
        <v>43.617051120131734</v>
      </c>
      <c r="EM34" s="20">
        <f t="shared" si="19"/>
        <v>376.1513920342295</v>
      </c>
      <c r="EN34" s="59">
        <f t="shared" si="20"/>
        <v>669.48472536756276</v>
      </c>
      <c r="EO34" s="59">
        <f ca="1">AVERAGE(OFFSET($EN$3,0,0,'Données projet'!$E$15+1,1))-AVERAGE(OFFSET($H$3,0,0,'Données projet'!$E$15+1,1))</f>
        <v>484.41278617935654</v>
      </c>
      <c r="EP34" s="59">
        <f t="shared" si="46"/>
        <v>467.97490540700738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15.2</v>
      </c>
      <c r="FE34" s="12">
        <f>IF('Données projet'!$A$218&gt;35,FE33+FD34-FM33,IF(A34&lt;'Données projet'!$A$218,$FB$205^A34,IF(A34='Données projet'!$A$218,'Données projet'!$B$218,FE33+FD34-FM33)))</f>
        <v>178.20000000000005</v>
      </c>
      <c r="FF34" s="17">
        <f>FE34*VLOOKUP('Données projet'!$B$16,Paramètres!$A$1:$I$89,3,0)*VLOOKUP('Données projet'!$B$16,Paramètres!$A$1:$I$89,5,0)</f>
        <v>191.81448000000006</v>
      </c>
      <c r="FG34" s="13">
        <f t="shared" si="47"/>
        <v>47.94088644132102</v>
      </c>
      <c r="FH34" s="20">
        <f t="shared" si="22"/>
        <v>417.57392988530086</v>
      </c>
      <c r="FI34" s="59">
        <f t="shared" si="23"/>
        <v>710.90726321863417</v>
      </c>
      <c r="FJ34" s="59">
        <f ca="1">AVERAGE(OFFSET($FI$3,0,0,'Données projet'!$E$16+1,1))-AVERAGE(OFFSET($H$3,0,0,'Données projet'!$E$16+1,1))</f>
        <v>534.54020133239135</v>
      </c>
      <c r="FK34" s="59">
        <f t="shared" si="48"/>
        <v>515.48696069008815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8.8000000000000007</v>
      </c>
      <c r="FZ34" s="12">
        <f>IF('Données projet'!$A$244&gt;35,FZ33+FY34-GH33,IF(A34&lt;'Données projet'!$A$244,$FW$205^A34,IF(A34='Données projet'!$A$244,'Données projet'!$B$244,FZ33+FY34-GH33)))</f>
        <v>193.79999999999995</v>
      </c>
      <c r="GA34" s="17">
        <f>FZ34*VLOOKUP('Données projet'!$B$17,Paramètres!$A$1:$I$89,3,0)*VLOOKUP('Données projet'!$B$17,Paramètres!$A$1:$I$89,5,0)</f>
        <v>184.42007999999996</v>
      </c>
      <c r="GB34" s="13">
        <f t="shared" si="49"/>
        <v>46.304179794239104</v>
      </c>
      <c r="GC34" s="20">
        <f t="shared" si="25"/>
        <v>401.8447524749663</v>
      </c>
      <c r="GD34" s="59">
        <f t="shared" si="26"/>
        <v>695.17808580829956</v>
      </c>
      <c r="GE34" s="59">
        <f ca="1">AVERAGE(OFFSET($GD$3,0,0,'Données projet'!$E$17+1,1))-AVERAGE(OFFSET($H$3,0,0,'Données projet'!$E$17+1,1))</f>
        <v>455.71329051283936</v>
      </c>
      <c r="GF34" s="59">
        <f t="shared" si="50"/>
        <v>479.3743231122258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0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15.2</v>
      </c>
      <c r="GU34" s="12">
        <f>IF('Données projet'!$A$270&gt;35,GU33+GT34-HC33,IF(A34&lt;'Données projet'!$A$270,$GR$205^A34,IF(A34='Données projet'!$A$270,'Données projet'!$B$270,GU33+GT34-HC33)))</f>
        <v>178.20000000000005</v>
      </c>
      <c r="GV34" s="17">
        <f>GU34*VLOOKUP('Données projet'!$B$18,Paramètres!$A$1:$I$89,3,0)*VLOOKUP('Données projet'!$B$18,Paramètres!$A$1:$I$89,5,0)</f>
        <v>144.55584000000005</v>
      </c>
      <c r="GW34" s="13">
        <f t="shared" si="51"/>
        <v>37.338731344230482</v>
      </c>
      <c r="GX34" s="20">
        <f t="shared" si="28"/>
        <v>316.79971175786812</v>
      </c>
      <c r="GY34" s="59">
        <f t="shared" si="29"/>
        <v>610.13304509120144</v>
      </c>
      <c r="GZ34" s="59">
        <f ca="1">AVERAGE(OFFSET($GY$3,0,0,'Données projet'!$E$18+1,1))-AVERAGE(OFFSET($H$3,0,0,'Données projet'!$E$18+1,1))</f>
        <v>412.59676769258488</v>
      </c>
      <c r="HA34" s="59">
        <f t="shared" si="52"/>
        <v>399.90063795152133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0</v>
      </c>
      <c r="HH34" s="21">
        <f>EXP(-LN(2)/25)*HH33+(1-EXP(-LN(2)/25))/(LN(2)/25)*Calculateur!HC34*Calculateur!HE34*VLOOKUP('Données projet'!$B$18,Paramètres!$A$1:$I$89,3,0)*0.475*44/12</f>
        <v>0</v>
      </c>
      <c r="HI34" s="21">
        <f>EXP(-LN(2)/2)*HI33+(1-EXP(-LN(2)/2))/(LN(2)/2)*HC34*HF34*VLOOKUP('Données projet'!$B$18,Paramètres!$A$1:$I$89,3,0)*0.475*44/12</f>
        <v>0</v>
      </c>
      <c r="HJ34" s="22">
        <f t="shared" si="30"/>
        <v>0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10.8</v>
      </c>
      <c r="N35" s="13">
        <f>IF('Données projet'!$A$36&gt;35,N34+M35-V34,IF(A35&lt;'Données projet'!$A$36,$K$205^A35,IF(A35='Données projet'!$A$36,'Données projet'!$B$36,N34+M35-V34)))</f>
        <v>114.60000000000004</v>
      </c>
      <c r="O35" s="13">
        <f>N35*VLOOKUP('Données projet'!$B$9,Paramètres!$A$1:$I$89,3,0)*VLOOKUP('Données projet'!$B$9,Paramètres!$A$1:$I$89,5,0)</f>
        <v>103.69008000000004</v>
      </c>
      <c r="P35" s="13">
        <f t="shared" si="33"/>
        <v>27.83924565319537</v>
      </c>
      <c r="Q35" s="20">
        <f t="shared" ref="Q35:Q66" si="53">(O35+P35)*0.475*44/12</f>
        <v>229.08024217931529</v>
      </c>
      <c r="R35" s="59">
        <f t="shared" si="0"/>
        <v>522.41357551264855</v>
      </c>
      <c r="S35" s="59">
        <f ca="1">AVERAGE(OFFSET($R$3,0,0,'Données projet'!$E$9+1,1))-AVERAGE(OFFSET($H$3,0,0,'Données projet'!$E$9+1,1))</f>
        <v>439.19854273764042</v>
      </c>
      <c r="T35" s="59">
        <f t="shared" si="34"/>
        <v>278.21741231699929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10.8</v>
      </c>
      <c r="AI35" s="13">
        <f>IF('Données projet'!$A$62&gt;35,AI34+AH35-AQ34,IF(A35&lt;'Données projet'!$A$62,$AF$205^A35,IF(A35='Données projet'!$A$62,'Données projet'!$B$62,AI34+AH35-AQ34)))</f>
        <v>114.60000000000004</v>
      </c>
      <c r="AJ35" s="13">
        <f>AI35*VLOOKUP('Données projet'!$B$10,Paramètres!$A$1:$I$89,3,0)*VLOOKUP('Données projet'!$B$10,Paramètres!$A$1:$I$89,5,0)</f>
        <v>116.20440000000004</v>
      </c>
      <c r="AK35" s="13">
        <f t="shared" si="35"/>
        <v>30.788088768016376</v>
      </c>
      <c r="AL35" s="20">
        <f t="shared" si="4"/>
        <v>256.01191793762854</v>
      </c>
      <c r="AM35" s="59">
        <f t="shared" si="5"/>
        <v>549.34525127096185</v>
      </c>
      <c r="AN35" s="59">
        <f ca="1">AVERAGE(OFFSET($AM$3,0,0,'Données projet'!$E$10+1,1))-AVERAGE(OFFSET($H$3,0,0,'Données projet'!$E$10+1,1))</f>
        <v>487.18832528146936</v>
      </c>
      <c r="AO35" s="59">
        <f t="shared" si="36"/>
        <v>306.61893266146666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8.6</v>
      </c>
      <c r="BD35" s="12">
        <f>IF('Données projet'!$A$88&gt;35,BD34+BC35-BL34,IF(A35&lt;'Données projet'!$A$88,$BA$205^A35,IF(A35='Données projet'!$A$88,'Données projet'!$B$88,BD34+BC35-BL34)))</f>
        <v>297.20000000000016</v>
      </c>
      <c r="BE35" s="13">
        <f>BD35*VLOOKUP('Données projet'!$B$11,Paramètres!$A$1:$I$89,3,0)*VLOOKUP('Données projet'!$B$11,Paramètres!$A$1:$I$89,5,0)</f>
        <v>268.90656000000013</v>
      </c>
      <c r="BF35" s="13">
        <f t="shared" si="37"/>
        <v>64.617158945843826</v>
      </c>
      <c r="BG35" s="20">
        <f t="shared" si="7"/>
        <v>580.88714383067816</v>
      </c>
      <c r="BH35" s="59">
        <f t="shared" si="8"/>
        <v>874.22047716401153</v>
      </c>
      <c r="BI35" s="59">
        <f ca="1">AVERAGE(OFFSET($BH$3,0,0,'Données projet'!$E$11+1,1))-AVERAGE(OFFSET($H$3,0,0,'Données projet'!$E$11+1,1))</f>
        <v>436.23918637269577</v>
      </c>
      <c r="BJ35" s="59">
        <f t="shared" si="38"/>
        <v>611.43967996341894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13.6</v>
      </c>
      <c r="BY35" s="12">
        <f>IF('Données projet'!$A$114&gt;35,BY34+BX35-CG34,IF(A35&lt;'Données projet'!$A$114,$BV$205^A35,IF(A35='Données projet'!$A$114,'Données projet'!$B$114,BY34+BX35-CG34)))</f>
        <v>181.2000000000001</v>
      </c>
      <c r="BZ35" s="13">
        <f>BY35*VLOOKUP('Données projet'!$B$12,Paramètres!$A$1:$I$89,3,0)*VLOOKUP('Données projet'!$B$12,Paramètres!$A$1:$I$89,5,0)</f>
        <v>158.29632000000009</v>
      </c>
      <c r="CA35" s="13">
        <f t="shared" si="39"/>
        <v>40.458006540983739</v>
      </c>
      <c r="CB35" s="20">
        <f t="shared" si="10"/>
        <v>346.16378539221347</v>
      </c>
      <c r="CC35" s="59">
        <f t="shared" si="11"/>
        <v>639.49711872554678</v>
      </c>
      <c r="CD35" s="59">
        <f ca="1">AVERAGE(OFFSET($CC$3,0,0,'Données projet'!$E$12+1,1))-AVERAGE(OFFSET($H$3,0,0,'Données projet'!$E$12+1,1))</f>
        <v>304.32767345253382</v>
      </c>
      <c r="CE35" s="59">
        <f t="shared" si="40"/>
        <v>427.16091343339173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28.4</v>
      </c>
      <c r="CT35" s="12">
        <f>IF('Données projet'!$A$140&gt;35,CT34+CS35-DB34,IF(A35&lt;'Données projet'!$A$140,$CQ$205^A35,IF(A35='Données projet'!$A$140,'Données projet'!$B$140,CT34+CS35-DB34)))</f>
        <v>490.79999999999995</v>
      </c>
      <c r="CU35" s="17">
        <f>CT35*VLOOKUP('Données projet'!$B$13,Paramètres!$A$1:$I$89,3,0)*VLOOKUP('Données projet'!$B$13,Paramètres!$A$1:$I$89,5,0)</f>
        <v>274.35719999999998</v>
      </c>
      <c r="CV35" s="13">
        <f t="shared" si="41"/>
        <v>65.773113764972635</v>
      </c>
      <c r="CW35" s="20">
        <f t="shared" si="13"/>
        <v>592.39362980732722</v>
      </c>
      <c r="CX35" s="59">
        <f t="shared" si="14"/>
        <v>885.72696314066047</v>
      </c>
      <c r="CY35" s="59">
        <f ca="1">AVERAGE(OFFSET($CX$3,0,0,'Données projet'!$E$13+1,1))-AVERAGE(OFFSET($H$3,0,0,'Données projet'!$E$13+1,1))</f>
        <v>555.15881087162279</v>
      </c>
      <c r="CZ35" s="59">
        <f t="shared" si="42"/>
        <v>668.20427590250733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54.66477558776873</v>
      </c>
      <c r="DH35" s="21">
        <f>EXP(-LN(2)/2)*DH34+(1-EXP(-LN(2)/2))/(LN(2)/2)*DB35*DE35*VLOOKUP('Données projet'!$B$13,Paramètres!$A$1:$I$89,3,0)*0.475*44/12</f>
        <v>0.42524168336943258</v>
      </c>
      <c r="DI35" s="22">
        <f t="shared" si="15"/>
        <v>55.090017271138166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34</v>
      </c>
      <c r="DO35" s="12">
        <f>IF('Données projet'!$A$166&gt;35,DO34+DN35-DW34,IF(A35&lt;'Données projet'!$A$166,$DL$205^A35,IF(A35='Données projet'!$A$166,'Données projet'!$B$166,DO34+DN35-DW34)))</f>
        <v>399</v>
      </c>
      <c r="DP35" s="17">
        <f>DO35*VLOOKUP('Données projet'!$B$14,Paramètres!$A$1:$I$89,3,0)*VLOOKUP('Données projet'!$B$14,Paramètres!$A$1:$I$89,5,0)</f>
        <v>186.732</v>
      </c>
      <c r="DQ35" s="13">
        <f t="shared" si="43"/>
        <v>46.81671651923142</v>
      </c>
      <c r="DR35" s="20">
        <f t="shared" si="16"/>
        <v>406.764014604328</v>
      </c>
      <c r="DS35" s="59">
        <f t="shared" si="17"/>
        <v>700.09734793766131</v>
      </c>
      <c r="DT35" s="59">
        <f ca="1">AVERAGE(OFFSET($DS$3,0,0,'Données projet'!$E$14+1,1))-AVERAGE(OFFSET($H$3,0,0,'Données projet'!$E$14+1,1))</f>
        <v>523.79180230463714</v>
      </c>
      <c r="DU35" s="59">
        <f t="shared" si="44"/>
        <v>459.3547783500515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50.557999291821055</v>
      </c>
      <c r="EC35" s="21">
        <f>EXP(-LN(2)/2)*EC34+(1-EXP(-LN(2)/2))/(LN(2)/2)*DW35*DZ35*VLOOKUP('Données projet'!$B$14,Paramètres!$A$1:$I$89,3,0)*0.475*44/12</f>
        <v>0.59612030464768417</v>
      </c>
      <c r="ED35" s="22">
        <f t="shared" si="18"/>
        <v>51.154119596468739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15.2</v>
      </c>
      <c r="EJ35" s="12">
        <f>IF('Données projet'!$A$192&gt;35,EJ34+EI35-ER34,IF(A35&lt;'Données projet'!$A$192,$EG$205^A35,IF(A35='Données projet'!$A$192,'Données projet'!$B$192,EJ34+EI35-ER34)))</f>
        <v>193.40000000000003</v>
      </c>
      <c r="EK35" s="17">
        <f>EJ35*VLOOKUP('Données projet'!$B$15,Paramètres!$A$1:$I$89,3,0)*VLOOKUP('Données projet'!$B$15,Paramètres!$A$1:$I$89,5,0)</f>
        <v>187.05648000000002</v>
      </c>
      <c r="EL35" s="13">
        <f t="shared" si="45"/>
        <v>46.888592196132471</v>
      </c>
      <c r="EM35" s="20">
        <f t="shared" si="19"/>
        <v>407.45433407493073</v>
      </c>
      <c r="EN35" s="59">
        <f t="shared" si="20"/>
        <v>700.78766740826404</v>
      </c>
      <c r="EO35" s="59">
        <f ca="1">AVERAGE(OFFSET($EN$3,0,0,'Données projet'!$E$15+1,1))-AVERAGE(OFFSET($H$3,0,0,'Données projet'!$E$15+1,1))</f>
        <v>484.41278617935654</v>
      </c>
      <c r="EP35" s="59">
        <f t="shared" si="46"/>
        <v>467.97490540700738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15.2</v>
      </c>
      <c r="FE35" s="12">
        <f>IF('Données projet'!$A$218&gt;35,FE34+FD35-FM34,IF(A35&lt;'Données projet'!$A$218,$FB$205^A35,IF(A35='Données projet'!$A$218,'Données projet'!$B$218,FE34+FD35-FM34)))</f>
        <v>193.40000000000003</v>
      </c>
      <c r="FF35" s="17">
        <f>FE35*VLOOKUP('Données projet'!$B$16,Paramètres!$A$1:$I$89,3,0)*VLOOKUP('Données projet'!$B$16,Paramètres!$A$1:$I$89,5,0)</f>
        <v>208.17576000000005</v>
      </c>
      <c r="FG35" s="13">
        <f t="shared" si="47"/>
        <v>51.536741162922723</v>
      </c>
      <c r="FH35" s="20">
        <f t="shared" si="22"/>
        <v>452.33260619209045</v>
      </c>
      <c r="FI35" s="59">
        <f t="shared" si="23"/>
        <v>745.66593952542371</v>
      </c>
      <c r="FJ35" s="59">
        <f ca="1">AVERAGE(OFFSET($FI$3,0,0,'Données projet'!$E$16+1,1))-AVERAGE(OFFSET($H$3,0,0,'Données projet'!$E$16+1,1))</f>
        <v>534.54020133239135</v>
      </c>
      <c r="FK35" s="59">
        <f t="shared" si="48"/>
        <v>515.48696069008815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8.8000000000000007</v>
      </c>
      <c r="FZ35" s="12">
        <f>IF('Données projet'!$A$244&gt;35,FZ34+FY35-GH34,IF(A35&lt;'Données projet'!$A$244,$FW$205^A35,IF(A35='Données projet'!$A$244,'Données projet'!$B$244,FZ34+FY35-GH34)))</f>
        <v>202.59999999999997</v>
      </c>
      <c r="GA35" s="17">
        <f>FZ35*VLOOKUP('Données projet'!$B$17,Paramètres!$A$1:$I$89,3,0)*VLOOKUP('Données projet'!$B$17,Paramètres!$A$1:$I$89,5,0)</f>
        <v>192.79415999999995</v>
      </c>
      <c r="GB35" s="13">
        <f t="shared" si="49"/>
        <v>48.157176097802179</v>
      </c>
      <c r="GC35" s="20">
        <f t="shared" si="25"/>
        <v>419.65691037033866</v>
      </c>
      <c r="GD35" s="59">
        <f t="shared" si="26"/>
        <v>712.99024370367192</v>
      </c>
      <c r="GE35" s="59">
        <f ca="1">AVERAGE(OFFSET($GD$3,0,0,'Données projet'!$E$17+1,1))-AVERAGE(OFFSET($H$3,0,0,'Données projet'!$E$17+1,1))</f>
        <v>455.71329051283936</v>
      </c>
      <c r="GF35" s="59">
        <f t="shared" si="50"/>
        <v>479.3743231122258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0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15.2</v>
      </c>
      <c r="GU35" s="12">
        <f>IF('Données projet'!$A$270&gt;35,GU34+GT35-HC34,IF(A35&lt;'Données projet'!$A$270,$GR$205^A35,IF(A35='Données projet'!$A$270,'Données projet'!$B$270,GU34+GT35-HC34)))</f>
        <v>193.40000000000003</v>
      </c>
      <c r="GV35" s="17">
        <f>GU35*VLOOKUP('Données projet'!$B$18,Paramètres!$A$1:$I$89,3,0)*VLOOKUP('Données projet'!$B$18,Paramètres!$A$1:$I$89,5,0)</f>
        <v>156.88608000000005</v>
      </c>
      <c r="GW35" s="13">
        <f t="shared" si="51"/>
        <v>40.13936068943687</v>
      </c>
      <c r="GX35" s="20">
        <f t="shared" si="28"/>
        <v>343.1526425341026</v>
      </c>
      <c r="GY35" s="59">
        <f t="shared" si="29"/>
        <v>636.48597586743585</v>
      </c>
      <c r="GZ35" s="59">
        <f ca="1">AVERAGE(OFFSET($GY$3,0,0,'Données projet'!$E$18+1,1))-AVERAGE(OFFSET($H$3,0,0,'Données projet'!$E$18+1,1))</f>
        <v>412.59676769258488</v>
      </c>
      <c r="HA35" s="59">
        <f t="shared" si="52"/>
        <v>399.90063795152133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0</v>
      </c>
      <c r="HH35" s="21">
        <f>EXP(-LN(2)/25)*HH34+(1-EXP(-LN(2)/25))/(LN(2)/25)*Calculateur!HC35*Calculateur!HE35*VLOOKUP('Données projet'!$B$18,Paramètres!$A$1:$I$89,3,0)*0.475*44/12</f>
        <v>0</v>
      </c>
      <c r="HI35" s="21">
        <f>EXP(-LN(2)/2)*HI34+(1-EXP(-LN(2)/2))/(LN(2)/2)*HC35*HF35*VLOOKUP('Données projet'!$B$18,Paramètres!$A$1:$I$89,3,0)*0.475*44/12</f>
        <v>0</v>
      </c>
      <c r="HJ35" s="22">
        <f t="shared" si="30"/>
        <v>0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10.8</v>
      </c>
      <c r="N36" s="13">
        <f>IF('Données projet'!$A$36&gt;35,N35+M36-V35,IF(A36&lt;'Données projet'!$A$36,$K$205^A36,IF(A36='Données projet'!$A$36,'Données projet'!$B$36,N35+M36-V35)))</f>
        <v>125.40000000000003</v>
      </c>
      <c r="O36" s="13">
        <f>N36*VLOOKUP('Données projet'!$B$9,Paramètres!$A$1:$I$89,3,0)*VLOOKUP('Données projet'!$B$9,Paramètres!$A$1:$I$89,5,0)</f>
        <v>113.46192000000002</v>
      </c>
      <c r="P36" s="13">
        <f t="shared" si="33"/>
        <v>30.145163126535493</v>
      </c>
      <c r="Q36" s="20">
        <f t="shared" si="53"/>
        <v>250.11566977871598</v>
      </c>
      <c r="R36" s="59">
        <f t="shared" si="0"/>
        <v>543.44900311204924</v>
      </c>
      <c r="S36" s="59">
        <f ca="1">AVERAGE(OFFSET($R$3,0,0,'Données projet'!$E$9+1,1))-AVERAGE(OFFSET($H$3,0,0,'Données projet'!$E$9+1,1))</f>
        <v>439.19854273764042</v>
      </c>
      <c r="T36" s="59">
        <f t="shared" si="34"/>
        <v>278.21741231699929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10.8</v>
      </c>
      <c r="AI36" s="13">
        <f>IF('Données projet'!$A$62&gt;35,AI35+AH36-AQ35,IF(A36&lt;'Données projet'!$A$62,$AF$205^A36,IF(A36='Données projet'!$A$62,'Données projet'!$B$62,AI35+AH36-AQ35)))</f>
        <v>125.40000000000003</v>
      </c>
      <c r="AJ36" s="13">
        <f>AI36*VLOOKUP('Données projet'!$B$10,Paramètres!$A$1:$I$89,3,0)*VLOOKUP('Données projet'!$B$10,Paramètres!$A$1:$I$89,5,0)</f>
        <v>127.15560000000004</v>
      </c>
      <c r="AK36" s="13">
        <f t="shared" si="35"/>
        <v>33.338258149231912</v>
      </c>
      <c r="AL36" s="20">
        <f t="shared" si="4"/>
        <v>279.52680294324563</v>
      </c>
      <c r="AM36" s="59">
        <f t="shared" si="5"/>
        <v>572.86013627657894</v>
      </c>
      <c r="AN36" s="59">
        <f ca="1">AVERAGE(OFFSET($AM$3,0,0,'Données projet'!$E$10+1,1))-AVERAGE(OFFSET($H$3,0,0,'Données projet'!$E$10+1,1))</f>
        <v>487.18832528146936</v>
      </c>
      <c r="AO36" s="59">
        <f t="shared" si="36"/>
        <v>306.61893266146666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8.6</v>
      </c>
      <c r="BD36" s="12">
        <f>IF('Données projet'!$A$88&gt;35,BD35+BC36-BL35,IF(A36&lt;'Données projet'!$A$88,$BA$205^A36,IF(A36='Données projet'!$A$88,'Données projet'!$B$88,BD35+BC36-BL35)))</f>
        <v>305.80000000000018</v>
      </c>
      <c r="BE36" s="13">
        <f>BD36*VLOOKUP('Données projet'!$B$11,Paramètres!$A$1:$I$89,3,0)*VLOOKUP('Données projet'!$B$11,Paramètres!$A$1:$I$89,5,0)</f>
        <v>276.68784000000016</v>
      </c>
      <c r="BF36" s="13">
        <f t="shared" si="37"/>
        <v>66.266570237082931</v>
      </c>
      <c r="BG36" s="20">
        <f t="shared" si="7"/>
        <v>597.31226449625308</v>
      </c>
      <c r="BH36" s="59">
        <f t="shared" si="8"/>
        <v>890.64559782958645</v>
      </c>
      <c r="BI36" s="59">
        <f ca="1">AVERAGE(OFFSET($BH$3,0,0,'Données projet'!$E$11+1,1))-AVERAGE(OFFSET($H$3,0,0,'Données projet'!$E$11+1,1))</f>
        <v>436.23918637269577</v>
      </c>
      <c r="BJ36" s="59">
        <f t="shared" si="38"/>
        <v>611.43967996341894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13.6</v>
      </c>
      <c r="BY36" s="12">
        <f>IF('Données projet'!$A$114&gt;35,BY35+BX36-CG35,IF(A36&lt;'Données projet'!$A$114,$BV$205^A36,IF(A36='Données projet'!$A$114,'Données projet'!$B$114,BY35+BX36-CG35)))</f>
        <v>194.8000000000001</v>
      </c>
      <c r="BZ36" s="13">
        <f>BY36*VLOOKUP('Données projet'!$B$12,Paramètres!$A$1:$I$89,3,0)*VLOOKUP('Données projet'!$B$12,Paramètres!$A$1:$I$89,5,0)</f>
        <v>170.17728000000011</v>
      </c>
      <c r="CA36" s="13">
        <f t="shared" si="39"/>
        <v>43.129725999134671</v>
      </c>
      <c r="CB36" s="20">
        <f t="shared" si="10"/>
        <v>371.50970211515977</v>
      </c>
      <c r="CC36" s="59">
        <f t="shared" si="11"/>
        <v>664.84303544849308</v>
      </c>
      <c r="CD36" s="59">
        <f ca="1">AVERAGE(OFFSET($CC$3,0,0,'Données projet'!$E$12+1,1))-AVERAGE(OFFSET($H$3,0,0,'Données projet'!$E$12+1,1))</f>
        <v>304.32767345253382</v>
      </c>
      <c r="CE36" s="59">
        <f t="shared" si="40"/>
        <v>427.16091343339173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28.4</v>
      </c>
      <c r="CT36" s="12">
        <f>IF('Données projet'!$A$140&gt;35,CT35+CS36-DB35,IF(A36&lt;'Données projet'!$A$140,$CQ$205^A36,IF(A36='Données projet'!$A$140,'Données projet'!$B$140,CT35+CS36-DB35)))</f>
        <v>519.19999999999993</v>
      </c>
      <c r="CU36" s="17">
        <f>CT36*VLOOKUP('Données projet'!$B$13,Paramètres!$A$1:$I$89,3,0)*VLOOKUP('Données projet'!$B$13,Paramètres!$A$1:$I$89,5,0)</f>
        <v>290.2328</v>
      </c>
      <c r="CV36" s="13">
        <f t="shared" si="41"/>
        <v>69.124955529636495</v>
      </c>
      <c r="CW36" s="20">
        <f t="shared" si="13"/>
        <v>625.88142421411692</v>
      </c>
      <c r="CX36" s="59">
        <f t="shared" si="14"/>
        <v>919.21475754745029</v>
      </c>
      <c r="CY36" s="59">
        <f ca="1">AVERAGE(OFFSET($CX$3,0,0,'Données projet'!$E$13+1,1))-AVERAGE(OFFSET($H$3,0,0,'Données projet'!$E$13+1,1))</f>
        <v>555.15881087162279</v>
      </c>
      <c r="CZ36" s="59">
        <f t="shared" si="42"/>
        <v>668.20427590250733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53.169964424625583</v>
      </c>
      <c r="DH36" s="21">
        <f>EXP(-LN(2)/2)*DH35+(1-EXP(-LN(2)/2))/(LN(2)/2)*DB36*DE36*VLOOKUP('Données projet'!$B$13,Paramètres!$A$1:$I$89,3,0)*0.475*44/12</f>
        <v>0.30069127795370848</v>
      </c>
      <c r="DI36" s="22">
        <f t="shared" si="15"/>
        <v>53.470655702579293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34</v>
      </c>
      <c r="DO36" s="12">
        <f>IF('Données projet'!$A$166&gt;35,DO35+DN36-DW35,IF(A36&lt;'Données projet'!$A$166,$DL$205^A36,IF(A36='Données projet'!$A$166,'Données projet'!$B$166,DO35+DN36-DW35)))</f>
        <v>433</v>
      </c>
      <c r="DP36" s="17">
        <f>DO36*VLOOKUP('Données projet'!$B$14,Paramètres!$A$1:$I$89,3,0)*VLOOKUP('Données projet'!$B$14,Paramètres!$A$1:$I$89,5,0)</f>
        <v>202.64400000000001</v>
      </c>
      <c r="DQ36" s="13">
        <f t="shared" si="43"/>
        <v>50.324794005167611</v>
      </c>
      <c r="DR36" s="20">
        <f t="shared" si="16"/>
        <v>440.58731622566688</v>
      </c>
      <c r="DS36" s="59">
        <f t="shared" si="17"/>
        <v>733.92064955900014</v>
      </c>
      <c r="DT36" s="59">
        <f ca="1">AVERAGE(OFFSET($DS$3,0,0,'Données projet'!$E$14+1,1))-AVERAGE(OFFSET($H$3,0,0,'Données projet'!$E$14+1,1))</f>
        <v>523.79180230463714</v>
      </c>
      <c r="DU36" s="59">
        <f t="shared" si="44"/>
        <v>459.3547783500515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49.17548814245658</v>
      </c>
      <c r="EC36" s="21">
        <f>EXP(-LN(2)/2)*EC35+(1-EXP(-LN(2)/2))/(LN(2)/2)*DW36*DZ36*VLOOKUP('Données projet'!$B$14,Paramètres!$A$1:$I$89,3,0)*0.475*44/12</f>
        <v>0.42152070981936807</v>
      </c>
      <c r="ED36" s="22">
        <f t="shared" si="18"/>
        <v>49.597008852275948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15.2</v>
      </c>
      <c r="EJ36" s="12">
        <f>IF('Données projet'!$A$192&gt;35,EJ35+EI36-ER35,IF(A36&lt;'Données projet'!$A$192,$EG$205^A36,IF(A36='Données projet'!$A$192,'Données projet'!$B$192,EJ35+EI36-ER35)))</f>
        <v>208.60000000000002</v>
      </c>
      <c r="EK36" s="17">
        <f>EJ36*VLOOKUP('Données projet'!$B$15,Paramètres!$A$1:$I$89,3,0)*VLOOKUP('Données projet'!$B$15,Paramètres!$A$1:$I$89,5,0)</f>
        <v>201.75792000000004</v>
      </c>
      <c r="EL36" s="13">
        <f t="shared" si="45"/>
        <v>50.130308345057919</v>
      </c>
      <c r="EM36" s="20">
        <f t="shared" si="19"/>
        <v>438.70533103430927</v>
      </c>
      <c r="EN36" s="59">
        <f t="shared" si="20"/>
        <v>732.03866436764258</v>
      </c>
      <c r="EO36" s="59">
        <f ca="1">AVERAGE(OFFSET($EN$3,0,0,'Données projet'!$E$15+1,1))-AVERAGE(OFFSET($H$3,0,0,'Données projet'!$E$15+1,1))</f>
        <v>484.41278617935654</v>
      </c>
      <c r="EP36" s="59">
        <f t="shared" si="46"/>
        <v>467.97490540700738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15.2</v>
      </c>
      <c r="FE36" s="12">
        <f>IF('Données projet'!$A$218&gt;35,FE35+FD36-FM35,IF(A36&lt;'Données projet'!$A$218,$FB$205^A36,IF(A36='Données projet'!$A$218,'Données projet'!$B$218,FE35+FD36-FM35)))</f>
        <v>208.60000000000002</v>
      </c>
      <c r="FF36" s="17">
        <f>FE36*VLOOKUP('Données projet'!$B$16,Paramètres!$A$1:$I$89,3,0)*VLOOKUP('Données projet'!$B$16,Paramètres!$A$1:$I$89,5,0)</f>
        <v>224.53703999999999</v>
      </c>
      <c r="FG36" s="13">
        <f t="shared" si="47"/>
        <v>55.099814359746397</v>
      </c>
      <c r="FH36" s="20">
        <f t="shared" si="22"/>
        <v>487.03418800989158</v>
      </c>
      <c r="FI36" s="59">
        <f t="shared" si="23"/>
        <v>780.36752134322489</v>
      </c>
      <c r="FJ36" s="59">
        <f ca="1">AVERAGE(OFFSET($FI$3,0,0,'Données projet'!$E$16+1,1))-AVERAGE(OFFSET($H$3,0,0,'Données projet'!$E$16+1,1))</f>
        <v>534.54020133239135</v>
      </c>
      <c r="FK36" s="59">
        <f t="shared" si="48"/>
        <v>515.48696069008815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8.8000000000000007</v>
      </c>
      <c r="FZ36" s="12">
        <f>IF('Données projet'!$A$244&gt;35,FZ35+FY36-GH35,IF(A36&lt;'Données projet'!$A$244,$FW$205^A36,IF(A36='Données projet'!$A$244,'Données projet'!$B$244,FZ35+FY36-GH35)))</f>
        <v>211.39999999999998</v>
      </c>
      <c r="GA36" s="17">
        <f>FZ36*VLOOKUP('Données projet'!$B$17,Paramètres!$A$1:$I$89,3,0)*VLOOKUP('Données projet'!$B$17,Paramètres!$A$1:$I$89,5,0)</f>
        <v>201.16823999999997</v>
      </c>
      <c r="GB36" s="13">
        <f t="shared" si="49"/>
        <v>50.000824425351645</v>
      </c>
      <c r="GC36" s="20">
        <f t="shared" si="25"/>
        <v>437.45278720748735</v>
      </c>
      <c r="GD36" s="59">
        <f t="shared" si="26"/>
        <v>730.78612054082066</v>
      </c>
      <c r="GE36" s="59">
        <f ca="1">AVERAGE(OFFSET($GD$3,0,0,'Données projet'!$E$17+1,1))-AVERAGE(OFFSET($H$3,0,0,'Données projet'!$E$17+1,1))</f>
        <v>455.71329051283936</v>
      </c>
      <c r="GF36" s="59">
        <f t="shared" si="50"/>
        <v>479.3743231122258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0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15.2</v>
      </c>
      <c r="GU36" s="12">
        <f>IF('Données projet'!$A$270&gt;35,GU35+GT36-HC35,IF(A36&lt;'Données projet'!$A$270,$GR$205^A36,IF(A36='Données projet'!$A$270,'Données projet'!$B$270,GU35+GT36-HC35)))</f>
        <v>208.60000000000002</v>
      </c>
      <c r="GV36" s="17">
        <f>GU36*VLOOKUP('Données projet'!$B$18,Paramètres!$A$1:$I$89,3,0)*VLOOKUP('Données projet'!$B$18,Paramètres!$A$1:$I$89,5,0)</f>
        <v>169.21632000000005</v>
      </c>
      <c r="GW36" s="13">
        <f t="shared" si="51"/>
        <v>42.914458163257414</v>
      </c>
      <c r="GX36" s="20">
        <f t="shared" si="28"/>
        <v>369.46110530100674</v>
      </c>
      <c r="GY36" s="59">
        <f t="shared" si="29"/>
        <v>662.79443863434005</v>
      </c>
      <c r="GZ36" s="59">
        <f ca="1">AVERAGE(OFFSET($GY$3,0,0,'Données projet'!$E$18+1,1))-AVERAGE(OFFSET($H$3,0,0,'Données projet'!$E$18+1,1))</f>
        <v>412.59676769258488</v>
      </c>
      <c r="HA36" s="59">
        <f t="shared" si="52"/>
        <v>399.90063795152133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0</v>
      </c>
      <c r="HH36" s="21">
        <f>EXP(-LN(2)/25)*HH35+(1-EXP(-LN(2)/25))/(LN(2)/25)*Calculateur!HC36*Calculateur!HE36*VLOOKUP('Données projet'!$B$18,Paramètres!$A$1:$I$89,3,0)*0.475*44/12</f>
        <v>0</v>
      </c>
      <c r="HI36" s="21">
        <f>EXP(-LN(2)/2)*HI35+(1-EXP(-LN(2)/2))/(LN(2)/2)*HC36*HF36*VLOOKUP('Données projet'!$B$18,Paramètres!$A$1:$I$89,3,0)*0.475*44/12</f>
        <v>0</v>
      </c>
      <c r="HJ36" s="22">
        <f t="shared" si="30"/>
        <v>0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10.8</v>
      </c>
      <c r="N37" s="13">
        <f>IF('Données projet'!$A$36&gt;35,N36+M37-V36,IF(A37&lt;'Données projet'!$A$36,$K$205^A37,IF(A37='Données projet'!$A$36,'Données projet'!$B$36,N36+M37-V36)))</f>
        <v>136.20000000000005</v>
      </c>
      <c r="O37" s="13">
        <f>N37*VLOOKUP('Données projet'!$B$9,Paramètres!$A$1:$I$89,3,0)*VLOOKUP('Données projet'!$B$9,Paramètres!$A$1:$I$89,5,0)</f>
        <v>123.23376000000005</v>
      </c>
      <c r="P37" s="13">
        <f t="shared" si="33"/>
        <v>32.428049504876491</v>
      </c>
      <c r="Q37" s="20">
        <f t="shared" si="53"/>
        <v>271.11098488765998</v>
      </c>
      <c r="R37" s="59">
        <f t="shared" si="0"/>
        <v>564.4443182209933</v>
      </c>
      <c r="S37" s="59">
        <f ca="1">AVERAGE(OFFSET($R$3,0,0,'Données projet'!$E$9+1,1))-AVERAGE(OFFSET($H$3,0,0,'Données projet'!$E$9+1,1))</f>
        <v>439.19854273764042</v>
      </c>
      <c r="T37" s="59">
        <f t="shared" si="34"/>
        <v>278.21741231699929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10.8</v>
      </c>
      <c r="AI37" s="13">
        <f>IF('Données projet'!$A$62&gt;35,AI36+AH37-AQ36,IF(A37&lt;'Données projet'!$A$62,$AF$205^A37,IF(A37='Données projet'!$A$62,'Données projet'!$B$62,AI36+AH37-AQ36)))</f>
        <v>136.20000000000005</v>
      </c>
      <c r="AJ37" s="13">
        <f>AI37*VLOOKUP('Données projet'!$B$10,Paramètres!$A$1:$I$89,3,0)*VLOOKUP('Données projet'!$B$10,Paramètres!$A$1:$I$89,5,0)</f>
        <v>138.10680000000005</v>
      </c>
      <c r="AK37" s="13">
        <f t="shared" si="35"/>
        <v>35.862956890686135</v>
      </c>
      <c r="AL37" s="20">
        <f t="shared" si="4"/>
        <v>302.99732658461176</v>
      </c>
      <c r="AM37" s="59">
        <f t="shared" si="5"/>
        <v>596.33065991794501</v>
      </c>
      <c r="AN37" s="59">
        <f ca="1">AVERAGE(OFFSET($AM$3,0,0,'Données projet'!$E$10+1,1))-AVERAGE(OFFSET($H$3,0,0,'Données projet'!$E$10+1,1))</f>
        <v>487.18832528146936</v>
      </c>
      <c r="AO37" s="59">
        <f t="shared" si="36"/>
        <v>306.61893266146666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8.6</v>
      </c>
      <c r="BD37" s="12">
        <f>IF('Données projet'!$A$88&gt;35,BD36+BC37-BL36,IF(A37&lt;'Données projet'!$A$88,$BA$205^A37,IF(A37='Données projet'!$A$88,'Données projet'!$B$88,BD36+BC37-BL36)))</f>
        <v>314.4000000000002</v>
      </c>
      <c r="BE37" s="13">
        <f>BD37*VLOOKUP('Données projet'!$B$11,Paramètres!$A$1:$I$89,3,0)*VLOOKUP('Données projet'!$B$11,Paramètres!$A$1:$I$89,5,0)</f>
        <v>284.4691200000002</v>
      </c>
      <c r="BF37" s="13">
        <f t="shared" si="37"/>
        <v>67.910590237379097</v>
      </c>
      <c r="BG37" s="20">
        <f t="shared" si="7"/>
        <v>613.72799533010232</v>
      </c>
      <c r="BH37" s="59">
        <f t="shared" si="8"/>
        <v>907.06132866343569</v>
      </c>
      <c r="BI37" s="59">
        <f ca="1">AVERAGE(OFFSET($BH$3,0,0,'Données projet'!$E$11+1,1))-AVERAGE(OFFSET($H$3,0,0,'Données projet'!$E$11+1,1))</f>
        <v>436.23918637269577</v>
      </c>
      <c r="BJ37" s="59">
        <f t="shared" si="38"/>
        <v>611.43967996341894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13.6</v>
      </c>
      <c r="BY37" s="12">
        <f>IF('Données projet'!$A$114&gt;35,BY36+BX37-CG36,IF(A37&lt;'Données projet'!$A$114,$BV$205^A37,IF(A37='Données projet'!$A$114,'Données projet'!$B$114,BY36+BX37-CG36)))</f>
        <v>208.40000000000009</v>
      </c>
      <c r="BZ37" s="13">
        <f>BY37*VLOOKUP('Données projet'!$B$12,Paramètres!$A$1:$I$89,3,0)*VLOOKUP('Données projet'!$B$12,Paramètres!$A$1:$I$89,5,0)</f>
        <v>182.0582400000001</v>
      </c>
      <c r="CA37" s="13">
        <f t="shared" si="39"/>
        <v>45.779803189729343</v>
      </c>
      <c r="CB37" s="20">
        <f t="shared" si="10"/>
        <v>396.81792522211208</v>
      </c>
      <c r="CC37" s="59">
        <f t="shared" si="11"/>
        <v>690.15125855544534</v>
      </c>
      <c r="CD37" s="59">
        <f ca="1">AVERAGE(OFFSET($CC$3,0,0,'Données projet'!$E$12+1,1))-AVERAGE(OFFSET($H$3,0,0,'Données projet'!$E$12+1,1))</f>
        <v>304.32767345253382</v>
      </c>
      <c r="CE37" s="59">
        <f t="shared" si="40"/>
        <v>427.16091343339173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28.4</v>
      </c>
      <c r="CT37" s="12">
        <f>IF('Données projet'!$A$140&gt;35,CT36+CS37-DB36,IF(A37&lt;'Données projet'!$A$140,$CQ$205^A37,IF(A37='Données projet'!$A$140,'Données projet'!$B$140,CT36+CS37-DB36)))</f>
        <v>547.59999999999991</v>
      </c>
      <c r="CU37" s="17">
        <f>CT37*VLOOKUP('Données projet'!$B$13,Paramètres!$A$1:$I$89,3,0)*VLOOKUP('Données projet'!$B$13,Paramètres!$A$1:$I$89,5,0)</f>
        <v>306.10839999999996</v>
      </c>
      <c r="CV37" s="13">
        <f t="shared" si="41"/>
        <v>72.455512621968097</v>
      </c>
      <c r="CW37" s="20">
        <f t="shared" si="13"/>
        <v>659.33214781659433</v>
      </c>
      <c r="CX37" s="59">
        <f t="shared" si="14"/>
        <v>952.6654811499277</v>
      </c>
      <c r="CY37" s="59">
        <f ca="1">AVERAGE(OFFSET($CX$3,0,0,'Données projet'!$E$13+1,1))-AVERAGE(OFFSET($H$3,0,0,'Données projet'!$E$13+1,1))</f>
        <v>555.15881087162279</v>
      </c>
      <c r="CZ37" s="59">
        <f t="shared" si="42"/>
        <v>668.20427590250733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51.71602895134729</v>
      </c>
      <c r="DH37" s="21">
        <f>EXP(-LN(2)/2)*DH36+(1-EXP(-LN(2)/2))/(LN(2)/2)*DB37*DE37*VLOOKUP('Données projet'!$B$13,Paramètres!$A$1:$I$89,3,0)*0.475*44/12</f>
        <v>0.21262084168471629</v>
      </c>
      <c r="DI37" s="22">
        <f t="shared" si="15"/>
        <v>51.928649793032008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34</v>
      </c>
      <c r="DO37" s="12">
        <f>IF('Données projet'!$A$166&gt;35,DO36+DN37-DW36,IF(A37&lt;'Données projet'!$A$166,$DL$205^A37,IF(A37='Données projet'!$A$166,'Données projet'!$B$166,DO36+DN37-DW36)))</f>
        <v>467</v>
      </c>
      <c r="DP37" s="17">
        <f>DO37*VLOOKUP('Données projet'!$B$14,Paramètres!$A$1:$I$89,3,0)*VLOOKUP('Données projet'!$B$14,Paramètres!$A$1:$I$89,5,0)</f>
        <v>218.55600000000001</v>
      </c>
      <c r="DQ37" s="13">
        <f t="shared" si="43"/>
        <v>53.800919270845718</v>
      </c>
      <c r="DR37" s="20">
        <f t="shared" si="16"/>
        <v>474.35496773005622</v>
      </c>
      <c r="DS37" s="59">
        <f t="shared" si="17"/>
        <v>767.68830106338953</v>
      </c>
      <c r="DT37" s="59">
        <f ca="1">AVERAGE(OFFSET($DS$3,0,0,'Données projet'!$E$14+1,1))-AVERAGE(OFFSET($H$3,0,0,'Données projet'!$E$14+1,1))</f>
        <v>523.79180230463714</v>
      </c>
      <c r="DU37" s="59">
        <f t="shared" si="44"/>
        <v>459.3547783500515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47.830781833174576</v>
      </c>
      <c r="EC37" s="21">
        <f>EXP(-LN(2)/2)*EC36+(1-EXP(-LN(2)/2))/(LN(2)/2)*DW37*DZ37*VLOOKUP('Données projet'!$B$14,Paramètres!$A$1:$I$89,3,0)*0.475*44/12</f>
        <v>0.29806015232384209</v>
      </c>
      <c r="ED37" s="22">
        <f t="shared" si="18"/>
        <v>48.128841985498418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15.2</v>
      </c>
      <c r="EJ37" s="12">
        <f>IF('Données projet'!$A$192&gt;35,EJ36+EI37-ER36,IF(A37&lt;'Données projet'!$A$192,$EG$205^A37,IF(A37='Données projet'!$A$192,'Données projet'!$B$192,EJ36+EI37-ER36)))</f>
        <v>223.8</v>
      </c>
      <c r="EK37" s="17">
        <f>EJ37*VLOOKUP('Données projet'!$B$15,Paramètres!$A$1:$I$89,3,0)*VLOOKUP('Données projet'!$B$15,Paramètres!$A$1:$I$89,5,0)</f>
        <v>216.45936</v>
      </c>
      <c r="EL37" s="13">
        <f t="shared" si="45"/>
        <v>53.344619958109483</v>
      </c>
      <c r="EM37" s="20">
        <f t="shared" si="19"/>
        <v>469.90859842704066</v>
      </c>
      <c r="EN37" s="59">
        <f t="shared" si="20"/>
        <v>763.24193176037397</v>
      </c>
      <c r="EO37" s="59">
        <f ca="1">AVERAGE(OFFSET($EN$3,0,0,'Données projet'!$E$15+1,1))-AVERAGE(OFFSET($H$3,0,0,'Données projet'!$E$15+1,1))</f>
        <v>484.41278617935654</v>
      </c>
      <c r="EP37" s="59">
        <f t="shared" si="46"/>
        <v>467.97490540700738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15.2</v>
      </c>
      <c r="FE37" s="12">
        <f>IF('Données projet'!$A$218&gt;35,FE36+FD37-FM36,IF(A37&lt;'Données projet'!$A$218,$FB$205^A37,IF(A37='Données projet'!$A$218,'Données projet'!$B$218,FE36+FD37-FM36)))</f>
        <v>223.8</v>
      </c>
      <c r="FF37" s="17">
        <f>FE37*VLOOKUP('Données projet'!$B$16,Paramètres!$A$1:$I$89,3,0)*VLOOKUP('Données projet'!$B$16,Paramètres!$A$1:$I$89,5,0)</f>
        <v>240.89832000000001</v>
      </c>
      <c r="FG37" s="13">
        <f t="shared" si="47"/>
        <v>58.632766360648731</v>
      </c>
      <c r="FH37" s="20">
        <f t="shared" si="22"/>
        <v>521.68330874479648</v>
      </c>
      <c r="FI37" s="59">
        <f t="shared" si="23"/>
        <v>815.01664207812973</v>
      </c>
      <c r="FJ37" s="59">
        <f ca="1">AVERAGE(OFFSET($FI$3,0,0,'Données projet'!$E$16+1,1))-AVERAGE(OFFSET($H$3,0,0,'Données projet'!$E$16+1,1))</f>
        <v>534.54020133239135</v>
      </c>
      <c r="FK37" s="59">
        <f t="shared" si="48"/>
        <v>515.48696069008815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8.8000000000000007</v>
      </c>
      <c r="FZ37" s="12">
        <f>IF('Données projet'!$A$244&gt;35,FZ36+FY37-GH36,IF(A37&lt;'Données projet'!$A$244,$FW$205^A37,IF(A37='Données projet'!$A$244,'Données projet'!$B$244,FZ36+FY37-GH36)))</f>
        <v>220.2</v>
      </c>
      <c r="GA37" s="17">
        <f>FZ37*VLOOKUP('Données projet'!$B$17,Paramètres!$A$1:$I$89,3,0)*VLOOKUP('Données projet'!$B$17,Paramètres!$A$1:$I$89,5,0)</f>
        <v>209.54232000000002</v>
      </c>
      <c r="GB37" s="13">
        <f t="shared" si="49"/>
        <v>51.835558406813547</v>
      </c>
      <c r="GC37" s="20">
        <f t="shared" si="25"/>
        <v>455.23313822520032</v>
      </c>
      <c r="GD37" s="59">
        <f t="shared" si="26"/>
        <v>748.56647155853364</v>
      </c>
      <c r="GE37" s="59">
        <f ca="1">AVERAGE(OFFSET($GD$3,0,0,'Données projet'!$E$17+1,1))-AVERAGE(OFFSET($H$3,0,0,'Données projet'!$E$17+1,1))</f>
        <v>455.71329051283936</v>
      </c>
      <c r="GF37" s="59">
        <f t="shared" si="50"/>
        <v>479.3743231122258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0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15.2</v>
      </c>
      <c r="GU37" s="12">
        <f>IF('Données projet'!$A$270&gt;35,GU36+GT37-HC36,IF(A37&lt;'Données projet'!$A$270,$GR$205^A37,IF(A37='Données projet'!$A$270,'Données projet'!$B$270,GU36+GT37-HC36)))</f>
        <v>223.8</v>
      </c>
      <c r="GV37" s="17">
        <f>GU37*VLOOKUP('Données projet'!$B$18,Paramètres!$A$1:$I$89,3,0)*VLOOKUP('Données projet'!$B$18,Paramètres!$A$1:$I$89,5,0)</f>
        <v>181.54656</v>
      </c>
      <c r="GW37" s="13">
        <f t="shared" si="51"/>
        <v>45.666095761265019</v>
      </c>
      <c r="GX37" s="20">
        <f t="shared" si="28"/>
        <v>395.72870878420321</v>
      </c>
      <c r="GY37" s="59">
        <f t="shared" si="29"/>
        <v>689.06204211753652</v>
      </c>
      <c r="GZ37" s="59">
        <f ca="1">AVERAGE(OFFSET($GY$3,0,0,'Données projet'!$E$18+1,1))-AVERAGE(OFFSET($H$3,0,0,'Données projet'!$E$18+1,1))</f>
        <v>412.59676769258488</v>
      </c>
      <c r="HA37" s="59">
        <f t="shared" si="52"/>
        <v>399.90063795152133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0</v>
      </c>
      <c r="HH37" s="21">
        <f>EXP(-LN(2)/25)*HH36+(1-EXP(-LN(2)/25))/(LN(2)/25)*Calculateur!HC37*Calculateur!HE37*VLOOKUP('Données projet'!$B$18,Paramètres!$A$1:$I$89,3,0)*0.475*44/12</f>
        <v>0</v>
      </c>
      <c r="HI37" s="21">
        <f>EXP(-LN(2)/2)*HI36+(1-EXP(-LN(2)/2))/(LN(2)/2)*HC37*HF37*VLOOKUP('Données projet'!$B$18,Paramètres!$A$1:$I$89,3,0)*0.475*44/12</f>
        <v>0</v>
      </c>
      <c r="HJ37" s="22">
        <f t="shared" si="30"/>
        <v>0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147</v>
      </c>
      <c r="L38" s="12">
        <f>VLOOKUP(A38,'Données projet'!$A$35:$I$55,9,0)</f>
        <v>10.8</v>
      </c>
      <c r="M38" s="12">
        <f t="array" ref="M38">INDEX(L:L,MIN(IF(ISNUMBER(L38:L234),ROW(L38:L234),"")))</f>
        <v>10.8</v>
      </c>
      <c r="N38" s="13">
        <f>IF('Données projet'!$A$36&gt;35,N37+M38-V37,IF(A38&lt;'Données projet'!$A$36,$K$205^A38,IF(A38='Données projet'!$A$36,'Données projet'!$B$36,N37+M38-V37)))</f>
        <v>147.00000000000006</v>
      </c>
      <c r="O38" s="13">
        <f>N38*VLOOKUP('Données projet'!$B$9,Paramètres!$A$1:$I$89,3,0)*VLOOKUP('Données projet'!$B$9,Paramètres!$A$1:$I$89,5,0)</f>
        <v>133.00560000000004</v>
      </c>
      <c r="P38" s="13">
        <f t="shared" si="33"/>
        <v>34.689938673073549</v>
      </c>
      <c r="Q38" s="20">
        <f t="shared" si="53"/>
        <v>292.06972985560316</v>
      </c>
      <c r="R38" s="59">
        <f t="shared" si="0"/>
        <v>585.40306318893647</v>
      </c>
      <c r="S38" s="59">
        <f ca="1">AVERAGE(OFFSET($R$3,0,0,'Données projet'!$E$9+1,1))-AVERAGE(OFFSET($H$3,0,0,'Données projet'!$E$9+1,1))</f>
        <v>439.19854273764042</v>
      </c>
      <c r="T38" s="59">
        <f t="shared" si="34"/>
        <v>278.21741231699929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28</v>
      </c>
      <c r="W38" s="16">
        <f>IF(ISNA(VLOOKUP(A38,'Données projet'!$A$35:$I$55,5,0)),0%,VLOOKUP(A38,'Données projet'!$A$35:$I$55,5,0)*VLOOKUP('Données projet'!$B$9,Paramètres!$A$1:$I$89,7,0))</f>
        <v>0.43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12.042764376793015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12.042764376793015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147</v>
      </c>
      <c r="AG38" s="12">
        <f>VLOOKUP(A38,'Données projet'!$A$61:$I$81,9,0)</f>
        <v>10.8</v>
      </c>
      <c r="AH38" s="12">
        <f t="array" ref="AH38">INDEX(AG:AG,MIN(IF(ISNUMBER(AG38:AG234),ROW(AG38:AG234),"")))</f>
        <v>10.8</v>
      </c>
      <c r="AI38" s="13">
        <f>IF('Données projet'!$A$62&gt;35,AI37+AH38-AQ37,IF(A38&lt;'Données projet'!$A$62,$AF$205^A38,IF(A38='Données projet'!$A$62,'Données projet'!$B$62,AI37+AH38-AQ37)))</f>
        <v>147.00000000000006</v>
      </c>
      <c r="AJ38" s="13">
        <f>AI38*VLOOKUP('Données projet'!$B$10,Paramètres!$A$1:$I$89,3,0)*VLOOKUP('Données projet'!$B$10,Paramètres!$A$1:$I$89,5,0)</f>
        <v>149.05800000000008</v>
      </c>
      <c r="AK38" s="13">
        <f t="shared" si="35"/>
        <v>38.364434314370335</v>
      </c>
      <c r="AL38" s="20">
        <f t="shared" si="4"/>
        <v>326.42740643086182</v>
      </c>
      <c r="AM38" s="59">
        <f t="shared" si="5"/>
        <v>619.76073976419514</v>
      </c>
      <c r="AN38" s="59">
        <f ca="1">AVERAGE(OFFSET($AM$3,0,0,'Données projet'!$E$10+1,1))-AVERAGE(OFFSET($H$3,0,0,'Données projet'!$E$10+1,1))</f>
        <v>487.18832528146936</v>
      </c>
      <c r="AO38" s="59">
        <f t="shared" si="36"/>
        <v>306.61893266146666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28</v>
      </c>
      <c r="AR38" s="16">
        <f>IF(ISNA(VLOOKUP(A38,'Données projet'!$A$61:$I$81,5,0)),0%,VLOOKUP(A38,'Données projet'!$A$61:$I$81,5,0)*VLOOKUP('Données projet'!$B$10,Paramètres!$A$1:$I$89,7,0))</f>
        <v>0.43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13.496201456750795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13.496201456750795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323</v>
      </c>
      <c r="BB38" s="12">
        <f>VLOOKUP(A38,'Données projet'!$A$87:$I$107,9,0)</f>
        <v>8.6</v>
      </c>
      <c r="BC38" s="12">
        <f t="array" ref="BC38">INDEX(BB:BB,MIN(IF(ISNUMBER(BB38:BB234),ROW(BB38:BB234),"")))</f>
        <v>8.6</v>
      </c>
      <c r="BD38" s="12">
        <f>IF('Données projet'!$A$88&gt;35,BD37+BC38-BL37,IF(A38&lt;'Données projet'!$A$88,$BA$205^A38,IF(A38='Données projet'!$A$88,'Données projet'!$B$88,BD37+BC38-BL37)))</f>
        <v>323.00000000000023</v>
      </c>
      <c r="BE38" s="13">
        <f>BD38*VLOOKUP('Données projet'!$B$11,Paramètres!$A$1:$I$89,3,0)*VLOOKUP('Données projet'!$B$11,Paramètres!$A$1:$I$89,5,0)</f>
        <v>292.25040000000018</v>
      </c>
      <c r="BF38" s="13">
        <f t="shared" si="37"/>
        <v>69.549383363839993</v>
      </c>
      <c r="BG38" s="20">
        <f t="shared" si="7"/>
        <v>630.13462269202159</v>
      </c>
      <c r="BH38" s="59">
        <f t="shared" si="8"/>
        <v>923.46795602535485</v>
      </c>
      <c r="BI38" s="59">
        <f ca="1">AVERAGE(OFFSET($BH$3,0,0,'Données projet'!$E$11+1,1))-AVERAGE(OFFSET($H$3,0,0,'Données projet'!$E$11+1,1))</f>
        <v>436.23918637269577</v>
      </c>
      <c r="BJ38" s="59">
        <f t="shared" si="38"/>
        <v>611.43967996341894</v>
      </c>
      <c r="BK38" s="15">
        <f>IF(ISNA(VLOOKUP(A38,'Données projet'!$A$87:$I$107,3,0)),0,VLOOKUP(A38,'Données projet'!$A$87:$I$107,3,0))</f>
        <v>7</v>
      </c>
      <c r="BL38" s="15">
        <f>IF(ISNA(VLOOKUP(A38,'Données projet'!$A$87:$I$107,4,0)),0,VLOOKUP(A38,'Données projet'!$A$87:$I$107,4,0))</f>
        <v>11</v>
      </c>
      <c r="BM38" s="16">
        <f>IF(ISNA(VLOOKUP(A38,'Données projet'!$A$87:$I$107,5,0)),0%,VLOOKUP(A38,'Données projet'!$A$87:$I$107,5,0)*VLOOKUP('Données projet'!$B$11,Paramètres!$A$1:$I$89,7,0))</f>
        <v>0.3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3.3007576780246635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3.3007576780246635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222</v>
      </c>
      <c r="BW38" s="12">
        <f>VLOOKUP(A38,'Données projet'!$A$113:$I$133,9,0)</f>
        <v>13.6</v>
      </c>
      <c r="BX38" s="12">
        <f t="array" ref="BX38">INDEX(BW:BW,MIN(IF(ISNUMBER(BW38:BW234),ROW(BW38:BW234),"")))</f>
        <v>13.6</v>
      </c>
      <c r="BY38" s="12">
        <f>IF('Données projet'!$A$114&gt;35,BY37+BX38-CG37,IF(A38&lt;'Données projet'!$A$114,$BV$205^A38,IF(A38='Données projet'!$A$114,'Données projet'!$B$114,BY37+BX38-CG37)))</f>
        <v>222.00000000000009</v>
      </c>
      <c r="BZ38" s="13">
        <f>BY38*VLOOKUP('Données projet'!$B$12,Paramètres!$A$1:$I$89,3,0)*VLOOKUP('Données projet'!$B$12,Paramètres!$A$1:$I$89,5,0)</f>
        <v>193.93920000000011</v>
      </c>
      <c r="CA38" s="13">
        <f t="shared" si="39"/>
        <v>48.409811198069384</v>
      </c>
      <c r="CB38" s="20">
        <f t="shared" si="10"/>
        <v>422.09119450330428</v>
      </c>
      <c r="CC38" s="59">
        <f t="shared" si="11"/>
        <v>715.42452783663759</v>
      </c>
      <c r="CD38" s="59">
        <f ca="1">AVERAGE(OFFSET($CC$3,0,0,'Données projet'!$E$12+1,1))-AVERAGE(OFFSET($H$3,0,0,'Données projet'!$E$12+1,1))</f>
        <v>304.32767345253382</v>
      </c>
      <c r="CE38" s="59">
        <f t="shared" si="40"/>
        <v>427.16091343339173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49</v>
      </c>
      <c r="CH38" s="16">
        <f>IF(ISNA(VLOOKUP(A38,'Données projet'!$A$113:$I$133,5,0)),0%,VLOOKUP(A38,'Données projet'!$A$113:$I$133,5,0)*VLOOKUP('Données projet'!$B$12,Paramètres!$A$1:$I$89,7,0))</f>
        <v>0.43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20.348119119408889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20.348119119408889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576</v>
      </c>
      <c r="CR38" s="12">
        <f>VLOOKUP(A38,'Données projet'!$A$139:$I$159,9,0)</f>
        <v>28.4</v>
      </c>
      <c r="CS38" s="12">
        <f t="array" ref="CS38">INDEX(CR:CR,MIN(IF(ISNUMBER(CR38:CR234),ROW(CR38:CR234),"")))</f>
        <v>28.4</v>
      </c>
      <c r="CT38" s="12">
        <f>IF('Données projet'!$A$140&gt;35,CT37+CS38-DB37,IF(A38&lt;'Données projet'!$A$140,$CQ$205^A38,IF(A38='Données projet'!$A$140,'Données projet'!$B$140,CT37+CS38-DB37)))</f>
        <v>575.99999999999989</v>
      </c>
      <c r="CU38" s="17">
        <f>CT38*VLOOKUP('Données projet'!$B$13,Paramètres!$A$1:$I$89,3,0)*VLOOKUP('Données projet'!$B$13,Paramètres!$A$1:$I$89,5,0)</f>
        <v>321.98399999999992</v>
      </c>
      <c r="CV38" s="13">
        <f t="shared" si="41"/>
        <v>75.76601483154208</v>
      </c>
      <c r="CW38" s="20">
        <f t="shared" si="13"/>
        <v>692.74794249826891</v>
      </c>
      <c r="CX38" s="59">
        <f t="shared" si="14"/>
        <v>986.08127583160217</v>
      </c>
      <c r="CY38" s="59">
        <f ca="1">AVERAGE(OFFSET($CX$3,0,0,'Données projet'!$E$13+1,1))-AVERAGE(OFFSET($H$3,0,0,'Données projet'!$E$13+1,1))</f>
        <v>555.15881087162279</v>
      </c>
      <c r="CZ38" s="59">
        <f t="shared" si="42"/>
        <v>668.20427590250733</v>
      </c>
      <c r="DA38" s="15">
        <f>IF(ISNA(VLOOKUP(A38,'Données projet'!$A$139:$I$159,3,0)),0,VLOOKUP(A38,'Données projet'!$A$139:$I$159,3,0))</f>
        <v>4</v>
      </c>
      <c r="DB38" s="15">
        <f>IF(ISNA(VLOOKUP(A38,'Données projet'!$A$139:$I$159,4,0)),0,VLOOKUP(A38,'Données projet'!$A$139:$I$159,4,0))</f>
        <v>72</v>
      </c>
      <c r="DC38" s="16">
        <f>IF(ISNA(VLOOKUP(A38,'Données projet'!$A$139:$I$159,5,0)),0%,VLOOKUP(A38,'Données projet'!$A$139:$I$159,5,0)*VLOOKUP('Données projet'!$B$13,Paramètres!$A$1:$I$89,7,0))</f>
        <v>0.55000000000000004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29.365361411391842</v>
      </c>
      <c r="DG38" s="21">
        <f>EXP(-LN(2)/25)*DG37+(1-EXP(-LN(2)/25))/(LN(2)/25)*Calculateur!DB38*Calculateur!DD38*VLOOKUP('Données projet'!$B$13,Paramètres!$A$1:$I$89,3,0)*0.475*44/12</f>
        <v>50.301851420044933</v>
      </c>
      <c r="DH38" s="21">
        <f>EXP(-LN(2)/2)*DH37+(1-EXP(-LN(2)/2))/(LN(2)/2)*DB38*DE38*VLOOKUP('Données projet'!$B$13,Paramètres!$A$1:$I$89,3,0)*0.475*44/12</f>
        <v>0.15034563897685424</v>
      </c>
      <c r="DI38" s="22">
        <f t="shared" si="15"/>
        <v>79.81755847041363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501</v>
      </c>
      <c r="DM38" s="12">
        <f>VLOOKUP(A38,'Données projet'!$A$165:$I$185,9,0)</f>
        <v>34</v>
      </c>
      <c r="DN38" s="12">
        <f t="array" ref="DN38">INDEX(DM:DM,MIN(IF(ISNUMBER(DM38:DM234),ROW(DM38:DM234),"")))</f>
        <v>34</v>
      </c>
      <c r="DO38" s="12">
        <f>IF('Données projet'!$A$166&gt;35,DO37+DN38-DW37,IF(A38&lt;'Données projet'!$A$166,$DL$205^A38,IF(A38='Données projet'!$A$166,'Données projet'!$B$166,DO37+DN38-DW37)))</f>
        <v>501</v>
      </c>
      <c r="DP38" s="17">
        <f>DO38*VLOOKUP('Données projet'!$B$14,Paramètres!$A$1:$I$89,3,0)*VLOOKUP('Données projet'!$B$14,Paramètres!$A$1:$I$89,5,0)</f>
        <v>234.46799999999999</v>
      </c>
      <c r="DQ38" s="13">
        <f t="shared" si="43"/>
        <v>57.247683153605443</v>
      </c>
      <c r="DR38" s="20">
        <f t="shared" si="16"/>
        <v>508.07148149252947</v>
      </c>
      <c r="DS38" s="59">
        <f t="shared" si="17"/>
        <v>801.40481482586279</v>
      </c>
      <c r="DT38" s="59">
        <f ca="1">AVERAGE(OFFSET($DS$3,0,0,'Données projet'!$E$14+1,1))-AVERAGE(OFFSET($H$3,0,0,'Données projet'!$E$14+1,1))</f>
        <v>523.79180230463714</v>
      </c>
      <c r="DU38" s="59">
        <f t="shared" si="44"/>
        <v>459.3547783500515</v>
      </c>
      <c r="DV38" s="15">
        <f>IF(ISNA(VLOOKUP(A38,'Données projet'!$A$165:$I$185,3,0)),0,VLOOKUP(A38,'Données projet'!$A$165:$I$185,3,0))</f>
        <v>4</v>
      </c>
      <c r="DW38" s="15">
        <f>IF(ISNA(VLOOKUP(A38,'Données projet'!$A$165:$I$185,4,0)),0,VLOOKUP(A38,'Données projet'!$A$165:$I$185,4,0))</f>
        <v>84</v>
      </c>
      <c r="DX38" s="16">
        <f>IF(ISNA(VLOOKUP(A38,'Données projet'!$A$165:$I$185,5,0)),0%,VLOOKUP(A38,'Données projet'!$A$165:$I$185,5,0)*VLOOKUP('Données projet'!$B$14,Paramètres!$A$1:$I$89,7,0))</f>
        <v>0.55000000000000004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28.682446029731555</v>
      </c>
      <c r="EB38" s="21">
        <f>EXP(-LN(2)/25)*EB37+(1-EXP(-LN(2)/25))/(LN(2)/25)*Calculateur!DW38*Calculateur!DY38*VLOOKUP('Données projet'!$B$14,Paramètres!$A$1:$I$89,3,0)*0.475*44/12</f>
        <v>46.52284658863492</v>
      </c>
      <c r="EC38" s="21">
        <f>EXP(-LN(2)/2)*EC37+(1-EXP(-LN(2)/2))/(LN(2)/2)*DW38*DZ38*VLOOKUP('Données projet'!$B$14,Paramètres!$A$1:$I$89,3,0)*0.475*44/12</f>
        <v>0.21076035490968403</v>
      </c>
      <c r="ED38" s="22">
        <f t="shared" si="18"/>
        <v>75.416052973276152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239</v>
      </c>
      <c r="EH38" s="12">
        <f>VLOOKUP(A38,'Données projet'!$A$191:$I$211,9,0)</f>
        <v>15.2</v>
      </c>
      <c r="EI38" s="12">
        <f t="array" ref="EI38">INDEX(EH:EH,MIN(IF(ISNUMBER(EH38:EH234),ROW(EH38:EH234),"")))</f>
        <v>15.2</v>
      </c>
      <c r="EJ38" s="12">
        <f>IF('Données projet'!$A$192&gt;35,EJ37+EI38-ER37,IF(A38&lt;'Données projet'!$A$192,$EG$205^A38,IF(A38='Données projet'!$A$192,'Données projet'!$B$192,EJ37+EI38-ER37)))</f>
        <v>239</v>
      </c>
      <c r="EK38" s="17">
        <f>EJ38*VLOOKUP('Données projet'!$B$15,Paramètres!$A$1:$I$89,3,0)*VLOOKUP('Données projet'!$B$15,Paramètres!$A$1:$I$89,5,0)</f>
        <v>231.16080000000002</v>
      </c>
      <c r="EL38" s="13">
        <f t="shared" si="45"/>
        <v>56.533600044116696</v>
      </c>
      <c r="EM38" s="20">
        <f t="shared" si="19"/>
        <v>501.06774674350328</v>
      </c>
      <c r="EN38" s="59">
        <f t="shared" si="20"/>
        <v>794.40108007683659</v>
      </c>
      <c r="EO38" s="59">
        <f ca="1">AVERAGE(OFFSET($EN$3,0,0,'Données projet'!$E$15+1,1))-AVERAGE(OFFSET($H$3,0,0,'Données projet'!$E$15+1,1))</f>
        <v>484.41278617935654</v>
      </c>
      <c r="EP38" s="59">
        <f t="shared" si="46"/>
        <v>467.97490540700738</v>
      </c>
      <c r="EQ38" s="15">
        <f>IF(ISNA(VLOOKUP(A38,'Données projet'!$A$191:$I$211,3,0)),0,VLOOKUP(A38,'Données projet'!$A$191:$I$211,3,0))</f>
        <v>6</v>
      </c>
      <c r="ER38" s="15">
        <f>IF(ISNA(VLOOKUP(A38,'Données projet'!$A$191:$I$211,4,0)),0,VLOOKUP(A38,'Données projet'!$A$191:$I$211,4,0))</f>
        <v>42</v>
      </c>
      <c r="ES38" s="16">
        <f>IF(ISNA(VLOOKUP(A38,'Données projet'!$A$191:$I$211,5,0)),0%,VLOOKUP(A38,'Données projet'!$A$191:$I$211,5,0)*VLOOKUP('Données projet'!$B$15,Paramètres!$A$1:$I$89,7,0))</f>
        <v>0.43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19.309949776581906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19.309949776581906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239</v>
      </c>
      <c r="FC38" s="12">
        <f>VLOOKUP(A38,'Données projet'!$A$217:$I$237,9,0)</f>
        <v>15.2</v>
      </c>
      <c r="FD38" s="12">
        <f t="array" ref="FD38">INDEX(FC:FC,MIN(IF(ISNUMBER(FC38:FC234),ROW(FC38:FC234),"")))</f>
        <v>15.2</v>
      </c>
      <c r="FE38" s="12">
        <f>IF('Données projet'!$A$218&gt;35,FE37+FD38-FM37,IF(A38&lt;'Données projet'!$A$218,$FB$205^A38,IF(A38='Données projet'!$A$218,'Données projet'!$B$218,FE37+FD38-FM37)))</f>
        <v>239</v>
      </c>
      <c r="FF38" s="17">
        <f>FE38*VLOOKUP('Données projet'!$B$16,Paramètres!$A$1:$I$89,3,0)*VLOOKUP('Données projet'!$B$16,Paramètres!$A$1:$I$89,5,0)</f>
        <v>257.25959999999998</v>
      </c>
      <c r="FG38" s="13">
        <f t="shared" si="47"/>
        <v>62.137875675485866</v>
      </c>
      <c r="FH38" s="20">
        <f t="shared" si="22"/>
        <v>556.28393680147121</v>
      </c>
      <c r="FI38" s="59">
        <f t="shared" si="23"/>
        <v>849.61727013480458</v>
      </c>
      <c r="FJ38" s="59">
        <f ca="1">AVERAGE(OFFSET($FI$3,0,0,'Données projet'!$E$16+1,1))-AVERAGE(OFFSET($H$3,0,0,'Données projet'!$E$16+1,1))</f>
        <v>534.54020133239135</v>
      </c>
      <c r="FK38" s="59">
        <f t="shared" si="48"/>
        <v>515.48696069008815</v>
      </c>
      <c r="FL38" s="15">
        <f>IF(ISNA(VLOOKUP(A38,'Données projet'!$A$217:$I$237,3,0)),0,VLOOKUP(A38,'Données projet'!$A$217:$I$237,3,0))</f>
        <v>6</v>
      </c>
      <c r="FM38" s="15">
        <f>IF(ISNA(VLOOKUP(A38,'Données projet'!$A$217:$I$237,4,0)),0,VLOOKUP(A38,'Données projet'!$A$217:$I$237,4,0))</f>
        <v>42</v>
      </c>
      <c r="FN38" s="16">
        <f>IF(ISNA(VLOOKUP(A38,'Données projet'!$A$217:$I$237,5,0)),0%,VLOOKUP(A38,'Données projet'!$A$217:$I$237,5,0)*VLOOKUP('Données projet'!$B$16,Paramètres!$A$1:$I$89,7,0))</f>
        <v>0.43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21.490105396518572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21.490105396518572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projet'!$A$243:$I$263,2,0)</f>
        <v>229</v>
      </c>
      <c r="FX38" s="12">
        <f>VLOOKUP(A38,'Données projet'!$A$243:$I$263,9,0)</f>
        <v>8.8000000000000007</v>
      </c>
      <c r="FY38" s="12">
        <f t="array" ref="FY38">INDEX(FX:FX,MIN(IF(ISNUMBER(FX38:FX234),ROW(FX38:FX234),"")))</f>
        <v>8.8000000000000007</v>
      </c>
      <c r="FZ38" s="12">
        <f>IF('Données projet'!$A$244&gt;35,FZ37+FY38-GH37,IF(A38&lt;'Données projet'!$A$244,$FW$205^A38,IF(A38='Données projet'!$A$244,'Données projet'!$B$244,FZ37+FY38-GH37)))</f>
        <v>229</v>
      </c>
      <c r="GA38" s="17">
        <f>FZ38*VLOOKUP('Données projet'!$B$17,Paramètres!$A$1:$I$89,3,0)*VLOOKUP('Données projet'!$B$17,Paramètres!$A$1:$I$89,5,0)</f>
        <v>217.91640000000001</v>
      </c>
      <c r="GB38" s="13">
        <f t="shared" si="49"/>
        <v>53.661775051402536</v>
      </c>
      <c r="GC38" s="20">
        <f t="shared" si="25"/>
        <v>472.99865488119264</v>
      </c>
      <c r="GD38" s="59">
        <f t="shared" si="26"/>
        <v>766.33198821452595</v>
      </c>
      <c r="GE38" s="59">
        <f ca="1">AVERAGE(OFFSET($GD$3,0,0,'Données projet'!$E$17+1,1))-AVERAGE(OFFSET($H$3,0,0,'Données projet'!$E$17+1,1))</f>
        <v>455.71329051283936</v>
      </c>
      <c r="GF38" s="59">
        <f t="shared" si="50"/>
        <v>479.3743231122258</v>
      </c>
      <c r="GG38" s="15">
        <f>IF(ISNA(VLOOKUP(A38,'Données projet'!$A$243:$I$263,3,0)),0,VLOOKUP(A38,'Données projet'!$A$243:$I$263,3,0))</f>
        <v>6</v>
      </c>
      <c r="GH38" s="15">
        <f>IF(ISNA(VLOOKUP(A38,'Données projet'!$A$243:$I$263,4,0)),0,VLOOKUP(A38,'Données projet'!$A$243:$I$263,4,0))</f>
        <v>30</v>
      </c>
      <c r="GI38" s="16">
        <f>IF(ISNA(VLOOKUP(A38,'Données projet'!$A$243:$I$263,5,0)),0%,VLOOKUP(A38,'Données projet'!$A$243:$I$263,5,0)*VLOOKUP('Données projet'!$B$17,Paramètres!$A$1:$I$89,7,0))</f>
        <v>0.43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13.570356409809863</v>
      </c>
      <c r="GM38" s="21">
        <f>EXP(-LN(2)/25)*GM37+(1-EXP(-LN(2)/25))/(LN(2)/25)*Calculateur!GH38*Calculateur!GJ38*VLOOKUP('Données projet'!$B$17,Paramètres!$A$1:$I$89,3,0)*0.475*44/12</f>
        <v>0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13.570356409809863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>
        <f>VLOOKUP(A38,'Données projet'!$A$269:$I$289,2,0)</f>
        <v>239</v>
      </c>
      <c r="GS38" s="12">
        <f>VLOOKUP(A38,'Données projet'!$A$269:$I$289,9,0)</f>
        <v>15.2</v>
      </c>
      <c r="GT38" s="12">
        <f t="array" ref="GT38">INDEX(GS:GS,MIN(IF(ISNUMBER(GS38:GS234),ROW(GS38:GS234),"")))</f>
        <v>15.2</v>
      </c>
      <c r="GU38" s="12">
        <f>IF('Données projet'!$A$270&gt;35,GU37+GT38-HC37,IF(A38&lt;'Données projet'!$A$270,$GR$205^A38,IF(A38='Données projet'!$A$270,'Données projet'!$B$270,GU37+GT38-HC37)))</f>
        <v>239</v>
      </c>
      <c r="GV38" s="17">
        <f>GU38*VLOOKUP('Données projet'!$B$18,Paramètres!$A$1:$I$89,3,0)*VLOOKUP('Données projet'!$B$18,Paramètres!$A$1:$I$89,5,0)</f>
        <v>193.8768</v>
      </c>
      <c r="GW38" s="13">
        <f t="shared" si="51"/>
        <v>48.396048099527611</v>
      </c>
      <c r="GX38" s="20">
        <f t="shared" si="28"/>
        <v>421.95854377334393</v>
      </c>
      <c r="GY38" s="59">
        <f t="shared" si="29"/>
        <v>715.29187710667725</v>
      </c>
      <c r="GZ38" s="59">
        <f ca="1">AVERAGE(OFFSET($GY$3,0,0,'Données projet'!$E$18+1,1))-AVERAGE(OFFSET($H$3,0,0,'Données projet'!$E$18+1,1))</f>
        <v>412.59676769258488</v>
      </c>
      <c r="HA38" s="59">
        <f t="shared" si="52"/>
        <v>399.90063795152133</v>
      </c>
      <c r="HB38" s="15">
        <f>IF(ISNA(VLOOKUP(A38,'Données projet'!$A$269:$I$289,3,0)),0,VLOOKUP(A38,'Données projet'!$A$269:$I$289,3,0))</f>
        <v>6</v>
      </c>
      <c r="HC38" s="15">
        <f>IF(ISNA(VLOOKUP(A38,'Données projet'!$A$269:$I$289,4,0)),0,VLOOKUP(A38,'Données projet'!$A$269:$I$289,4,0))</f>
        <v>42</v>
      </c>
      <c r="HD38" s="16">
        <f>IF(ISNA(VLOOKUP(A38,'Données projet'!$A$269:$I$289,5,0)),0%,VLOOKUP(A38,'Données projet'!$A$269:$I$289,5,0)*VLOOKUP('Données projet'!$B$18,Paramètres!$A$1:$I$89,7,0))</f>
        <v>0.43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16.195441748100954</v>
      </c>
      <c r="HH38" s="21">
        <f>EXP(-LN(2)/25)*HH37+(1-EXP(-LN(2)/25))/(LN(2)/25)*Calculateur!HC38*Calculateur!HE38*VLOOKUP('Données projet'!$B$18,Paramètres!$A$1:$I$89,3,0)*0.475*44/12</f>
        <v>0</v>
      </c>
      <c r="HI38" s="21">
        <f>EXP(-LN(2)/2)*HI37+(1-EXP(-LN(2)/2))/(LN(2)/2)*HC38*HF38*VLOOKUP('Données projet'!$B$18,Paramètres!$A$1:$I$89,3,0)*0.475*44/12</f>
        <v>0</v>
      </c>
      <c r="HJ38" s="22">
        <f t="shared" si="30"/>
        <v>16.195441748100954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11.2</v>
      </c>
      <c r="N39" s="13">
        <f>IF('Données projet'!$A$36&gt;35,N38+M39-V38,IF(A39&lt;'Données projet'!$A$36,$K$205^A39,IF(A39='Données projet'!$A$36,'Données projet'!$B$36,N38+M39-V38)))</f>
        <v>130.20000000000005</v>
      </c>
      <c r="O39" s="13">
        <f>N39*VLOOKUP('Données projet'!$B$9,Paramètres!$A$1:$I$89,3,0)*VLOOKUP('Données projet'!$B$9,Paramètres!$A$1:$I$89,5,0)</f>
        <v>117.80496000000004</v>
      </c>
      <c r="P39" s="13">
        <f t="shared" si="33"/>
        <v>31.162493487829593</v>
      </c>
      <c r="Q39" s="20">
        <f t="shared" si="53"/>
        <v>259.45164815796994</v>
      </c>
      <c r="R39" s="59">
        <f t="shared" si="0"/>
        <v>552.78498149130326</v>
      </c>
      <c r="S39" s="59">
        <f ca="1">AVERAGE(OFFSET($R$3,0,0,'Données projet'!$E$9+1,1))-AVERAGE(OFFSET($H$3,0,0,'Données projet'!$E$9+1,1))</f>
        <v>439.19854273764042</v>
      </c>
      <c r="T39" s="59">
        <f t="shared" si="34"/>
        <v>278.21741231699929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11.80661311272508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11.80661311272508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11.2</v>
      </c>
      <c r="AI39" s="13">
        <f>IF('Données projet'!$A$62&gt;35,AI38+AH39-AQ38,IF(A39&lt;'Données projet'!$A$62,$AF$205^A39,IF(A39='Données projet'!$A$62,'Données projet'!$B$62,AI38+AH39-AQ38)))</f>
        <v>130.20000000000005</v>
      </c>
      <c r="AJ39" s="13">
        <f>AI39*VLOOKUP('Données projet'!$B$10,Paramètres!$A$1:$I$89,3,0)*VLOOKUP('Données projet'!$B$10,Paramètres!$A$1:$I$89,5,0)</f>
        <v>132.02280000000007</v>
      </c>
      <c r="AK39" s="13">
        <f t="shared" si="35"/>
        <v>34.463348169992798</v>
      </c>
      <c r="AL39" s="20">
        <f t="shared" si="4"/>
        <v>289.96337472940422</v>
      </c>
      <c r="AM39" s="59">
        <f t="shared" si="5"/>
        <v>583.29670806273748</v>
      </c>
      <c r="AN39" s="59">
        <f ca="1">AVERAGE(OFFSET($AM$3,0,0,'Données projet'!$E$10+1,1))-AVERAGE(OFFSET($H$3,0,0,'Données projet'!$E$10+1,1))</f>
        <v>487.18832528146936</v>
      </c>
      <c r="AO39" s="59">
        <f t="shared" si="36"/>
        <v>306.61893266146666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13.231549178053971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13.231549178053971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7.6</v>
      </c>
      <c r="BD39" s="12">
        <f>IF('Données projet'!$A$88&gt;35,BD38+BC39-BL38,IF(A39&lt;'Données projet'!$A$88,$BA$205^A39,IF(A39='Données projet'!$A$88,'Données projet'!$B$88,BD38+BC39-BL38)))</f>
        <v>319.60000000000025</v>
      </c>
      <c r="BE39" s="13">
        <f>BD39*VLOOKUP('Données projet'!$B$11,Paramètres!$A$1:$I$89,3,0)*VLOOKUP('Données projet'!$B$11,Paramètres!$A$1:$I$89,5,0)</f>
        <v>289.17408000000023</v>
      </c>
      <c r="BF39" s="13">
        <f t="shared" si="37"/>
        <v>68.902103026957732</v>
      </c>
      <c r="BG39" s="20">
        <f t="shared" si="7"/>
        <v>623.64935210528506</v>
      </c>
      <c r="BH39" s="59">
        <f t="shared" si="8"/>
        <v>916.98268543861832</v>
      </c>
      <c r="BI39" s="59">
        <f ca="1">AVERAGE(OFFSET($BH$3,0,0,'Données projet'!$E$11+1,1))-AVERAGE(OFFSET($H$3,0,0,'Données projet'!$E$11+1,1))</f>
        <v>436.23918637269577</v>
      </c>
      <c r="BJ39" s="59">
        <f t="shared" si="38"/>
        <v>611.43967996341894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3.2360318332219902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3.2360318332219902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12.4</v>
      </c>
      <c r="BY39" s="12">
        <f>IF('Données projet'!$A$114&gt;35,BY38+BX39-CG38,IF(A39&lt;'Données projet'!$A$114,$BV$205^A39,IF(A39='Données projet'!$A$114,'Données projet'!$B$114,BY38+BX39-CG38)))</f>
        <v>185.40000000000009</v>
      </c>
      <c r="BZ39" s="13">
        <f>BY39*VLOOKUP('Données projet'!$B$12,Paramètres!$A$1:$I$89,3,0)*VLOOKUP('Données projet'!$B$12,Paramètres!$A$1:$I$89,5,0)</f>
        <v>161.96544000000009</v>
      </c>
      <c r="CA39" s="13">
        <f t="shared" si="39"/>
        <v>41.285510388923619</v>
      </c>
      <c r="CB39" s="20">
        <f t="shared" si="10"/>
        <v>353.99540526070876</v>
      </c>
      <c r="CC39" s="59">
        <f t="shared" si="11"/>
        <v>647.32873859404208</v>
      </c>
      <c r="CD39" s="59">
        <f ca="1">AVERAGE(OFFSET($CC$3,0,0,'Données projet'!$E$12+1,1))-AVERAGE(OFFSET($H$3,0,0,'Données projet'!$E$12+1,1))</f>
        <v>304.32767345253382</v>
      </c>
      <c r="CE39" s="59">
        <f t="shared" si="40"/>
        <v>427.16091343339173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19.949104914604447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19.949104914604447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27</v>
      </c>
      <c r="CT39" s="12">
        <f>IF('Données projet'!$A$140&gt;35,CT38+CS39-DB38,IF(A39&lt;'Données projet'!$A$140,$CQ$205^A39,IF(A39='Données projet'!$A$140,'Données projet'!$B$140,CT38+CS39-DB38)))</f>
        <v>530.99999999999989</v>
      </c>
      <c r="CU39" s="17">
        <f>CT39*VLOOKUP('Données projet'!$B$13,Paramètres!$A$1:$I$89,3,0)*VLOOKUP('Données projet'!$B$13,Paramètres!$A$1:$I$89,5,0)</f>
        <v>296.82899999999995</v>
      </c>
      <c r="CV39" s="13">
        <f t="shared" si="41"/>
        <v>70.511289513454344</v>
      </c>
      <c r="CW39" s="20">
        <f t="shared" si="13"/>
        <v>639.78433756926631</v>
      </c>
      <c r="CX39" s="59">
        <f t="shared" si="14"/>
        <v>933.11767090259968</v>
      </c>
      <c r="CY39" s="59">
        <f ca="1">AVERAGE(OFFSET($CX$3,0,0,'Données projet'!$E$13+1,1))-AVERAGE(OFFSET($H$3,0,0,'Données projet'!$E$13+1,1))</f>
        <v>555.15881087162279</v>
      </c>
      <c r="CZ39" s="59">
        <f t="shared" si="42"/>
        <v>668.20427590250733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28.789524585216334</v>
      </c>
      <c r="DG39" s="21">
        <f>EXP(-LN(2)/25)*DG38+(1-EXP(-LN(2)/25))/(LN(2)/25)*Calculateur!DB39*Calculateur!DD39*VLOOKUP('Données projet'!$B$13,Paramètres!$A$1:$I$89,3,0)*0.475*44/12</f>
        <v>48.926344647704404</v>
      </c>
      <c r="DH39" s="21">
        <f>EXP(-LN(2)/2)*DH38+(1-EXP(-LN(2)/2))/(LN(2)/2)*DB39*DE39*VLOOKUP('Données projet'!$B$13,Paramètres!$A$1:$I$89,3,0)*0.475*44/12</f>
        <v>0.10631042084235814</v>
      </c>
      <c r="DI39" s="22">
        <f t="shared" si="15"/>
        <v>77.822179653763101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32</v>
      </c>
      <c r="DO39" s="12">
        <f>IF('Données projet'!$A$166&gt;35,DO38+DN39-DW38,IF(A39&lt;'Données projet'!$A$166,$DL$205^A39,IF(A39='Données projet'!$A$166,'Données projet'!$B$166,DO38+DN39-DW38)))</f>
        <v>449</v>
      </c>
      <c r="DP39" s="17">
        <f>DO39*VLOOKUP('Données projet'!$B$14,Paramètres!$A$1:$I$89,3,0)*VLOOKUP('Données projet'!$B$14,Paramètres!$A$1:$I$89,5,0)</f>
        <v>210.13199999999998</v>
      </c>
      <c r="DQ39" s="13">
        <f t="shared" si="43"/>
        <v>51.964429964375064</v>
      </c>
      <c r="DR39" s="20">
        <f t="shared" si="16"/>
        <v>456.48461552128651</v>
      </c>
      <c r="DS39" s="59">
        <f t="shared" si="17"/>
        <v>749.81794885461977</v>
      </c>
      <c r="DT39" s="59">
        <f ca="1">AVERAGE(OFFSET($DS$3,0,0,'Données projet'!$E$14+1,1))-AVERAGE(OFFSET($H$3,0,0,'Données projet'!$E$14+1,1))</f>
        <v>523.79180230463714</v>
      </c>
      <c r="DU39" s="59">
        <f t="shared" si="44"/>
        <v>459.3547783500515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28.120000757653152</v>
      </c>
      <c r="EB39" s="21">
        <f>EXP(-LN(2)/25)*EB38+(1-EXP(-LN(2)/25))/(LN(2)/25)*Calculateur!DW39*Calculateur!DY39*VLOOKUP('Données projet'!$B$14,Paramètres!$A$1:$I$89,3,0)*0.475*44/12</f>
        <v>45.250676902138522</v>
      </c>
      <c r="EC39" s="21">
        <f>EXP(-LN(2)/2)*EC38+(1-EXP(-LN(2)/2))/(LN(2)/2)*DW39*DZ39*VLOOKUP('Données projet'!$B$14,Paramètres!$A$1:$I$89,3,0)*0.475*44/12</f>
        <v>0.14903007616192104</v>
      </c>
      <c r="ED39" s="22">
        <f t="shared" si="18"/>
        <v>73.519707735953602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13.2</v>
      </c>
      <c r="EJ39" s="12">
        <f>IF('Données projet'!$A$192&gt;35,EJ38+EI39-ER38,IF(A39&lt;'Données projet'!$A$192,$EG$205^A39,IF(A39='Données projet'!$A$192,'Données projet'!$B$192,EJ38+EI39-ER38)))</f>
        <v>210.2</v>
      </c>
      <c r="EK39" s="17">
        <f>EJ39*VLOOKUP('Données projet'!$B$15,Paramètres!$A$1:$I$89,3,0)*VLOOKUP('Données projet'!$B$15,Paramètres!$A$1:$I$89,5,0)</f>
        <v>203.30543999999998</v>
      </c>
      <c r="EL39" s="13">
        <f t="shared" si="45"/>
        <v>50.469908905835922</v>
      </c>
      <c r="EM39" s="20">
        <f t="shared" si="19"/>
        <v>441.99206601099746</v>
      </c>
      <c r="EN39" s="59">
        <f t="shared" si="20"/>
        <v>735.32539934433078</v>
      </c>
      <c r="EO39" s="59">
        <f ca="1">AVERAGE(OFFSET($EN$3,0,0,'Données projet'!$E$15+1,1))-AVERAGE(OFFSET($H$3,0,0,'Données projet'!$E$15+1,1))</f>
        <v>484.41278617935654</v>
      </c>
      <c r="EP39" s="59">
        <f t="shared" si="46"/>
        <v>467.97490540700738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18.931293439369526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18.931293439369526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13.2</v>
      </c>
      <c r="FE39" s="12">
        <f>IF('Données projet'!$A$218&gt;35,FE38+FD39-FM38,IF(A39&lt;'Données projet'!$A$218,$FB$205^A39,IF(A39='Données projet'!$A$218,'Données projet'!$B$218,FE38+FD39-FM38)))</f>
        <v>210.2</v>
      </c>
      <c r="FF39" s="17">
        <f>FE39*VLOOKUP('Données projet'!$B$16,Paramètres!$A$1:$I$89,3,0)*VLOOKUP('Données projet'!$B$16,Paramètres!$A$1:$I$89,5,0)</f>
        <v>226.25927999999999</v>
      </c>
      <c r="FG39" s="13">
        <f t="shared" si="47"/>
        <v>55.473080123973105</v>
      </c>
      <c r="FH39" s="20">
        <f t="shared" si="22"/>
        <v>490.6838605492531</v>
      </c>
      <c r="FI39" s="59">
        <f t="shared" si="23"/>
        <v>784.01719388258641</v>
      </c>
      <c r="FJ39" s="59">
        <f ca="1">AVERAGE(OFFSET($FI$3,0,0,'Données projet'!$E$16+1,1))-AVERAGE(OFFSET($H$3,0,0,'Données projet'!$E$16+1,1))</f>
        <v>534.54020133239135</v>
      </c>
      <c r="FK39" s="59">
        <f t="shared" si="48"/>
        <v>515.48696069008815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21.068697537362858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21.068697537362858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8.1999999999999993</v>
      </c>
      <c r="FZ39" s="12">
        <f>IF('Données projet'!$A$244&gt;35,FZ38+FY39-GH38,IF(A39&lt;'Données projet'!$A$244,$FW$205^A39,IF(A39='Données projet'!$A$244,'Données projet'!$B$244,FZ38+FY39-GH38)))</f>
        <v>207.2</v>
      </c>
      <c r="GA39" s="17">
        <f>FZ39*VLOOKUP('Données projet'!$B$17,Paramètres!$A$1:$I$89,3,0)*VLOOKUP('Données projet'!$B$17,Paramètres!$A$1:$I$89,5,0)</f>
        <v>197.17151999999999</v>
      </c>
      <c r="GB39" s="13">
        <f t="shared" si="49"/>
        <v>49.122039074856261</v>
      </c>
      <c r="GC39" s="20">
        <f t="shared" si="25"/>
        <v>428.96128205537462</v>
      </c>
      <c r="GD39" s="59">
        <f t="shared" si="26"/>
        <v>722.29461538870794</v>
      </c>
      <c r="GE39" s="59">
        <f ca="1">AVERAGE(OFFSET($GD$3,0,0,'Données projet'!$E$17+1,1))-AVERAGE(OFFSET($H$3,0,0,'Données projet'!$E$17+1,1))</f>
        <v>455.71329051283936</v>
      </c>
      <c r="GF39" s="59">
        <f t="shared" si="50"/>
        <v>479.3743231122258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13.304249997713606</v>
      </c>
      <c r="GM39" s="21">
        <f>EXP(-LN(2)/25)*GM38+(1-EXP(-LN(2)/25))/(LN(2)/25)*Calculateur!GH39*Calculateur!GJ39*VLOOKUP('Données projet'!$B$17,Paramètres!$A$1:$I$89,3,0)*0.475*44/12</f>
        <v>0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13.304249997713606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13.2</v>
      </c>
      <c r="GU39" s="12">
        <f>IF('Données projet'!$A$270&gt;35,GU38+GT39-HC38,IF(A39&lt;'Données projet'!$A$270,$GR$205^A39,IF(A39='Données projet'!$A$270,'Données projet'!$B$270,GU38+GT39-HC38)))</f>
        <v>210.2</v>
      </c>
      <c r="GV39" s="17">
        <f>GU39*VLOOKUP('Données projet'!$B$18,Paramètres!$A$1:$I$89,3,0)*VLOOKUP('Données projet'!$B$18,Paramètres!$A$1:$I$89,5,0)</f>
        <v>170.51424</v>
      </c>
      <c r="GW39" s="13">
        <f t="shared" si="51"/>
        <v>43.205175985246733</v>
      </c>
      <c r="GX39" s="20">
        <f t="shared" si="28"/>
        <v>372.22798284097138</v>
      </c>
      <c r="GY39" s="59">
        <f t="shared" si="29"/>
        <v>665.56131617430469</v>
      </c>
      <c r="GZ39" s="59">
        <f ca="1">AVERAGE(OFFSET($GY$3,0,0,'Données projet'!$E$18+1,1))-AVERAGE(OFFSET($H$3,0,0,'Données projet'!$E$18+1,1))</f>
        <v>412.59676769258488</v>
      </c>
      <c r="HA39" s="59">
        <f t="shared" si="52"/>
        <v>399.90063795152133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15.877859013664766</v>
      </c>
      <c r="HH39" s="21">
        <f>EXP(-LN(2)/25)*HH38+(1-EXP(-LN(2)/25))/(LN(2)/25)*Calculateur!HC39*Calculateur!HE39*VLOOKUP('Données projet'!$B$18,Paramètres!$A$1:$I$89,3,0)*0.475*44/12</f>
        <v>0</v>
      </c>
      <c r="HI39" s="21">
        <f>EXP(-LN(2)/2)*HI38+(1-EXP(-LN(2)/2))/(LN(2)/2)*HC39*HF39*VLOOKUP('Données projet'!$B$18,Paramètres!$A$1:$I$89,3,0)*0.475*44/12</f>
        <v>0</v>
      </c>
      <c r="HJ39" s="22">
        <f t="shared" si="30"/>
        <v>15.877859013664766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11.2</v>
      </c>
      <c r="N40" s="13">
        <f>IF('Données projet'!$A$36&gt;35,N39+M40-V39,IF(A40&lt;'Données projet'!$A$36,$K$205^A40,IF(A40='Données projet'!$A$36,'Données projet'!$B$36,N39+M40-V39)))</f>
        <v>141.40000000000003</v>
      </c>
      <c r="O40" s="13">
        <f>N40*VLOOKUP('Données projet'!$B$9,Paramètres!$A$1:$I$89,3,0)*VLOOKUP('Données projet'!$B$9,Paramètres!$A$1:$I$89,5,0)</f>
        <v>127.93872000000003</v>
      </c>
      <c r="P40" s="13">
        <f t="shared" si="33"/>
        <v>33.519615889545641</v>
      </c>
      <c r="Q40" s="20">
        <f t="shared" si="53"/>
        <v>281.20660167429202</v>
      </c>
      <c r="R40" s="59">
        <f t="shared" si="0"/>
        <v>574.53993500762533</v>
      </c>
      <c r="S40" s="59">
        <f ca="1">AVERAGE(OFFSET($R$3,0,0,'Données projet'!$E$9+1,1))-AVERAGE(OFFSET($H$3,0,0,'Données projet'!$E$9+1,1))</f>
        <v>439.19854273764042</v>
      </c>
      <c r="T40" s="59">
        <f t="shared" si="34"/>
        <v>278.21741231699929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11.575092630907468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11.575092630907468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11.2</v>
      </c>
      <c r="AI40" s="13">
        <f>IF('Données projet'!$A$62&gt;35,AI39+AH40-AQ39,IF(A40&lt;'Données projet'!$A$62,$AF$205^A40,IF(A40='Données projet'!$A$62,'Données projet'!$B$62,AI39+AH40-AQ39)))</f>
        <v>141.40000000000003</v>
      </c>
      <c r="AJ40" s="13">
        <f>AI40*VLOOKUP('Données projet'!$B$10,Paramètres!$A$1:$I$89,3,0)*VLOOKUP('Données projet'!$B$10,Paramètres!$A$1:$I$89,5,0)</f>
        <v>143.37960000000004</v>
      </c>
      <c r="AK40" s="13">
        <f t="shared" si="35"/>
        <v>37.070146308317469</v>
      </c>
      <c r="AL40" s="20">
        <f t="shared" si="4"/>
        <v>314.28330815365302</v>
      </c>
      <c r="AM40" s="59">
        <f t="shared" si="5"/>
        <v>607.61664148698628</v>
      </c>
      <c r="AN40" s="59">
        <f ca="1">AVERAGE(OFFSET($AM$3,0,0,'Données projet'!$E$10+1,1))-AVERAGE(OFFSET($H$3,0,0,'Données projet'!$E$10+1,1))</f>
        <v>487.18832528146936</v>
      </c>
      <c r="AO40" s="59">
        <f t="shared" si="36"/>
        <v>306.61893266146666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12.972086569120441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12.972086569120441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7.6</v>
      </c>
      <c r="BD40" s="12">
        <f>IF('Données projet'!$A$88&gt;35,BD39+BC40-BL39,IF(A40&lt;'Données projet'!$A$88,$BA$205^A40,IF(A40='Données projet'!$A$88,'Données projet'!$B$88,BD39+BC40-BL39)))</f>
        <v>327.20000000000027</v>
      </c>
      <c r="BE40" s="13">
        <f>BD40*VLOOKUP('Données projet'!$B$11,Paramètres!$A$1:$I$89,3,0)*VLOOKUP('Données projet'!$B$11,Paramètres!$A$1:$I$89,5,0)</f>
        <v>296.05056000000025</v>
      </c>
      <c r="BF40" s="13">
        <f t="shared" si="37"/>
        <v>70.347871650924077</v>
      </c>
      <c r="BG40" s="20">
        <f t="shared" si="7"/>
        <v>638.1439351253598</v>
      </c>
      <c r="BH40" s="59">
        <f t="shared" si="8"/>
        <v>931.47726845869306</v>
      </c>
      <c r="BI40" s="59">
        <f ca="1">AVERAGE(OFFSET($BH$3,0,0,'Données projet'!$E$11+1,1))-AVERAGE(OFFSET($H$3,0,0,'Données projet'!$E$11+1,1))</f>
        <v>436.23918637269577</v>
      </c>
      <c r="BJ40" s="59">
        <f t="shared" si="38"/>
        <v>611.43967996341894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3.1725752227570303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3.1725752227570303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12.4</v>
      </c>
      <c r="BY40" s="12">
        <f>IF('Données projet'!$A$114&gt;35,BY39+BX40-CG39,IF(A40&lt;'Données projet'!$A$114,$BV$205^A40,IF(A40='Données projet'!$A$114,'Données projet'!$B$114,BY39+BX40-CG39)))</f>
        <v>197.8000000000001</v>
      </c>
      <c r="BZ40" s="13">
        <f>BY40*VLOOKUP('Données projet'!$B$12,Paramètres!$A$1:$I$89,3,0)*VLOOKUP('Données projet'!$B$12,Paramètres!$A$1:$I$89,5,0)</f>
        <v>172.79808000000011</v>
      </c>
      <c r="CA40" s="13">
        <f t="shared" si="39"/>
        <v>43.716103757502459</v>
      </c>
      <c r="CB40" s="20">
        <f t="shared" si="10"/>
        <v>377.09553671098365</v>
      </c>
      <c r="CC40" s="59">
        <f t="shared" si="11"/>
        <v>670.42887004431691</v>
      </c>
      <c r="CD40" s="59">
        <f ca="1">AVERAGE(OFFSET($CC$3,0,0,'Données projet'!$E$12+1,1))-AVERAGE(OFFSET($H$3,0,0,'Données projet'!$E$12+1,1))</f>
        <v>304.32767345253382</v>
      </c>
      <c r="CE40" s="59">
        <f t="shared" si="40"/>
        <v>427.16091343339173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19.557915134981588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19.557915134981588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27</v>
      </c>
      <c r="CT40" s="12">
        <f>IF('Données projet'!$A$140&gt;35,CT39+CS40-DB39,IF(A40&lt;'Données projet'!$A$140,$CQ$205^A40,IF(A40='Données projet'!$A$140,'Données projet'!$B$140,CT39+CS40-DB39)))</f>
        <v>557.99999999999989</v>
      </c>
      <c r="CU40" s="17">
        <f>CT40*VLOOKUP('Données projet'!$B$13,Paramètres!$A$1:$I$89,3,0)*VLOOKUP('Données projet'!$B$13,Paramètres!$A$1:$I$89,5,0)</f>
        <v>311.92199999999991</v>
      </c>
      <c r="CV40" s="13">
        <f t="shared" si="41"/>
        <v>73.670075764965745</v>
      </c>
      <c r="CW40" s="20">
        <f t="shared" si="13"/>
        <v>671.57286529064845</v>
      </c>
      <c r="CX40" s="59">
        <f t="shared" si="14"/>
        <v>964.90619862398171</v>
      </c>
      <c r="CY40" s="59">
        <f ca="1">AVERAGE(OFFSET($CX$3,0,0,'Données projet'!$E$13+1,1))-AVERAGE(OFFSET($H$3,0,0,'Données projet'!$E$13+1,1))</f>
        <v>555.15881087162279</v>
      </c>
      <c r="CZ40" s="59">
        <f t="shared" si="42"/>
        <v>668.20427590250733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28.224979567976344</v>
      </c>
      <c r="DG40" s="21">
        <f>EXP(-LN(2)/25)*DG39+(1-EXP(-LN(2)/25))/(LN(2)/25)*Calculateur!DB40*Calculateur!DD40*VLOOKUP('Données projet'!$B$13,Paramètres!$A$1:$I$89,3,0)*0.475*44/12</f>
        <v>47.588451180388283</v>
      </c>
      <c r="DH40" s="21">
        <f>EXP(-LN(2)/2)*DH39+(1-EXP(-LN(2)/2))/(LN(2)/2)*DB40*DE40*VLOOKUP('Données projet'!$B$13,Paramètres!$A$1:$I$89,3,0)*0.475*44/12</f>
        <v>7.517281948842712E-2</v>
      </c>
      <c r="DI40" s="22">
        <f t="shared" si="15"/>
        <v>75.888603567853053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32</v>
      </c>
      <c r="DO40" s="12">
        <f>IF('Données projet'!$A$166&gt;35,DO39+DN40-DW39,IF(A40&lt;'Données projet'!$A$166,$DL$205^A40,IF(A40='Données projet'!$A$166,'Données projet'!$B$166,DO39+DN40-DW39)))</f>
        <v>481</v>
      </c>
      <c r="DP40" s="17">
        <f>DO40*VLOOKUP('Données projet'!$B$14,Paramètres!$A$1:$I$89,3,0)*VLOOKUP('Données projet'!$B$14,Paramètres!$A$1:$I$89,5,0)</f>
        <v>225.108</v>
      </c>
      <c r="DQ40" s="13">
        <f t="shared" si="43"/>
        <v>55.223596878889587</v>
      </c>
      <c r="DR40" s="20">
        <f t="shared" si="16"/>
        <v>488.24419789739932</v>
      </c>
      <c r="DS40" s="59">
        <f t="shared" si="17"/>
        <v>781.57753123073257</v>
      </c>
      <c r="DT40" s="59">
        <f ca="1">AVERAGE(OFFSET($DS$3,0,0,'Données projet'!$E$14+1,1))-AVERAGE(OFFSET($H$3,0,0,'Données projet'!$E$14+1,1))</f>
        <v>523.79180230463714</v>
      </c>
      <c r="DU40" s="59">
        <f t="shared" si="44"/>
        <v>459.3547783500515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27.568584694302466</v>
      </c>
      <c r="EB40" s="21">
        <f>EXP(-LN(2)/25)*EB39+(1-EXP(-LN(2)/25))/(LN(2)/25)*Calculateur!DW40*Calculateur!DY40*VLOOKUP('Données projet'!$B$14,Paramètres!$A$1:$I$89,3,0)*0.475*44/12</f>
        <v>44.013294762619871</v>
      </c>
      <c r="EC40" s="21">
        <f>EXP(-LN(2)/2)*EC39+(1-EXP(-LN(2)/2))/(LN(2)/2)*DW40*DZ40*VLOOKUP('Données projet'!$B$14,Paramètres!$A$1:$I$89,3,0)*0.475*44/12</f>
        <v>0.10538017745484202</v>
      </c>
      <c r="ED40" s="22">
        <f t="shared" si="18"/>
        <v>71.687259634377185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13.2</v>
      </c>
      <c r="EJ40" s="12">
        <f>IF('Données projet'!$A$192&gt;35,EJ39+EI40-ER39,IF(A40&lt;'Données projet'!$A$192,$EG$205^A40,IF(A40='Données projet'!$A$192,'Données projet'!$B$192,EJ39+EI40-ER39)))</f>
        <v>223.39999999999998</v>
      </c>
      <c r="EK40" s="17">
        <f>EJ40*VLOOKUP('Données projet'!$B$15,Paramètres!$A$1:$I$89,3,0)*VLOOKUP('Données projet'!$B$15,Paramètres!$A$1:$I$89,5,0)</f>
        <v>216.07247999999998</v>
      </c>
      <c r="EL40" s="13">
        <f t="shared" si="45"/>
        <v>53.260365780197098</v>
      </c>
      <c r="EM40" s="20">
        <f t="shared" si="19"/>
        <v>469.08803973384329</v>
      </c>
      <c r="EN40" s="59">
        <f t="shared" si="20"/>
        <v>762.42137306717655</v>
      </c>
      <c r="EO40" s="59">
        <f ca="1">AVERAGE(OFFSET($EN$3,0,0,'Données projet'!$E$15+1,1))-AVERAGE(OFFSET($H$3,0,0,'Données projet'!$E$15+1,1))</f>
        <v>484.41278617935654</v>
      </c>
      <c r="EP40" s="59">
        <f t="shared" si="46"/>
        <v>467.97490540700738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18.560062321972321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18.560062321972321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13.2</v>
      </c>
      <c r="FE40" s="12">
        <f>IF('Données projet'!$A$218&gt;35,FE39+FD40-FM39,IF(A40&lt;'Données projet'!$A$218,$FB$205^A40,IF(A40='Données projet'!$A$218,'Données projet'!$B$218,FE39+FD40-FM39)))</f>
        <v>223.39999999999998</v>
      </c>
      <c r="FF40" s="17">
        <f>FE40*VLOOKUP('Données projet'!$B$16,Paramètres!$A$1:$I$89,3,0)*VLOOKUP('Données projet'!$B$16,Paramètres!$A$1:$I$89,5,0)</f>
        <v>240.46776</v>
      </c>
      <c r="FG40" s="13">
        <f t="shared" si="47"/>
        <v>58.540159917256176</v>
      </c>
      <c r="FH40" s="20">
        <f t="shared" si="22"/>
        <v>520.77212718922112</v>
      </c>
      <c r="FI40" s="59">
        <f t="shared" si="23"/>
        <v>814.10546052255449</v>
      </c>
      <c r="FJ40" s="59">
        <f ca="1">AVERAGE(OFFSET($FI$3,0,0,'Données projet'!$E$16+1,1))-AVERAGE(OFFSET($H$3,0,0,'Données projet'!$E$16+1,1))</f>
        <v>534.54020133239135</v>
      </c>
      <c r="FK40" s="59">
        <f t="shared" si="48"/>
        <v>515.48696069008815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20.655553229291776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20.655553229291776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8.1999999999999993</v>
      </c>
      <c r="FZ40" s="12">
        <f>IF('Données projet'!$A$244&gt;35,FZ39+FY40-GH39,IF(A40&lt;'Données projet'!$A$244,$FW$205^A40,IF(A40='Données projet'!$A$244,'Données projet'!$B$244,FZ39+FY40-GH39)))</f>
        <v>215.39999999999998</v>
      </c>
      <c r="GA40" s="17">
        <f>FZ40*VLOOKUP('Données projet'!$B$17,Paramètres!$A$1:$I$89,3,0)*VLOOKUP('Données projet'!$B$17,Paramètres!$A$1:$I$89,5,0)</f>
        <v>204.97463999999997</v>
      </c>
      <c r="GB40" s="13">
        <f t="shared" si="49"/>
        <v>50.835874841915164</v>
      </c>
      <c r="GC40" s="20">
        <f t="shared" si="25"/>
        <v>445.53664668300212</v>
      </c>
      <c r="GD40" s="59">
        <f t="shared" si="26"/>
        <v>738.86998001633538</v>
      </c>
      <c r="GE40" s="59">
        <f ca="1">AVERAGE(OFFSET($GD$3,0,0,'Données projet'!$E$17+1,1))-AVERAGE(OFFSET($H$3,0,0,'Données projet'!$E$17+1,1))</f>
        <v>455.71329051283936</v>
      </c>
      <c r="GF40" s="59">
        <f t="shared" si="50"/>
        <v>479.3743231122258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13.043361770049673</v>
      </c>
      <c r="GM40" s="21">
        <f>EXP(-LN(2)/25)*GM39+(1-EXP(-LN(2)/25))/(LN(2)/25)*Calculateur!GH40*Calculateur!GJ40*VLOOKUP('Données projet'!$B$17,Paramètres!$A$1:$I$89,3,0)*0.475*44/12</f>
        <v>0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13.043361770049673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13.2</v>
      </c>
      <c r="GU40" s="12">
        <f>IF('Données projet'!$A$270&gt;35,GU39+GT40-HC39,IF(A40&lt;'Données projet'!$A$270,$GR$205^A40,IF(A40='Données projet'!$A$270,'Données projet'!$B$270,GU39+GT40-HC39)))</f>
        <v>223.39999999999998</v>
      </c>
      <c r="GV40" s="17">
        <f>GU40*VLOOKUP('Données projet'!$B$18,Paramètres!$A$1:$I$89,3,0)*VLOOKUP('Données projet'!$B$18,Paramètres!$A$1:$I$89,5,0)</f>
        <v>181.22208000000001</v>
      </c>
      <c r="GW40" s="13">
        <f t="shared" si="51"/>
        <v>45.593969287032806</v>
      </c>
      <c r="GX40" s="20">
        <f t="shared" si="28"/>
        <v>395.03795250824879</v>
      </c>
      <c r="GY40" s="59">
        <f t="shared" si="29"/>
        <v>688.37128584158211</v>
      </c>
      <c r="GZ40" s="59">
        <f ca="1">AVERAGE(OFFSET($GY$3,0,0,'Données projet'!$E$18+1,1))-AVERAGE(OFFSET($H$3,0,0,'Données projet'!$E$18+1,1))</f>
        <v>412.59676769258488</v>
      </c>
      <c r="HA40" s="59">
        <f t="shared" si="52"/>
        <v>399.90063795152133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15.566503882944529</v>
      </c>
      <c r="HH40" s="21">
        <f>EXP(-LN(2)/25)*HH39+(1-EXP(-LN(2)/25))/(LN(2)/25)*Calculateur!HC40*Calculateur!HE40*VLOOKUP('Données projet'!$B$18,Paramètres!$A$1:$I$89,3,0)*0.475*44/12</f>
        <v>0</v>
      </c>
      <c r="HI40" s="21">
        <f>EXP(-LN(2)/2)*HI39+(1-EXP(-LN(2)/2))/(LN(2)/2)*HC40*HF40*VLOOKUP('Données projet'!$B$18,Paramètres!$A$1:$I$89,3,0)*0.475*44/12</f>
        <v>0</v>
      </c>
      <c r="HJ40" s="22">
        <f t="shared" si="30"/>
        <v>15.566503882944529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11.2</v>
      </c>
      <c r="N41" s="13">
        <f>IF('Données projet'!$A$36&gt;35,N40+M41-V40,IF(A41&lt;'Données projet'!$A$36,$K$205^A41,IF(A41='Données projet'!$A$36,'Données projet'!$B$36,N40+M41-V40)))</f>
        <v>152.60000000000002</v>
      </c>
      <c r="O41" s="13">
        <f>N41*VLOOKUP('Données projet'!$B$9,Paramètres!$A$1:$I$89,3,0)*VLOOKUP('Données projet'!$B$9,Paramètres!$A$1:$I$89,5,0)</f>
        <v>138.07248000000001</v>
      </c>
      <c r="P41" s="13">
        <f t="shared" si="33"/>
        <v>35.85508207677799</v>
      </c>
      <c r="Q41" s="20">
        <f t="shared" si="53"/>
        <v>302.9238372837217</v>
      </c>
      <c r="R41" s="59">
        <f t="shared" si="0"/>
        <v>596.25717061705495</v>
      </c>
      <c r="S41" s="59">
        <f ca="1">AVERAGE(OFFSET($R$3,0,0,'Données projet'!$E$9+1,1))-AVERAGE(OFFSET($H$3,0,0,'Données projet'!$E$9+1,1))</f>
        <v>439.19854273764042</v>
      </c>
      <c r="T41" s="59">
        <f t="shared" si="34"/>
        <v>278.21741231699929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11.34811212452475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11.34811212452475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11.2</v>
      </c>
      <c r="AI41" s="13">
        <f>IF('Données projet'!$A$62&gt;35,AI40+AH41-AQ40,IF(A41&lt;'Données projet'!$A$62,$AF$205^A41,IF(A41='Données projet'!$A$62,'Données projet'!$B$62,AI40+AH41-AQ40)))</f>
        <v>152.60000000000002</v>
      </c>
      <c r="AJ41" s="13">
        <f>AI41*VLOOKUP('Données projet'!$B$10,Paramètres!$A$1:$I$89,3,0)*VLOOKUP('Données projet'!$B$10,Paramètres!$A$1:$I$89,5,0)</f>
        <v>154.73640000000003</v>
      </c>
      <c r="AK41" s="13">
        <f t="shared" si="35"/>
        <v>39.652994320183701</v>
      </c>
      <c r="AL41" s="20">
        <f t="shared" si="4"/>
        <v>338.56152844098665</v>
      </c>
      <c r="AM41" s="59">
        <f t="shared" si="5"/>
        <v>631.89486177431991</v>
      </c>
      <c r="AN41" s="59">
        <f ca="1">AVERAGE(OFFSET($AM$3,0,0,'Données projet'!$E$10+1,1))-AVERAGE(OFFSET($H$3,0,0,'Données projet'!$E$10+1,1))</f>
        <v>487.18832528146936</v>
      </c>
      <c r="AO41" s="59">
        <f t="shared" si="36"/>
        <v>306.61893266146666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12.717711863691532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12.717711863691532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7.6</v>
      </c>
      <c r="BD41" s="12">
        <f>IF('Données projet'!$A$88&gt;35,BD40+BC41-BL40,IF(A41&lt;'Données projet'!$A$88,$BA$205^A41,IF(A41='Données projet'!$A$88,'Données projet'!$B$88,BD40+BC41-BL40)))</f>
        <v>334.8000000000003</v>
      </c>
      <c r="BE41" s="13">
        <f>BD41*VLOOKUP('Données projet'!$B$11,Paramètres!$A$1:$I$89,3,0)*VLOOKUP('Données projet'!$B$11,Paramètres!$A$1:$I$89,5,0)</f>
        <v>302.92704000000026</v>
      </c>
      <c r="BF41" s="13">
        <f t="shared" si="37"/>
        <v>71.789736305653022</v>
      </c>
      <c r="BG41" s="20">
        <f t="shared" si="7"/>
        <v>652.63171873234603</v>
      </c>
      <c r="BH41" s="59">
        <f t="shared" si="8"/>
        <v>945.9650520656794</v>
      </c>
      <c r="BI41" s="59">
        <f ca="1">AVERAGE(OFFSET($BH$3,0,0,'Données projet'!$E$11+1,1))-AVERAGE(OFFSET($H$3,0,0,'Données projet'!$E$11+1,1))</f>
        <v>436.23918637269577</v>
      </c>
      <c r="BJ41" s="59">
        <f t="shared" si="38"/>
        <v>611.43967996341894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3.1103629577185776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3.1103629577185776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12.4</v>
      </c>
      <c r="BY41" s="12">
        <f>IF('Données projet'!$A$114&gt;35,BY40+BX41-CG40,IF(A41&lt;'Données projet'!$A$114,$BV$205^A41,IF(A41='Données projet'!$A$114,'Données projet'!$B$114,BY40+BX41-CG40)))</f>
        <v>210.2000000000001</v>
      </c>
      <c r="BZ41" s="13">
        <f>BY41*VLOOKUP('Données projet'!$B$12,Paramètres!$A$1:$I$89,3,0)*VLOOKUP('Données projet'!$B$12,Paramètres!$A$1:$I$89,5,0)</f>
        <v>183.63072000000011</v>
      </c>
      <c r="CA41" s="13">
        <f t="shared" si="39"/>
        <v>46.129013251634483</v>
      </c>
      <c r="CB41" s="20">
        <f t="shared" si="10"/>
        <v>400.16486874659694</v>
      </c>
      <c r="CC41" s="59">
        <f t="shared" si="11"/>
        <v>693.49820207993025</v>
      </c>
      <c r="CD41" s="59">
        <f ca="1">AVERAGE(OFFSET($CC$3,0,0,'Données projet'!$E$12+1,1))-AVERAGE(OFFSET($H$3,0,0,'Données projet'!$E$12+1,1))</f>
        <v>304.32767345253382</v>
      </c>
      <c r="CE41" s="59">
        <f t="shared" si="40"/>
        <v>427.16091343339173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19.174396348334927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19.174396348334927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27</v>
      </c>
      <c r="CT41" s="12">
        <f>IF('Données projet'!$A$140&gt;35,CT40+CS41-DB40,IF(A41&lt;'Données projet'!$A$140,$CQ$205^A41,IF(A41='Données projet'!$A$140,'Données projet'!$B$140,CT40+CS41-DB40)))</f>
        <v>584.99999999999989</v>
      </c>
      <c r="CU41" s="17">
        <f>CT41*VLOOKUP('Données projet'!$B$13,Paramètres!$A$1:$I$89,3,0)*VLOOKUP('Données projet'!$B$13,Paramètres!$A$1:$I$89,5,0)</f>
        <v>327.01499999999993</v>
      </c>
      <c r="CV41" s="13">
        <f t="shared" si="41"/>
        <v>76.811113612871907</v>
      </c>
      <c r="CW41" s="20">
        <f t="shared" si="13"/>
        <v>703.33048120908506</v>
      </c>
      <c r="CX41" s="59">
        <f t="shared" si="14"/>
        <v>996.66381454241832</v>
      </c>
      <c r="CY41" s="59">
        <f ca="1">AVERAGE(OFFSET($CX$3,0,0,'Données projet'!$E$13+1,1))-AVERAGE(OFFSET($H$3,0,0,'Données projet'!$E$13+1,1))</f>
        <v>555.15881087162279</v>
      </c>
      <c r="CZ41" s="59">
        <f t="shared" si="42"/>
        <v>668.20427590250733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27.671504934185972</v>
      </c>
      <c r="DG41" s="21">
        <f>EXP(-LN(2)/25)*DG40+(1-EXP(-LN(2)/25))/(LN(2)/25)*Calculateur!DB41*Calculateur!DD41*VLOOKUP('Données projet'!$B$13,Paramètres!$A$1:$I$89,3,0)*0.475*44/12</f>
        <v>46.28714248029268</v>
      </c>
      <c r="DH41" s="21">
        <f>EXP(-LN(2)/2)*DH40+(1-EXP(-LN(2)/2))/(LN(2)/2)*DB41*DE41*VLOOKUP('Données projet'!$B$13,Paramètres!$A$1:$I$89,3,0)*0.475*44/12</f>
        <v>5.3155210421179072E-2</v>
      </c>
      <c r="DI41" s="22">
        <f t="shared" si="15"/>
        <v>74.011802624899829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32</v>
      </c>
      <c r="DO41" s="12">
        <f>IF('Données projet'!$A$166&gt;35,DO40+DN41-DW40,IF(A41&lt;'Données projet'!$A$166,$DL$205^A41,IF(A41='Données projet'!$A$166,'Données projet'!$B$166,DO40+DN41-DW40)))</f>
        <v>513</v>
      </c>
      <c r="DP41" s="17">
        <f>DO41*VLOOKUP('Données projet'!$B$14,Paramètres!$A$1:$I$89,3,0)*VLOOKUP('Données projet'!$B$14,Paramètres!$A$1:$I$89,5,0)</f>
        <v>240.084</v>
      </c>
      <c r="DQ41" s="13">
        <f t="shared" si="43"/>
        <v>58.457603123312211</v>
      </c>
      <c r="DR41" s="20">
        <f t="shared" si="16"/>
        <v>519.95995877310202</v>
      </c>
      <c r="DS41" s="59">
        <f t="shared" si="17"/>
        <v>813.29329210643527</v>
      </c>
      <c r="DT41" s="59">
        <f ca="1">AVERAGE(OFFSET($DS$3,0,0,'Données projet'!$E$14+1,1))-AVERAGE(OFFSET($H$3,0,0,'Données projet'!$E$14+1,1))</f>
        <v>523.79180230463714</v>
      </c>
      <c r="DU41" s="59">
        <f t="shared" si="44"/>
        <v>459.3547783500515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27.027981563623499</v>
      </c>
      <c r="EB41" s="21">
        <f>EXP(-LN(2)/25)*EB40+(1-EXP(-LN(2)/25))/(LN(2)/25)*Calculateur!DW41*Calculateur!DY41*VLOOKUP('Données projet'!$B$14,Paramètres!$A$1:$I$89,3,0)*0.475*44/12</f>
        <v>42.80974890277745</v>
      </c>
      <c r="EC41" s="21">
        <f>EXP(-LN(2)/2)*EC40+(1-EXP(-LN(2)/2))/(LN(2)/2)*DW41*DZ41*VLOOKUP('Données projet'!$B$14,Paramètres!$A$1:$I$89,3,0)*0.475*44/12</f>
        <v>7.4515038080960522E-2</v>
      </c>
      <c r="ED41" s="22">
        <f t="shared" si="18"/>
        <v>69.912245504481916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13.2</v>
      </c>
      <c r="EJ41" s="12">
        <f>IF('Données projet'!$A$192&gt;35,EJ40+EI41-ER40,IF(A41&lt;'Données projet'!$A$192,$EG$205^A41,IF(A41='Données projet'!$A$192,'Données projet'!$B$192,EJ40+EI41-ER40)))</f>
        <v>236.59999999999997</v>
      </c>
      <c r="EK41" s="17">
        <f>EJ41*VLOOKUP('Données projet'!$B$15,Paramètres!$A$1:$I$89,3,0)*VLOOKUP('Données projet'!$B$15,Paramètres!$A$1:$I$89,5,0)</f>
        <v>228.83951999999996</v>
      </c>
      <c r="EL41" s="13">
        <f t="shared" si="45"/>
        <v>56.031684800405138</v>
      </c>
      <c r="EM41" s="20">
        <f t="shared" si="19"/>
        <v>496.15068169403889</v>
      </c>
      <c r="EN41" s="59">
        <f t="shared" si="20"/>
        <v>789.48401502737215</v>
      </c>
      <c r="EO41" s="59">
        <f ca="1">AVERAGE(OFFSET($EN$3,0,0,'Données projet'!$E$15+1,1))-AVERAGE(OFFSET($H$3,0,0,'Données projet'!$E$15+1,1))</f>
        <v>484.41278617935654</v>
      </c>
      <c r="EP41" s="59">
        <f t="shared" si="46"/>
        <v>467.97490540700738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18.196110820358651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18.196110820358651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13.2</v>
      </c>
      <c r="FE41" s="12">
        <f>IF('Données projet'!$A$218&gt;35,FE40+FD41-FM40,IF(A41&lt;'Données projet'!$A$218,$FB$205^A41,IF(A41='Données projet'!$A$218,'Données projet'!$B$218,FE40+FD41-FM40)))</f>
        <v>236.59999999999997</v>
      </c>
      <c r="FF41" s="17">
        <f>FE41*VLOOKUP('Données projet'!$B$16,Paramètres!$A$1:$I$89,3,0)*VLOOKUP('Données projet'!$B$16,Paramètres!$A$1:$I$89,5,0)</f>
        <v>254.67623999999995</v>
      </c>
      <c r="FG41" s="13">
        <f t="shared" si="47"/>
        <v>61.58620468709951</v>
      </c>
      <c r="FH41" s="20">
        <f t="shared" si="22"/>
        <v>550.82375783003147</v>
      </c>
      <c r="FI41" s="59">
        <f t="shared" si="23"/>
        <v>844.15709116336484</v>
      </c>
      <c r="FJ41" s="59">
        <f ca="1">AVERAGE(OFFSET($FI$3,0,0,'Données projet'!$E$16+1,1))-AVERAGE(OFFSET($H$3,0,0,'Données projet'!$E$16+1,1))</f>
        <v>534.54020133239135</v>
      </c>
      <c r="FK41" s="59">
        <f t="shared" si="48"/>
        <v>515.48696069008815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20.250510429108822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20.250510429108822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8.1999999999999993</v>
      </c>
      <c r="FZ41" s="12">
        <f>IF('Données projet'!$A$244&gt;35,FZ40+FY41-GH40,IF(A41&lt;'Données projet'!$A$244,$FW$205^A41,IF(A41='Données projet'!$A$244,'Données projet'!$B$244,FZ40+FY41-GH40)))</f>
        <v>223.59999999999997</v>
      </c>
      <c r="GA41" s="17">
        <f>FZ41*VLOOKUP('Données projet'!$B$17,Paramètres!$A$1:$I$89,3,0)*VLOOKUP('Données projet'!$B$17,Paramètres!$A$1:$I$89,5,0)</f>
        <v>212.77775999999997</v>
      </c>
      <c r="GB41" s="13">
        <f t="shared" si="49"/>
        <v>52.542131131270303</v>
      </c>
      <c r="GC41" s="20">
        <f t="shared" si="25"/>
        <v>462.09881038696238</v>
      </c>
      <c r="GD41" s="59">
        <f t="shared" si="26"/>
        <v>755.4321437202957</v>
      </c>
      <c r="GE41" s="59">
        <f ca="1">AVERAGE(OFFSET($GD$3,0,0,'Données projet'!$E$17+1,1))-AVERAGE(OFFSET($H$3,0,0,'Données projet'!$E$17+1,1))</f>
        <v>455.71329051283936</v>
      </c>
      <c r="GF41" s="59">
        <f t="shared" si="50"/>
        <v>479.3743231122258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12.787589401404121</v>
      </c>
      <c r="GM41" s="21">
        <f>EXP(-LN(2)/25)*GM40+(1-EXP(-LN(2)/25))/(LN(2)/25)*Calculateur!GH41*Calculateur!GJ41*VLOOKUP('Données projet'!$B$17,Paramètres!$A$1:$I$89,3,0)*0.475*44/12</f>
        <v>0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12.787589401404121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13.2</v>
      </c>
      <c r="GU41" s="12">
        <f>IF('Données projet'!$A$270&gt;35,GU40+GT41-HC40,IF(A41&lt;'Données projet'!$A$270,$GR$205^A41,IF(A41='Données projet'!$A$270,'Données projet'!$B$270,GU40+GT41-HC40)))</f>
        <v>236.59999999999997</v>
      </c>
      <c r="GV41" s="17">
        <f>GU41*VLOOKUP('Données projet'!$B$18,Paramètres!$A$1:$I$89,3,0)*VLOOKUP('Données projet'!$B$18,Paramètres!$A$1:$I$89,5,0)</f>
        <v>191.92991999999998</v>
      </c>
      <c r="GW41" s="13">
        <f t="shared" si="51"/>
        <v>47.966379473124988</v>
      </c>
      <c r="GX41" s="20">
        <f t="shared" si="28"/>
        <v>417.81938824902596</v>
      </c>
      <c r="GY41" s="59">
        <f t="shared" si="29"/>
        <v>711.15272158235928</v>
      </c>
      <c r="GZ41" s="59">
        <f ca="1">AVERAGE(OFFSET($GY$3,0,0,'Données projet'!$E$18+1,1))-AVERAGE(OFFSET($H$3,0,0,'Données projet'!$E$18+1,1))</f>
        <v>412.59676769258488</v>
      </c>
      <c r="HA41" s="59">
        <f t="shared" si="52"/>
        <v>399.90063795152133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15.261254236429838</v>
      </c>
      <c r="HH41" s="21">
        <f>EXP(-LN(2)/25)*HH40+(1-EXP(-LN(2)/25))/(LN(2)/25)*Calculateur!HC41*Calculateur!HE41*VLOOKUP('Données projet'!$B$18,Paramètres!$A$1:$I$89,3,0)*0.475*44/12</f>
        <v>0</v>
      </c>
      <c r="HI41" s="21">
        <f>EXP(-LN(2)/2)*HI40+(1-EXP(-LN(2)/2))/(LN(2)/2)*HC41*HF41*VLOOKUP('Données projet'!$B$18,Paramètres!$A$1:$I$89,3,0)*0.475*44/12</f>
        <v>0</v>
      </c>
      <c r="HJ41" s="22">
        <f t="shared" si="30"/>
        <v>15.261254236429838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11.2</v>
      </c>
      <c r="N42" s="13">
        <f>IF('Données projet'!$A$36&gt;35,N41+M42-V41,IF(A42&lt;'Données projet'!$A$36,$K$205^A42,IF(A42='Données projet'!$A$36,'Données projet'!$B$36,N41+M42-V41)))</f>
        <v>163.80000000000001</v>
      </c>
      <c r="O42" s="13">
        <f>N42*VLOOKUP('Données projet'!$B$9,Paramètres!$A$1:$I$89,3,0)*VLOOKUP('Données projet'!$B$9,Paramètres!$A$1:$I$89,5,0)</f>
        <v>148.20624000000001</v>
      </c>
      <c r="P42" s="13">
        <f t="shared" si="33"/>
        <v>38.170662245893794</v>
      </c>
      <c r="Q42" s="20">
        <f t="shared" si="53"/>
        <v>324.60643807826506</v>
      </c>
      <c r="R42" s="59">
        <f t="shared" si="0"/>
        <v>617.93977141159837</v>
      </c>
      <c r="S42" s="59">
        <f ca="1">AVERAGE(OFFSET($R$3,0,0,'Données projet'!$E$9+1,1))-AVERAGE(OFFSET($H$3,0,0,'Données projet'!$E$9+1,1))</f>
        <v>439.19854273764042</v>
      </c>
      <c r="T42" s="59">
        <f t="shared" si="34"/>
        <v>278.21741231699929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11.125582567427758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11.125582567427758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11.2</v>
      </c>
      <c r="AI42" s="13">
        <f>IF('Données projet'!$A$62&gt;35,AI41+AH42-AQ41,IF(A42&lt;'Données projet'!$A$62,$AF$205^A42,IF(A42='Données projet'!$A$62,'Données projet'!$B$62,AI41+AH42-AQ41)))</f>
        <v>163.80000000000001</v>
      </c>
      <c r="AJ42" s="13">
        <f>AI42*VLOOKUP('Données projet'!$B$10,Paramètres!$A$1:$I$89,3,0)*VLOOKUP('Données projet'!$B$10,Paramètres!$A$1:$I$89,5,0)</f>
        <v>166.09320000000002</v>
      </c>
      <c r="AK42" s="13">
        <f t="shared" si="35"/>
        <v>42.213849908165905</v>
      </c>
      <c r="AL42" s="20">
        <f t="shared" si="4"/>
        <v>362.80144525672227</v>
      </c>
      <c r="AM42" s="59">
        <f t="shared" si="5"/>
        <v>656.13477859005559</v>
      </c>
      <c r="AN42" s="59">
        <f ca="1">AVERAGE(OFFSET($AM$3,0,0,'Données projet'!$E$10+1,1))-AVERAGE(OFFSET($H$3,0,0,'Données projet'!$E$10+1,1))</f>
        <v>487.18832528146936</v>
      </c>
      <c r="AO42" s="59">
        <f t="shared" si="36"/>
        <v>306.61893266146666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12.468325291082834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12.468325291082834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7.6</v>
      </c>
      <c r="BD42" s="12">
        <f>IF('Données projet'!$A$88&gt;35,BD41+BC42-BL41,IF(A42&lt;'Données projet'!$A$88,$BA$205^A42,IF(A42='Données projet'!$A$88,'Données projet'!$B$88,BD41+BC42-BL41)))</f>
        <v>342.40000000000032</v>
      </c>
      <c r="BE42" s="13">
        <f>BD42*VLOOKUP('Données projet'!$B$11,Paramètres!$A$1:$I$89,3,0)*VLOOKUP('Données projet'!$B$11,Paramètres!$A$1:$I$89,5,0)</f>
        <v>309.80352000000028</v>
      </c>
      <c r="BF42" s="13">
        <f t="shared" si="37"/>
        <v>73.227795813703821</v>
      </c>
      <c r="BG42" s="20">
        <f t="shared" si="7"/>
        <v>667.11287504220138</v>
      </c>
      <c r="BH42" s="59">
        <f t="shared" si="8"/>
        <v>960.44620837553475</v>
      </c>
      <c r="BI42" s="59">
        <f ca="1">AVERAGE(OFFSET($BH$3,0,0,'Données projet'!$E$11+1,1))-AVERAGE(OFFSET($H$3,0,0,'Données projet'!$E$11+1,1))</f>
        <v>436.23918637269577</v>
      </c>
      <c r="BJ42" s="59">
        <f t="shared" si="38"/>
        <v>611.43967996341894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3.0493706372517941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3.0493706372517941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12.4</v>
      </c>
      <c r="BY42" s="12">
        <f>IF('Données projet'!$A$114&gt;35,BY41+BX42-CG41,IF(A42&lt;'Données projet'!$A$114,$BV$205^A42,IF(A42='Données projet'!$A$114,'Données projet'!$B$114,BY41+BX42-CG41)))</f>
        <v>222.60000000000011</v>
      </c>
      <c r="BZ42" s="13">
        <f>BY42*VLOOKUP('Données projet'!$B$12,Paramètres!$A$1:$I$89,3,0)*VLOOKUP('Données projet'!$B$12,Paramètres!$A$1:$I$89,5,0)</f>
        <v>194.46336000000014</v>
      </c>
      <c r="CA42" s="13">
        <f t="shared" si="39"/>
        <v>48.525400894162686</v>
      </c>
      <c r="CB42" s="20">
        <f t="shared" si="10"/>
        <v>423.20542522400024</v>
      </c>
      <c r="CC42" s="59">
        <f t="shared" si="11"/>
        <v>716.53875855733349</v>
      </c>
      <c r="CD42" s="59">
        <f ca="1">AVERAGE(OFFSET($CC$3,0,0,'Données projet'!$E$12+1,1))-AVERAGE(OFFSET($H$3,0,0,'Données projet'!$E$12+1,1))</f>
        <v>304.32767345253382</v>
      </c>
      <c r="CE42" s="59">
        <f t="shared" si="40"/>
        <v>427.16091343339173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18.798398131171044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18.798398131171044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27</v>
      </c>
      <c r="CT42" s="12">
        <f>IF('Données projet'!$A$140&gt;35,CT41+CS42-DB41,IF(A42&lt;'Données projet'!$A$140,$CQ$205^A42,IF(A42='Données projet'!$A$140,'Données projet'!$B$140,CT41+CS42-DB41)))</f>
        <v>611.99999999999989</v>
      </c>
      <c r="CU42" s="17">
        <f>CT42*VLOOKUP('Données projet'!$B$13,Paramètres!$A$1:$I$89,3,0)*VLOOKUP('Données projet'!$B$13,Paramètres!$A$1:$I$89,5,0)</f>
        <v>342.10799999999995</v>
      </c>
      <c r="CV42" s="13">
        <f t="shared" si="41"/>
        <v>79.935315774430151</v>
      </c>
      <c r="CW42" s="20">
        <f t="shared" si="13"/>
        <v>735.0587749737989</v>
      </c>
      <c r="CX42" s="59">
        <f t="shared" si="14"/>
        <v>1028.3921083071323</v>
      </c>
      <c r="CY42" s="59">
        <f ca="1">AVERAGE(OFFSET($CX$3,0,0,'Données projet'!$E$13+1,1))-AVERAGE(OFFSET($H$3,0,0,'Données projet'!$E$13+1,1))</f>
        <v>555.15881087162279</v>
      </c>
      <c r="CZ42" s="59">
        <f t="shared" si="42"/>
        <v>668.20427590250733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27.128883600378035</v>
      </c>
      <c r="DG42" s="21">
        <f>EXP(-LN(2)/25)*DG41+(1-EXP(-LN(2)/25))/(LN(2)/25)*Calculateur!DB42*Calculateur!DD42*VLOOKUP('Données projet'!$B$13,Paramètres!$A$1:$I$89,3,0)*0.475*44/12</f>
        <v>45.021418135034047</v>
      </c>
      <c r="DH42" s="21">
        <f>EXP(-LN(2)/2)*DH41+(1-EXP(-LN(2)/2))/(LN(2)/2)*DB42*DE42*VLOOKUP('Données projet'!$B$13,Paramètres!$A$1:$I$89,3,0)*0.475*44/12</f>
        <v>3.758640974421356E-2</v>
      </c>
      <c r="DI42" s="22">
        <f t="shared" si="15"/>
        <v>72.187888145156293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32</v>
      </c>
      <c r="DO42" s="12">
        <f>IF('Données projet'!$A$166&gt;35,DO41+DN42-DW41,IF(A42&lt;'Données projet'!$A$166,$DL$205^A42,IF(A42='Données projet'!$A$166,'Données projet'!$B$166,DO41+DN42-DW41)))</f>
        <v>545</v>
      </c>
      <c r="DP42" s="17">
        <f>DO42*VLOOKUP('Données projet'!$B$14,Paramètres!$A$1:$I$89,3,0)*VLOOKUP('Données projet'!$B$14,Paramètres!$A$1:$I$89,5,0)</f>
        <v>255.06</v>
      </c>
      <c r="DQ42" s="13">
        <f t="shared" si="43"/>
        <v>61.668196852621932</v>
      </c>
      <c r="DR42" s="20">
        <f t="shared" si="16"/>
        <v>551.63494285164984</v>
      </c>
      <c r="DS42" s="59">
        <f t="shared" si="17"/>
        <v>844.9682761849831</v>
      </c>
      <c r="DT42" s="59">
        <f ca="1">AVERAGE(OFFSET($DS$3,0,0,'Données projet'!$E$14+1,1))-AVERAGE(OFFSET($H$3,0,0,'Données projet'!$E$14+1,1))</f>
        <v>523.79180230463714</v>
      </c>
      <c r="DU42" s="59">
        <f t="shared" si="44"/>
        <v>459.3547783500515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26.497979330601794</v>
      </c>
      <c r="EB42" s="21">
        <f>EXP(-LN(2)/25)*EB41+(1-EXP(-LN(2)/25))/(LN(2)/25)*Calculateur!DW42*Calculateur!DY42*VLOOKUP('Données projet'!$B$14,Paramètres!$A$1:$I$89,3,0)*0.475*44/12</f>
        <v>41.639114067764147</v>
      </c>
      <c r="EC42" s="21">
        <f>EXP(-LN(2)/2)*EC41+(1-EXP(-LN(2)/2))/(LN(2)/2)*DW42*DZ42*VLOOKUP('Données projet'!$B$14,Paramètres!$A$1:$I$89,3,0)*0.475*44/12</f>
        <v>5.2690088727421008E-2</v>
      </c>
      <c r="ED42" s="22">
        <f t="shared" si="18"/>
        <v>68.189783487093365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13.2</v>
      </c>
      <c r="EJ42" s="12">
        <f>IF('Données projet'!$A$192&gt;35,EJ41+EI42-ER41,IF(A42&lt;'Données projet'!$A$192,$EG$205^A42,IF(A42='Données projet'!$A$192,'Données projet'!$B$192,EJ41+EI42-ER41)))</f>
        <v>249.79999999999995</v>
      </c>
      <c r="EK42" s="17">
        <f>EJ42*VLOOKUP('Données projet'!$B$15,Paramètres!$A$1:$I$89,3,0)*VLOOKUP('Données projet'!$B$15,Paramètres!$A$1:$I$89,5,0)</f>
        <v>241.60655999999997</v>
      </c>
      <c r="EL42" s="13">
        <f t="shared" si="45"/>
        <v>58.785055361026963</v>
      </c>
      <c r="EM42" s="20">
        <f t="shared" si="19"/>
        <v>523.18206342045517</v>
      </c>
      <c r="EN42" s="59">
        <f t="shared" si="20"/>
        <v>816.51539675378854</v>
      </c>
      <c r="EO42" s="59">
        <f ca="1">AVERAGE(OFFSET($EN$3,0,0,'Données projet'!$E$15+1,1))-AVERAGE(OFFSET($H$3,0,0,'Données projet'!$E$15+1,1))</f>
        <v>484.41278617935654</v>
      </c>
      <c r="EP42" s="59">
        <f t="shared" si="46"/>
        <v>467.97490540700738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17.83929618570313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17.83929618570313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13.2</v>
      </c>
      <c r="FE42" s="12">
        <f>IF('Données projet'!$A$218&gt;35,FE41+FD42-FM41,IF(A42&lt;'Données projet'!$A$218,$FB$205^A42,IF(A42='Données projet'!$A$218,'Données projet'!$B$218,FE41+FD42-FM41)))</f>
        <v>249.79999999999995</v>
      </c>
      <c r="FF42" s="17">
        <f>FE42*VLOOKUP('Données projet'!$B$16,Paramètres!$A$1:$I$89,3,0)*VLOOKUP('Données projet'!$B$16,Paramètres!$A$1:$I$89,5,0)</f>
        <v>268.88471999999996</v>
      </c>
      <c r="FG42" s="13">
        <f t="shared" si="47"/>
        <v>64.612521734854312</v>
      </c>
      <c r="FH42" s="20">
        <f t="shared" si="22"/>
        <v>580.84102935487113</v>
      </c>
      <c r="FI42" s="59">
        <f t="shared" si="23"/>
        <v>874.17436268820438</v>
      </c>
      <c r="FJ42" s="59">
        <f ca="1">AVERAGE(OFFSET($FI$3,0,0,'Données projet'!$E$16+1,1))-AVERAGE(OFFSET($H$3,0,0,'Données projet'!$E$16+1,1))</f>
        <v>534.54020133239135</v>
      </c>
      <c r="FK42" s="59">
        <f t="shared" si="48"/>
        <v>515.48696069008815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19.853410271185741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19.853410271185741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8.1999999999999993</v>
      </c>
      <c r="FZ42" s="12">
        <f>IF('Données projet'!$A$244&gt;35,FZ41+FY42-GH41,IF(A42&lt;'Données projet'!$A$244,$FW$205^A42,IF(A42='Données projet'!$A$244,'Données projet'!$B$244,FZ41+FY42-GH41)))</f>
        <v>231.79999999999995</v>
      </c>
      <c r="GA42" s="17">
        <f>FZ42*VLOOKUP('Données projet'!$B$17,Paramètres!$A$1:$I$89,3,0)*VLOOKUP('Données projet'!$B$17,Paramètres!$A$1:$I$89,5,0)</f>
        <v>220.58087999999995</v>
      </c>
      <c r="GB42" s="13">
        <f t="shared" si="49"/>
        <v>54.241117736670112</v>
      </c>
      <c r="GC42" s="20">
        <f t="shared" si="25"/>
        <v>478.64831272470036</v>
      </c>
      <c r="GD42" s="59">
        <f t="shared" si="26"/>
        <v>771.98164605803368</v>
      </c>
      <c r="GE42" s="59">
        <f ca="1">AVERAGE(OFFSET($GD$3,0,0,'Données projet'!$E$17+1,1))-AVERAGE(OFFSET($H$3,0,0,'Données projet'!$E$17+1,1))</f>
        <v>455.71329051283936</v>
      </c>
      <c r="GF42" s="59">
        <f t="shared" si="50"/>
        <v>479.3743231122258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12.536832572901968</v>
      </c>
      <c r="GM42" s="21">
        <f>EXP(-LN(2)/25)*GM41+(1-EXP(-LN(2)/25))/(LN(2)/25)*Calculateur!GH42*Calculateur!GJ42*VLOOKUP('Données projet'!$B$17,Paramètres!$A$1:$I$89,3,0)*0.475*44/12</f>
        <v>0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12.536832572901968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13.2</v>
      </c>
      <c r="GU42" s="12">
        <f>IF('Données projet'!$A$270&gt;35,GU41+GT42-HC41,IF(A42&lt;'Données projet'!$A$270,$GR$205^A42,IF(A42='Données projet'!$A$270,'Données projet'!$B$270,GU41+GT42-HC41)))</f>
        <v>249.79999999999995</v>
      </c>
      <c r="GV42" s="17">
        <f>GU42*VLOOKUP('Données projet'!$B$18,Paramètres!$A$1:$I$89,3,0)*VLOOKUP('Données projet'!$B$18,Paramètres!$A$1:$I$89,5,0)</f>
        <v>202.63775999999999</v>
      </c>
      <c r="GW42" s="13">
        <f t="shared" si="51"/>
        <v>50.323424734415482</v>
      </c>
      <c r="GX42" s="20">
        <f t="shared" si="28"/>
        <v>440.57406341244024</v>
      </c>
      <c r="GY42" s="59">
        <f t="shared" si="29"/>
        <v>733.90739674577355</v>
      </c>
      <c r="GZ42" s="59">
        <f ca="1">AVERAGE(OFFSET($GY$3,0,0,'Données projet'!$E$18+1,1))-AVERAGE(OFFSET($H$3,0,0,'Données projet'!$E$18+1,1))</f>
        <v>412.59676769258488</v>
      </c>
      <c r="HA42" s="59">
        <f t="shared" si="52"/>
        <v>399.90063795152133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14.9619903492994</v>
      </c>
      <c r="HH42" s="21">
        <f>EXP(-LN(2)/25)*HH41+(1-EXP(-LN(2)/25))/(LN(2)/25)*Calculateur!HC42*Calculateur!HE42*VLOOKUP('Données projet'!$B$18,Paramètres!$A$1:$I$89,3,0)*0.475*44/12</f>
        <v>0</v>
      </c>
      <c r="HI42" s="21">
        <f>EXP(-LN(2)/2)*HI41+(1-EXP(-LN(2)/2))/(LN(2)/2)*HC42*HF42*VLOOKUP('Données projet'!$B$18,Paramètres!$A$1:$I$89,3,0)*0.475*44/12</f>
        <v>0</v>
      </c>
      <c r="HJ42" s="22">
        <f t="shared" si="30"/>
        <v>14.9619903492994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175</v>
      </c>
      <c r="L43" s="12">
        <f>VLOOKUP(A43,'Données projet'!$A$35:$I$55,9,0)</f>
        <v>11.2</v>
      </c>
      <c r="M43" s="12">
        <f t="array" ref="M43">INDEX(L:L,MIN(IF(ISNUMBER(L43:L239),ROW(L43:L239),"")))</f>
        <v>11.2</v>
      </c>
      <c r="N43" s="13">
        <f>IF('Données projet'!$A$36&gt;35,N42+M43-V42,IF(A43&lt;'Données projet'!$A$36,$K$205^A43,IF(A43='Données projet'!$A$36,'Données projet'!$B$36,N42+M43-V42)))</f>
        <v>175</v>
      </c>
      <c r="O43" s="13">
        <f>N43*VLOOKUP('Données projet'!$B$9,Paramètres!$A$1:$I$89,3,0)*VLOOKUP('Données projet'!$B$9,Paramètres!$A$1:$I$89,5,0)</f>
        <v>158.34</v>
      </c>
      <c r="P43" s="13">
        <f t="shared" si="33"/>
        <v>40.467870812652819</v>
      </c>
      <c r="Q43" s="20">
        <f t="shared" si="53"/>
        <v>346.25704166537031</v>
      </c>
      <c r="R43" s="59">
        <f t="shared" si="0"/>
        <v>639.59037499870362</v>
      </c>
      <c r="S43" s="59">
        <f ca="1">AVERAGE(OFFSET($R$3,0,0,'Données projet'!$E$9+1,1))-AVERAGE(OFFSET($H$3,0,0,'Données projet'!$E$9+1,1))</f>
        <v>439.19854273764042</v>
      </c>
      <c r="T43" s="59">
        <f t="shared" si="34"/>
        <v>278.21741231699929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28</v>
      </c>
      <c r="W43" s="16">
        <f>IF(ISNA(VLOOKUP(A43,'Données projet'!$A$35:$I$55,5,0)),0%,VLOOKUP(A43,'Données projet'!$A$35:$I$55,5,0)*VLOOKUP('Données projet'!$B$9,Paramètres!$A$1:$I$89,7,0))</f>
        <v>0.43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22.950181056008823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22.950181056008823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175</v>
      </c>
      <c r="AG43" s="12">
        <f>VLOOKUP(A43,'Données projet'!$A$61:$I$81,9,0)</f>
        <v>11.2</v>
      </c>
      <c r="AH43" s="12">
        <f t="array" ref="AH43">INDEX(AG:AG,MIN(IF(ISNUMBER(AG43:AG239),ROW(AG43:AG239),"")))</f>
        <v>11.2</v>
      </c>
      <c r="AI43" s="13">
        <f>IF('Données projet'!$A$62&gt;35,AI42+AH43-AQ42,IF(A43&lt;'Données projet'!$A$62,$AF$205^A43,IF(A43='Données projet'!$A$62,'Données projet'!$B$62,AI42+AH43-AQ42)))</f>
        <v>175</v>
      </c>
      <c r="AJ43" s="13">
        <f>AI43*VLOOKUP('Données projet'!$B$10,Paramètres!$A$1:$I$89,3,0)*VLOOKUP('Données projet'!$B$10,Paramètres!$A$1:$I$89,5,0)</f>
        <v>177.45000000000002</v>
      </c>
      <c r="AK43" s="13">
        <f t="shared" si="35"/>
        <v>44.754387900936791</v>
      </c>
      <c r="AL43" s="20">
        <f t="shared" si="4"/>
        <v>387.0059755941316</v>
      </c>
      <c r="AM43" s="59">
        <f t="shared" si="5"/>
        <v>680.33930892746491</v>
      </c>
      <c r="AN43" s="59">
        <f ca="1">AVERAGE(OFFSET($AM$3,0,0,'Données projet'!$E$10+1,1))-AVERAGE(OFFSET($H$3,0,0,'Données projet'!$E$10+1,1))</f>
        <v>487.18832528146936</v>
      </c>
      <c r="AO43" s="59">
        <f t="shared" si="36"/>
        <v>306.61893266146666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28</v>
      </c>
      <c r="AR43" s="16">
        <f>IF(ISNA(VLOOKUP(A43,'Données projet'!$A$61:$I$81,5,0)),0%,VLOOKUP(A43,'Données projet'!$A$61:$I$81,5,0)*VLOOKUP('Données projet'!$B$10,Paramètres!$A$1:$I$89,7,0))</f>
        <v>0.43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25.720030493802998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25.720030493802998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350</v>
      </c>
      <c r="BB43" s="12">
        <f>VLOOKUP(A43,'Données projet'!$A$87:$I$107,9,0)</f>
        <v>7.6</v>
      </c>
      <c r="BC43" s="12">
        <f t="array" ref="BC43">INDEX(BB:BB,MIN(IF(ISNUMBER(BB43:BB239),ROW(BB43:BB239),"")))</f>
        <v>7.6</v>
      </c>
      <c r="BD43" s="12">
        <f>IF('Données projet'!$A$88&gt;35,BD42+BC43-BL42,IF(A43&lt;'Données projet'!$A$88,$BA$205^A43,IF(A43='Données projet'!$A$88,'Données projet'!$B$88,BD42+BC43-BL42)))</f>
        <v>350.00000000000034</v>
      </c>
      <c r="BE43" s="13">
        <f>BD43*VLOOKUP('Données projet'!$B$11,Paramètres!$A$1:$I$89,3,0)*VLOOKUP('Données projet'!$B$11,Paramètres!$A$1:$I$89,5,0)</f>
        <v>316.68000000000029</v>
      </c>
      <c r="BF43" s="13">
        <f t="shared" si="37"/>
        <v>74.662144360177834</v>
      </c>
      <c r="BG43" s="20">
        <f t="shared" si="7"/>
        <v>681.58756809397687</v>
      </c>
      <c r="BH43" s="59">
        <f t="shared" si="8"/>
        <v>974.92090142731013</v>
      </c>
      <c r="BI43" s="59">
        <f ca="1">AVERAGE(OFFSET($BH$3,0,0,'Données projet'!$E$11+1,1))-AVERAGE(OFFSET($H$3,0,0,'Données projet'!$E$11+1,1))</f>
        <v>436.23918637269577</v>
      </c>
      <c r="BJ43" s="59">
        <f t="shared" si="38"/>
        <v>611.43967996341894</v>
      </c>
      <c r="BK43" s="15">
        <f>IF(ISNA(VLOOKUP(A43,'Données projet'!$A$87:$I$107,3,0)),0,VLOOKUP(A43,'Données projet'!$A$87:$I$107,3,0))</f>
        <v>8</v>
      </c>
      <c r="BL43" s="15">
        <f>IF(ISNA(VLOOKUP(A43,'Données projet'!$A$87:$I$107,4,0)),0,VLOOKUP(A43,'Données projet'!$A$87:$I$107,4,0))</f>
        <v>9</v>
      </c>
      <c r="BM43" s="16">
        <f>IF(ISNA(VLOOKUP(A43,'Données projet'!$A$87:$I$107,5,0)),0%,VLOOKUP(A43,'Données projet'!$A$87:$I$107,5,0)*VLOOKUP('Données projet'!$B$11,Paramètres!$A$1:$I$89,7,0))</f>
        <v>0.3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5.6901942573715374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5.6901942573715374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235</v>
      </c>
      <c r="BW43" s="12">
        <f>VLOOKUP(A43,'Données projet'!$A$113:$I$133,9,0)</f>
        <v>12.4</v>
      </c>
      <c r="BX43" s="12">
        <f t="array" ref="BX43">INDEX(BW:BW,MIN(IF(ISNUMBER(BW43:BW239),ROW(BW43:BW239),"")))</f>
        <v>12.4</v>
      </c>
      <c r="BY43" s="12">
        <f>IF('Données projet'!$A$114&gt;35,BY42+BX43-CG42,IF(A43&lt;'Données projet'!$A$114,$BV$205^A43,IF(A43='Données projet'!$A$114,'Données projet'!$B$114,BY42+BX43-CG42)))</f>
        <v>235.00000000000011</v>
      </c>
      <c r="BZ43" s="13">
        <f>BY43*VLOOKUP('Données projet'!$B$12,Paramètres!$A$1:$I$89,3,0)*VLOOKUP('Données projet'!$B$12,Paramètres!$A$1:$I$89,5,0)</f>
        <v>205.29600000000013</v>
      </c>
      <c r="CA43" s="13">
        <f t="shared" si="39"/>
        <v>50.906291934375396</v>
      </c>
      <c r="CB43" s="20">
        <f t="shared" si="10"/>
        <v>446.21899178570402</v>
      </c>
      <c r="CC43" s="59">
        <f t="shared" si="11"/>
        <v>739.55232511903728</v>
      </c>
      <c r="CD43" s="59">
        <f ca="1">AVERAGE(OFFSET($CC$3,0,0,'Données projet'!$E$12+1,1))-AVERAGE(OFFSET($H$3,0,0,'Données projet'!$E$12+1,1))</f>
        <v>304.32767345253382</v>
      </c>
      <c r="CE43" s="59">
        <f t="shared" si="40"/>
        <v>427.16091343339173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45</v>
      </c>
      <c r="CH43" s="16">
        <f>IF(ISNA(VLOOKUP(A43,'Données projet'!$A$113:$I$133,5,0)),0%,VLOOKUP(A43,'Données projet'!$A$113:$I$133,5,0)*VLOOKUP('Données projet'!$B$12,Paramètres!$A$1:$I$89,7,0))</f>
        <v>0.43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37.116821180595196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37.116821180595196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639</v>
      </c>
      <c r="CR43" s="12">
        <f>VLOOKUP(A43,'Données projet'!$A$139:$I$159,9,0)</f>
        <v>27</v>
      </c>
      <c r="CS43" s="12">
        <f t="array" ref="CS43">INDEX(CR:CR,MIN(IF(ISNUMBER(CR43:CR239),ROW(CR43:CR239),"")))</f>
        <v>27</v>
      </c>
      <c r="CT43" s="12">
        <f>IF('Données projet'!$A$140&gt;35,CT42+CS43-DB42,IF(A43&lt;'Données projet'!$A$140,$CQ$205^A43,IF(A43='Données projet'!$A$140,'Données projet'!$B$140,CT42+CS43-DB42)))</f>
        <v>638.99999999999989</v>
      </c>
      <c r="CU43" s="17">
        <f>CT43*VLOOKUP('Données projet'!$B$13,Paramètres!$A$1:$I$89,3,0)*VLOOKUP('Données projet'!$B$13,Paramètres!$A$1:$I$89,5,0)</f>
        <v>357.20099999999991</v>
      </c>
      <c r="CV43" s="13">
        <f t="shared" si="41"/>
        <v>83.043509879488369</v>
      </c>
      <c r="CW43" s="20">
        <f t="shared" si="13"/>
        <v>766.75918804010871</v>
      </c>
      <c r="CX43" s="59">
        <f t="shared" si="14"/>
        <v>1060.092521373442</v>
      </c>
      <c r="CY43" s="59">
        <f ca="1">AVERAGE(OFFSET($CX$3,0,0,'Données projet'!$E$13+1,1))-AVERAGE(OFFSET($H$3,0,0,'Données projet'!$E$13+1,1))</f>
        <v>555.15881087162279</v>
      </c>
      <c r="CZ43" s="59">
        <f t="shared" si="42"/>
        <v>668.20427590250733</v>
      </c>
      <c r="DA43" s="15">
        <f>IF(ISNA(VLOOKUP(A43,'Données projet'!$A$139:$I$159,3,0)),0,VLOOKUP(A43,'Données projet'!$A$139:$I$159,3,0))</f>
        <v>5</v>
      </c>
      <c r="DB43" s="15">
        <f>IF(ISNA(VLOOKUP(A43,'Données projet'!$A$139:$I$159,4,0)),0,VLOOKUP(A43,'Données projet'!$A$139:$I$159,4,0))</f>
        <v>77</v>
      </c>
      <c r="DC43" s="16">
        <f>IF(ISNA(VLOOKUP(A43,'Données projet'!$A$139:$I$159,5,0)),0%,VLOOKUP(A43,'Données projet'!$A$139:$I$159,5,0)*VLOOKUP('Données projet'!$B$13,Paramètres!$A$1:$I$89,7,0))</f>
        <v>0.55000000000000004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58.001525360476009</v>
      </c>
      <c r="DG43" s="21">
        <f>EXP(-LN(2)/25)*DG42+(1-EXP(-LN(2)/25))/(LN(2)/25)*Calculateur!DB43*Calculateur!DD43*VLOOKUP('Données projet'!$B$13,Paramètres!$A$1:$I$89,3,0)*0.475*44/12</f>
        <v>43.790305088558057</v>
      </c>
      <c r="DH43" s="21">
        <f>EXP(-LN(2)/2)*DH42+(1-EXP(-LN(2)/2))/(LN(2)/2)*DB43*DE43*VLOOKUP('Données projet'!$B$13,Paramètres!$A$1:$I$89,3,0)*0.475*44/12</f>
        <v>2.6577605210589536E-2</v>
      </c>
      <c r="DI43" s="22">
        <f t="shared" si="15"/>
        <v>101.81840805424466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577</v>
      </c>
      <c r="DM43" s="12">
        <f>VLOOKUP(A43,'Données projet'!$A$165:$I$185,9,0)</f>
        <v>32</v>
      </c>
      <c r="DN43" s="12">
        <f t="array" ref="DN43">INDEX(DM:DM,MIN(IF(ISNUMBER(DM43:DM239),ROW(DM43:DM239),"")))</f>
        <v>32</v>
      </c>
      <c r="DO43" s="12">
        <f>IF('Données projet'!$A$166&gt;35,DO42+DN43-DW42,IF(A43&lt;'Données projet'!$A$166,$DL$205^A43,IF(A43='Données projet'!$A$166,'Données projet'!$B$166,DO42+DN43-DW42)))</f>
        <v>577</v>
      </c>
      <c r="DP43" s="17">
        <f>DO43*VLOOKUP('Données projet'!$B$14,Paramètres!$A$1:$I$89,3,0)*VLOOKUP('Données projet'!$B$14,Paramètres!$A$1:$I$89,5,0)</f>
        <v>270.036</v>
      </c>
      <c r="DQ43" s="13">
        <f t="shared" si="43"/>
        <v>64.856909337133416</v>
      </c>
      <c r="DR43" s="20">
        <f t="shared" si="16"/>
        <v>583.27181709550734</v>
      </c>
      <c r="DS43" s="59">
        <f t="shared" si="17"/>
        <v>876.60515042884072</v>
      </c>
      <c r="DT43" s="59">
        <f ca="1">AVERAGE(OFFSET($DS$3,0,0,'Données projet'!$E$14+1,1))-AVERAGE(OFFSET($H$3,0,0,'Données projet'!$E$14+1,1))</f>
        <v>523.79180230463714</v>
      </c>
      <c r="DU43" s="59">
        <f t="shared" si="44"/>
        <v>459.3547783500515</v>
      </c>
      <c r="DV43" s="15">
        <f>IF(ISNA(VLOOKUP(A43,'Données projet'!$A$165:$I$185,3,0)),0,VLOOKUP(A43,'Données projet'!$A$165:$I$185,3,0))</f>
        <v>5</v>
      </c>
      <c r="DW43" s="15">
        <f>IF(ISNA(VLOOKUP(A43,'Données projet'!$A$165:$I$185,4,0)),0,VLOOKUP(A43,'Données projet'!$A$165:$I$185,4,0))</f>
        <v>84</v>
      </c>
      <c r="DX43" s="16">
        <f>IF(ISNA(VLOOKUP(A43,'Données projet'!$A$165:$I$185,5,0)),0%,VLOOKUP(A43,'Données projet'!$A$165:$I$185,5,0)*VLOOKUP('Données projet'!$B$14,Paramètres!$A$1:$I$89,7,0))</f>
        <v>0.55000000000000004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54.660816147831753</v>
      </c>
      <c r="EB43" s="21">
        <f>EXP(-LN(2)/25)*EB42+(1-EXP(-LN(2)/25))/(LN(2)/25)*Calculateur!DW43*Calculateur!DY43*VLOOKUP('Données projet'!$B$14,Paramètres!$A$1:$I$89,3,0)*0.475*44/12</f>
        <v>40.500490303875296</v>
      </c>
      <c r="EC43" s="21">
        <f>EXP(-LN(2)/2)*EC42+(1-EXP(-LN(2)/2))/(LN(2)/2)*DW43*DZ43*VLOOKUP('Données projet'!$B$14,Paramètres!$A$1:$I$89,3,0)*0.475*44/12</f>
        <v>3.7257519040480261E-2</v>
      </c>
      <c r="ED43" s="22">
        <f t="shared" si="18"/>
        <v>95.198563970747529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263</v>
      </c>
      <c r="EH43" s="12">
        <f>VLOOKUP(A43,'Données projet'!$A$191:$I$211,9,0)</f>
        <v>13.2</v>
      </c>
      <c r="EI43" s="12">
        <f t="array" ref="EI43">INDEX(EH:EH,MIN(IF(ISNUMBER(EH43:EH239),ROW(EH43:EH239),"")))</f>
        <v>13.2</v>
      </c>
      <c r="EJ43" s="12">
        <f>IF('Données projet'!$A$192&gt;35,EJ42+EI43-ER42,IF(A43&lt;'Données projet'!$A$192,$EG$205^A43,IF(A43='Données projet'!$A$192,'Données projet'!$B$192,EJ42+EI43-ER42)))</f>
        <v>262.99999999999994</v>
      </c>
      <c r="EK43" s="17">
        <f>EJ43*VLOOKUP('Données projet'!$B$15,Paramètres!$A$1:$I$89,3,0)*VLOOKUP('Données projet'!$B$15,Paramètres!$A$1:$I$89,5,0)</f>
        <v>254.37359999999998</v>
      </c>
      <c r="EL43" s="13">
        <f t="shared" si="45"/>
        <v>61.521534056516209</v>
      </c>
      <c r="EM43" s="20">
        <f t="shared" si="19"/>
        <v>550.1840251484324</v>
      </c>
      <c r="EN43" s="59">
        <f t="shared" si="20"/>
        <v>843.51735848176577</v>
      </c>
      <c r="EO43" s="59">
        <f ca="1">AVERAGE(OFFSET($EN$3,0,0,'Données projet'!$E$15+1,1))-AVERAGE(OFFSET($H$3,0,0,'Données projet'!$E$15+1,1))</f>
        <v>484.41278617935654</v>
      </c>
      <c r="EP43" s="59">
        <f t="shared" si="46"/>
        <v>467.97490540700738</v>
      </c>
      <c r="EQ43" s="15">
        <f>IF(ISNA(VLOOKUP(A43,'Données projet'!$A$191:$I$211,3,0)),0,VLOOKUP(A43,'Données projet'!$A$191:$I$211,3,0))</f>
        <v>7</v>
      </c>
      <c r="ER43" s="15">
        <f>IF(ISNA(VLOOKUP(A43,'Données projet'!$A$191:$I$211,4,0)),0,VLOOKUP(A43,'Données projet'!$A$191:$I$211,4,0))</f>
        <v>40</v>
      </c>
      <c r="ES43" s="16">
        <f>IF(ISNA(VLOOKUP(A43,'Données projet'!$A$191:$I$211,5,0)),0%,VLOOKUP(A43,'Données projet'!$A$191:$I$211,5,0)*VLOOKUP('Données projet'!$B$15,Paramètres!$A$1:$I$89,7,0))</f>
        <v>0.43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35.879906827047201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35.879906827047201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263</v>
      </c>
      <c r="FC43" s="12">
        <f>VLOOKUP(A43,'Données projet'!$A$217:$I$237,9,0)</f>
        <v>13.2</v>
      </c>
      <c r="FD43" s="12">
        <f t="array" ref="FD43">INDEX(FC:FC,MIN(IF(ISNUMBER(FC43:FC239),ROW(FC43:FC239),"")))</f>
        <v>13.2</v>
      </c>
      <c r="FE43" s="12">
        <f>IF('Données projet'!$A$218&gt;35,FE42+FD43-FM42,IF(A43&lt;'Données projet'!$A$218,$FB$205^A43,IF(A43='Données projet'!$A$218,'Données projet'!$B$218,FE42+FD43-FM42)))</f>
        <v>262.99999999999994</v>
      </c>
      <c r="FF43" s="17">
        <f>FE43*VLOOKUP('Données projet'!$B$16,Paramètres!$A$1:$I$89,3,0)*VLOOKUP('Données projet'!$B$16,Paramètres!$A$1:$I$89,5,0)</f>
        <v>283.09319999999991</v>
      </c>
      <c r="FG43" s="13">
        <f t="shared" si="47"/>
        <v>67.620272397048666</v>
      </c>
      <c r="FH43" s="20">
        <f t="shared" si="22"/>
        <v>610.82596442485954</v>
      </c>
      <c r="FI43" s="59">
        <f t="shared" si="23"/>
        <v>904.15929775819291</v>
      </c>
      <c r="FJ43" s="59">
        <f ca="1">AVERAGE(OFFSET($FI$3,0,0,'Données projet'!$E$16+1,1))-AVERAGE(OFFSET($H$3,0,0,'Données projet'!$E$16+1,1))</f>
        <v>534.54020133239135</v>
      </c>
      <c r="FK43" s="59">
        <f t="shared" si="48"/>
        <v>515.48696069008815</v>
      </c>
      <c r="FL43" s="15">
        <f>IF(ISNA(VLOOKUP(A43,'Données projet'!$A$217:$I$237,3,0)),0,VLOOKUP(A43,'Données projet'!$A$217:$I$237,3,0))</f>
        <v>7</v>
      </c>
      <c r="FM43" s="15">
        <f>IF(ISNA(VLOOKUP(A43,'Données projet'!$A$217:$I$237,4,0)),0,VLOOKUP(A43,'Données projet'!$A$217:$I$237,4,0))</f>
        <v>40</v>
      </c>
      <c r="FN43" s="16">
        <f>IF(ISNA(VLOOKUP(A43,'Données projet'!$A$217:$I$237,5,0)),0%,VLOOKUP(A43,'Données projet'!$A$217:$I$237,5,0)*VLOOKUP('Données projet'!$B$16,Paramètres!$A$1:$I$89,7,0))</f>
        <v>0.43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39.930864049455749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39.930864049455749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240</v>
      </c>
      <c r="FX43" s="12">
        <f>VLOOKUP(A43,'Données projet'!$A$243:$I$263,9,0)</f>
        <v>8.1999999999999993</v>
      </c>
      <c r="FY43" s="12">
        <f t="array" ref="FY43">INDEX(FX:FX,MIN(IF(ISNUMBER(FX43:FX239),ROW(FX43:FX239),"")))</f>
        <v>8.1999999999999993</v>
      </c>
      <c r="FZ43" s="12">
        <f>IF('Données projet'!$A$244&gt;35,FZ42+FY43-GH42,IF(A43&lt;'Données projet'!$A$244,$FW$205^A43,IF(A43='Données projet'!$A$244,'Données projet'!$B$244,FZ42+FY43-GH42)))</f>
        <v>239.99999999999994</v>
      </c>
      <c r="GA43" s="17">
        <f>FZ43*VLOOKUP('Données projet'!$B$17,Paramètres!$A$1:$I$89,3,0)*VLOOKUP('Données projet'!$B$17,Paramètres!$A$1:$I$89,5,0)</f>
        <v>228.38399999999993</v>
      </c>
      <c r="GB43" s="13">
        <f t="shared" si="49"/>
        <v>55.933121291087289</v>
      </c>
      <c r="GC43" s="20">
        <f t="shared" si="25"/>
        <v>495.1856529153103</v>
      </c>
      <c r="GD43" s="59">
        <f t="shared" si="26"/>
        <v>788.51898624864361</v>
      </c>
      <c r="GE43" s="59">
        <f ca="1">AVERAGE(OFFSET($GD$3,0,0,'Données projet'!$E$17+1,1))-AVERAGE(OFFSET($H$3,0,0,'Données projet'!$E$17+1,1))</f>
        <v>455.71329051283936</v>
      </c>
      <c r="GF43" s="59">
        <f t="shared" si="50"/>
        <v>479.3743231122258</v>
      </c>
      <c r="GG43" s="15">
        <f>IF(ISNA(VLOOKUP(A43,'Données projet'!$A$243:$I$263,3,0)),0,VLOOKUP(A43,'Données projet'!$A$243:$I$263,3,0))</f>
        <v>7</v>
      </c>
      <c r="GH43" s="15">
        <f>IF(ISNA(VLOOKUP(A43,'Données projet'!$A$243:$I$263,4,0)),0,VLOOKUP(A43,'Données projet'!$A$243:$I$263,4,0))</f>
        <v>31</v>
      </c>
      <c r="GI43" s="16">
        <f>IF(ISNA(VLOOKUP(A43,'Données projet'!$A$243:$I$263,5,0)),0%,VLOOKUP(A43,'Données projet'!$A$243:$I$263,5,0)*VLOOKUP('Données projet'!$B$17,Paramètres!$A$1:$I$89,7,0))</f>
        <v>0.43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26.313694556330372</v>
      </c>
      <c r="GM43" s="21">
        <f>EXP(-LN(2)/25)*GM42+(1-EXP(-LN(2)/25))/(LN(2)/25)*Calculateur!GH43*Calculateur!GJ43*VLOOKUP('Données projet'!$B$17,Paramètres!$A$1:$I$89,3,0)*0.475*44/12</f>
        <v>0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26.313694556330372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>
        <f>VLOOKUP(A43,'Données projet'!$A$269:$I$289,2,0)</f>
        <v>263</v>
      </c>
      <c r="GS43" s="12">
        <f>VLOOKUP(A43,'Données projet'!$A$269:$I$289,9,0)</f>
        <v>13.2</v>
      </c>
      <c r="GT43" s="12">
        <f t="array" ref="GT43">INDEX(GS:GS,MIN(IF(ISNUMBER(GS43:GS239),ROW(GS43:GS239),"")))</f>
        <v>13.2</v>
      </c>
      <c r="GU43" s="12">
        <f>IF('Données projet'!$A$270&gt;35,GU42+GT43-HC42,IF(A43&lt;'Données projet'!$A$270,$GR$205^A43,IF(A43='Données projet'!$A$270,'Données projet'!$B$270,GU42+GT43-HC42)))</f>
        <v>262.99999999999994</v>
      </c>
      <c r="GV43" s="17">
        <f>GU43*VLOOKUP('Données projet'!$B$18,Paramètres!$A$1:$I$89,3,0)*VLOOKUP('Données projet'!$B$18,Paramètres!$A$1:$I$89,5,0)</f>
        <v>213.34559999999996</v>
      </c>
      <c r="GW43" s="13">
        <f t="shared" si="51"/>
        <v>52.666009577179437</v>
      </c>
      <c r="GX43" s="20">
        <f t="shared" si="28"/>
        <v>463.30355334692075</v>
      </c>
      <c r="GY43" s="59">
        <f t="shared" si="29"/>
        <v>756.63688668025407</v>
      </c>
      <c r="GZ43" s="59">
        <f ca="1">AVERAGE(OFFSET($GY$3,0,0,'Données projet'!$E$18+1,1))-AVERAGE(OFFSET($H$3,0,0,'Données projet'!$E$18+1,1))</f>
        <v>412.59676769258488</v>
      </c>
      <c r="HA43" s="59">
        <f t="shared" si="52"/>
        <v>399.90063795152133</v>
      </c>
      <c r="HB43" s="15">
        <f>IF(ISNA(VLOOKUP(A43,'Données projet'!$A$269:$I$289,3,0)),0,VLOOKUP(A43,'Données projet'!$A$269:$I$289,3,0))</f>
        <v>7</v>
      </c>
      <c r="HC43" s="15">
        <f>IF(ISNA(VLOOKUP(A43,'Données projet'!$A$269:$I$289,4,0)),0,VLOOKUP(A43,'Données projet'!$A$269:$I$289,4,0))</f>
        <v>40</v>
      </c>
      <c r="HD43" s="16">
        <f>IF(ISNA(VLOOKUP(A43,'Données projet'!$A$269:$I$289,5,0)),0%,VLOOKUP(A43,'Données projet'!$A$269:$I$289,5,0)*VLOOKUP('Données projet'!$B$18,Paramètres!$A$1:$I$89,7,0))</f>
        <v>0.43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30.092825080749265</v>
      </c>
      <c r="HH43" s="21">
        <f>EXP(-LN(2)/25)*HH42+(1-EXP(-LN(2)/25))/(LN(2)/25)*Calculateur!HC43*Calculateur!HE43*VLOOKUP('Données projet'!$B$18,Paramètres!$A$1:$I$89,3,0)*0.475*44/12</f>
        <v>0</v>
      </c>
      <c r="HI43" s="21">
        <f>EXP(-LN(2)/2)*HI42+(1-EXP(-LN(2)/2))/(LN(2)/2)*HC43*HF43*VLOOKUP('Données projet'!$B$18,Paramètres!$A$1:$I$89,3,0)*0.475*44/12</f>
        <v>0</v>
      </c>
      <c r="HJ43" s="22">
        <f t="shared" si="30"/>
        <v>30.092825080749265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11.4</v>
      </c>
      <c r="N44" s="13">
        <f>IF('Données projet'!$A$36&gt;35,N43+M44-V43,IF(A44&lt;'Données projet'!$A$36,$K$205^A44,IF(A44='Données projet'!$A$36,'Données projet'!$B$36,N43+M44-V43)))</f>
        <v>158.4</v>
      </c>
      <c r="O44" s="13">
        <f>N44*VLOOKUP('Données projet'!$B$9,Paramètres!$A$1:$I$89,3,0)*VLOOKUP('Données projet'!$B$9,Paramètres!$A$1:$I$89,5,0)</f>
        <v>143.32032000000001</v>
      </c>
      <c r="P44" s="13">
        <f t="shared" si="33"/>
        <v>37.056603420232349</v>
      </c>
      <c r="Q44" s="20">
        <f t="shared" si="53"/>
        <v>314.15647495690467</v>
      </c>
      <c r="R44" s="59">
        <f t="shared" si="0"/>
        <v>607.48980829023799</v>
      </c>
      <c r="S44" s="59">
        <f ca="1">AVERAGE(OFFSET($R$3,0,0,'Données projet'!$E$9+1,1))-AVERAGE(OFFSET($H$3,0,0,'Données projet'!$E$9+1,1))</f>
        <v>439.19854273764042</v>
      </c>
      <c r="T44" s="59">
        <f t="shared" si="34"/>
        <v>278.21741231699929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22.500142003728723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22.500142003728723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11.4</v>
      </c>
      <c r="AI44" s="13">
        <f>IF('Données projet'!$A$62&gt;35,AI43+AH44-AQ43,IF(A44&lt;'Données projet'!$A$62,$AF$205^A44,IF(A44='Données projet'!$A$62,'Données projet'!$B$62,AI43+AH44-AQ43)))</f>
        <v>158.4</v>
      </c>
      <c r="AJ44" s="13">
        <f>AI44*VLOOKUP('Données projet'!$B$10,Paramètres!$A$1:$I$89,3,0)*VLOOKUP('Données projet'!$B$10,Paramètres!$A$1:$I$89,5,0)</f>
        <v>160.61760000000001</v>
      </c>
      <c r="AK44" s="13">
        <f t="shared" si="35"/>
        <v>40.981785561145074</v>
      </c>
      <c r="AL44" s="20">
        <f t="shared" si="4"/>
        <v>351.11892985232771</v>
      </c>
      <c r="AM44" s="59">
        <f t="shared" si="5"/>
        <v>644.45226318566097</v>
      </c>
      <c r="AN44" s="59">
        <f ca="1">AVERAGE(OFFSET($AM$3,0,0,'Données projet'!$E$10+1,1))-AVERAGE(OFFSET($H$3,0,0,'Données projet'!$E$10+1,1))</f>
        <v>487.18832528146936</v>
      </c>
      <c r="AO44" s="59">
        <f t="shared" si="36"/>
        <v>306.61893266146666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25.215676383489093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25.215676383489093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7.4</v>
      </c>
      <c r="BD44" s="12">
        <f>IF('Données projet'!$A$88&gt;35,BD43+BC44-BL43,IF(A44&lt;'Données projet'!$A$88,$BA$205^A44,IF(A44='Données projet'!$A$88,'Données projet'!$B$88,BD43+BC44-BL43)))</f>
        <v>348.40000000000032</v>
      </c>
      <c r="BE44" s="13">
        <f>BD44*VLOOKUP('Données projet'!$B$11,Paramètres!$A$1:$I$89,3,0)*VLOOKUP('Données projet'!$B$11,Paramètres!$A$1:$I$89,5,0)</f>
        <v>315.2323200000003</v>
      </c>
      <c r="BF44" s="13">
        <f t="shared" si="37"/>
        <v>74.360480118488482</v>
      </c>
      <c r="BG44" s="20">
        <f t="shared" si="7"/>
        <v>678.54079353970121</v>
      </c>
      <c r="BH44" s="59">
        <f t="shared" si="8"/>
        <v>971.87412687303458</v>
      </c>
      <c r="BI44" s="59">
        <f ca="1">AVERAGE(OFFSET($BH$3,0,0,'Données projet'!$E$11+1,1))-AVERAGE(OFFSET($H$3,0,0,'Données projet'!$E$11+1,1))</f>
        <v>436.23918637269577</v>
      </c>
      <c r="BJ44" s="59">
        <f t="shared" si="38"/>
        <v>611.43967996341894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5.5786130186602776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5.5786130186602776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</v>
      </c>
      <c r="BY44" s="12">
        <f>IF('Données projet'!$A$114&gt;35,BY43+BX44-CG43,IF(A44&lt;'Données projet'!$A$114,$BV$205^A44,IF(A44='Données projet'!$A$114,'Données projet'!$B$114,BY43+BX44-CG43)))</f>
        <v>201.00000000000011</v>
      </c>
      <c r="BZ44" s="13">
        <f>BY44*VLOOKUP('Données projet'!$B$12,Paramètres!$A$1:$I$89,3,0)*VLOOKUP('Données projet'!$B$12,Paramètres!$A$1:$I$89,5,0)</f>
        <v>175.59360000000012</v>
      </c>
      <c r="CA44" s="13">
        <f t="shared" si="39"/>
        <v>44.340433728638573</v>
      </c>
      <c r="CB44" s="20">
        <f t="shared" si="10"/>
        <v>383.05177541071242</v>
      </c>
      <c r="CC44" s="59">
        <f t="shared" si="11"/>
        <v>676.38510874404574</v>
      </c>
      <c r="CD44" s="59">
        <f ca="1">AVERAGE(OFFSET($CC$3,0,0,'Données projet'!$E$12+1,1))-AVERAGE(OFFSET($H$3,0,0,'Données projet'!$E$12+1,1))</f>
        <v>304.32767345253382</v>
      </c>
      <c r="CE44" s="59">
        <f t="shared" si="40"/>
        <v>427.16091343339173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36.388982956269224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36.388982956269224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24.8</v>
      </c>
      <c r="CT44" s="12">
        <f>IF('Données projet'!$A$140&gt;35,CT43+CS44-DB43,IF(A44&lt;'Données projet'!$A$140,$CQ$205^A44,IF(A44='Données projet'!$A$140,'Données projet'!$B$140,CT43+CS44-DB43)))</f>
        <v>586.79999999999984</v>
      </c>
      <c r="CU44" s="17">
        <f>CT44*VLOOKUP('Données projet'!$B$13,Paramètres!$A$1:$I$89,3,0)*VLOOKUP('Données projet'!$B$13,Paramètres!$A$1:$I$89,5,0)</f>
        <v>328.02119999999991</v>
      </c>
      <c r="CV44" s="13">
        <f t="shared" si="41"/>
        <v>77.019907950957702</v>
      </c>
      <c r="CW44" s="20">
        <f t="shared" si="13"/>
        <v>705.44659634791776</v>
      </c>
      <c r="CX44" s="59">
        <f t="shared" si="14"/>
        <v>998.77992968125113</v>
      </c>
      <c r="CY44" s="59">
        <f ca="1">AVERAGE(OFFSET($CX$3,0,0,'Données projet'!$E$13+1,1))-AVERAGE(OFFSET($H$3,0,0,'Données projet'!$E$13+1,1))</f>
        <v>555.15881087162279</v>
      </c>
      <c r="CZ44" s="59">
        <f t="shared" si="42"/>
        <v>668.20427590250733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56.864150825594315</v>
      </c>
      <c r="DG44" s="21">
        <f>EXP(-LN(2)/25)*DG43+(1-EXP(-LN(2)/25))/(LN(2)/25)*Calculateur!DB44*Calculateur!DD44*VLOOKUP('Données projet'!$B$13,Paramètres!$A$1:$I$89,3,0)*0.475*44/12</f>
        <v>42.592856893079379</v>
      </c>
      <c r="DH44" s="21">
        <f>EXP(-LN(2)/2)*DH43+(1-EXP(-LN(2)/2))/(LN(2)/2)*DB44*DE44*VLOOKUP('Données projet'!$B$13,Paramètres!$A$1:$I$89,3,0)*0.475*44/12</f>
        <v>1.879320487210678E-2</v>
      </c>
      <c r="DI44" s="22">
        <f t="shared" si="15"/>
        <v>99.475800923545805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29.8</v>
      </c>
      <c r="DO44" s="12">
        <f>IF('Données projet'!$A$166&gt;35,DO43+DN44-DW43,IF(A44&lt;'Données projet'!$A$166,$DL$205^A44,IF(A44='Données projet'!$A$166,'Données projet'!$B$166,DO43+DN44-DW43)))</f>
        <v>522.79999999999995</v>
      </c>
      <c r="DP44" s="17">
        <f>DO44*VLOOKUP('Données projet'!$B$14,Paramètres!$A$1:$I$89,3,0)*VLOOKUP('Données projet'!$B$14,Paramètres!$A$1:$I$89,5,0)</f>
        <v>244.67039999999997</v>
      </c>
      <c r="DQ44" s="13">
        <f t="shared" si="43"/>
        <v>59.443259875819706</v>
      </c>
      <c r="DR44" s="20">
        <f t="shared" si="16"/>
        <v>529.66462428371926</v>
      </c>
      <c r="DS44" s="59">
        <f t="shared" si="17"/>
        <v>822.99795761705263</v>
      </c>
      <c r="DT44" s="59">
        <f ca="1">AVERAGE(OFFSET($DS$3,0,0,'Données projet'!$E$14+1,1))-AVERAGE(OFFSET($H$3,0,0,'Données projet'!$E$14+1,1))</f>
        <v>523.79180230463714</v>
      </c>
      <c r="DU44" s="59">
        <f t="shared" si="44"/>
        <v>459.3547783500515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53.588950882978587</v>
      </c>
      <c r="EB44" s="21">
        <f>EXP(-LN(2)/25)*EB43+(1-EXP(-LN(2)/25))/(LN(2)/25)*Calculateur!DW44*Calculateur!DY44*VLOOKUP('Données projet'!$B$14,Paramètres!$A$1:$I$89,3,0)*0.475*44/12</f>
        <v>39.393002266687603</v>
      </c>
      <c r="EC44" s="21">
        <f>EXP(-LN(2)/2)*EC43+(1-EXP(-LN(2)/2))/(LN(2)/2)*DW44*DZ44*VLOOKUP('Données projet'!$B$14,Paramètres!$A$1:$I$89,3,0)*0.475*44/12</f>
        <v>2.6345044363710504E-2</v>
      </c>
      <c r="ED44" s="22">
        <f t="shared" si="18"/>
        <v>93.008298194029905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11.4</v>
      </c>
      <c r="EJ44" s="12">
        <f>IF('Données projet'!$A$192&gt;35,EJ43+EI44-ER43,IF(A44&lt;'Données projet'!$A$192,$EG$205^A44,IF(A44='Données projet'!$A$192,'Données projet'!$B$192,EJ43+EI44-ER43)))</f>
        <v>234.39999999999992</v>
      </c>
      <c r="EK44" s="17">
        <f>EJ44*VLOOKUP('Données projet'!$B$15,Paramètres!$A$1:$I$89,3,0)*VLOOKUP('Données projet'!$B$15,Paramètres!$A$1:$I$89,5,0)</f>
        <v>226.71167999999992</v>
      </c>
      <c r="EL44" s="13">
        <f t="shared" si="45"/>
        <v>55.571075070275043</v>
      </c>
      <c r="EM44" s="20">
        <f t="shared" si="19"/>
        <v>491.64246508072887</v>
      </c>
      <c r="EN44" s="59">
        <f t="shared" si="20"/>
        <v>784.97579841406218</v>
      </c>
      <c r="EO44" s="59">
        <f ca="1">AVERAGE(OFFSET($EN$3,0,0,'Données projet'!$E$15+1,1))-AVERAGE(OFFSET($H$3,0,0,'Données projet'!$E$15+1,1))</f>
        <v>484.41278617935654</v>
      </c>
      <c r="EP44" s="59">
        <f t="shared" si="46"/>
        <v>467.97490540700738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35.176323738751044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35.176323738751044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11.4</v>
      </c>
      <c r="FE44" s="12">
        <f>IF('Données projet'!$A$218&gt;35,FE43+FD44-FM43,IF(A44&lt;'Données projet'!$A$218,$FB$205^A44,IF(A44='Données projet'!$A$218,'Données projet'!$B$218,FE43+FD44-FM43)))</f>
        <v>234.39999999999992</v>
      </c>
      <c r="FF44" s="17">
        <f>FE44*VLOOKUP('Données projet'!$B$16,Paramètres!$A$1:$I$89,3,0)*VLOOKUP('Données projet'!$B$16,Paramètres!$A$1:$I$89,5,0)</f>
        <v>252.3081599999999</v>
      </c>
      <c r="FG44" s="13">
        <f t="shared" si="47"/>
        <v>61.079933900816521</v>
      </c>
      <c r="FH44" s="20">
        <f t="shared" si="22"/>
        <v>545.81759687725526</v>
      </c>
      <c r="FI44" s="59">
        <f t="shared" si="23"/>
        <v>839.15093021058851</v>
      </c>
      <c r="FJ44" s="59">
        <f ca="1">AVERAGE(OFFSET($FI$3,0,0,'Données projet'!$E$16+1,1))-AVERAGE(OFFSET($H$3,0,0,'Données projet'!$E$16+1,1))</f>
        <v>534.54020133239135</v>
      </c>
      <c r="FK44" s="59">
        <f t="shared" si="48"/>
        <v>515.48696069008815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39.147844160868097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39.147844160868097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7.6</v>
      </c>
      <c r="FZ44" s="12">
        <f>IF('Données projet'!$A$244&gt;35,FZ43+FY44-GH43,IF(A44&lt;'Données projet'!$A$244,$FW$205^A44,IF(A44='Données projet'!$A$244,'Données projet'!$B$244,FZ43+FY44-GH43)))</f>
        <v>216.59999999999994</v>
      </c>
      <c r="GA44" s="17">
        <f>FZ44*VLOOKUP('Données projet'!$B$17,Paramètres!$A$1:$I$89,3,0)*VLOOKUP('Données projet'!$B$17,Paramètres!$A$1:$I$89,5,0)</f>
        <v>206.11655999999994</v>
      </c>
      <c r="GB44" s="13">
        <f t="shared" si="49"/>
        <v>51.086036652420376</v>
      </c>
      <c r="GC44" s="20">
        <f t="shared" si="25"/>
        <v>447.96118916963201</v>
      </c>
      <c r="GD44" s="59">
        <f t="shared" si="26"/>
        <v>741.29452250296526</v>
      </c>
      <c r="GE44" s="59">
        <f ca="1">AVERAGE(OFFSET($GD$3,0,0,'Données projet'!$E$17+1,1))-AVERAGE(OFFSET($H$3,0,0,'Données projet'!$E$17+1,1))</f>
        <v>455.71329051283936</v>
      </c>
      <c r="GF44" s="59">
        <f t="shared" si="50"/>
        <v>479.3743231122258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25.79769905584963</v>
      </c>
      <c r="GM44" s="21">
        <f>EXP(-LN(2)/25)*GM43+(1-EXP(-LN(2)/25))/(LN(2)/25)*Calculateur!GH44*Calculateur!GJ44*VLOOKUP('Données projet'!$B$17,Paramètres!$A$1:$I$89,3,0)*0.475*44/12</f>
        <v>0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25.79769905584963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11.4</v>
      </c>
      <c r="GU44" s="12">
        <f>IF('Données projet'!$A$270&gt;35,GU43+GT44-HC43,IF(A44&lt;'Données projet'!$A$270,$GR$205^A44,IF(A44='Données projet'!$A$270,'Données projet'!$B$270,GU43+GT44-HC43)))</f>
        <v>234.39999999999992</v>
      </c>
      <c r="GV44" s="17">
        <f>GU44*VLOOKUP('Données projet'!$B$18,Paramètres!$A$1:$I$89,3,0)*VLOOKUP('Données projet'!$B$18,Paramètres!$A$1:$I$89,5,0)</f>
        <v>190.14527999999996</v>
      </c>
      <c r="GW44" s="13">
        <f t="shared" si="51"/>
        <v>47.572070767557179</v>
      </c>
      <c r="GX44" s="20">
        <f t="shared" si="28"/>
        <v>414.02438592016205</v>
      </c>
      <c r="GY44" s="59">
        <f t="shared" si="29"/>
        <v>707.35771925349536</v>
      </c>
      <c r="GZ44" s="59">
        <f ca="1">AVERAGE(OFFSET($GY$3,0,0,'Données projet'!$E$18+1,1))-AVERAGE(OFFSET($H$3,0,0,'Données projet'!$E$18+1,1))</f>
        <v>412.59676769258488</v>
      </c>
      <c r="HA44" s="59">
        <f t="shared" si="52"/>
        <v>399.90063795152133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29.502723135726683</v>
      </c>
      <c r="HH44" s="21">
        <f>EXP(-LN(2)/25)*HH43+(1-EXP(-LN(2)/25))/(LN(2)/25)*Calculateur!HC44*Calculateur!HE44*VLOOKUP('Données projet'!$B$18,Paramètres!$A$1:$I$89,3,0)*0.475*44/12</f>
        <v>0</v>
      </c>
      <c r="HI44" s="21">
        <f>EXP(-LN(2)/2)*HI43+(1-EXP(-LN(2)/2))/(LN(2)/2)*HC44*HF44*VLOOKUP('Données projet'!$B$18,Paramètres!$A$1:$I$89,3,0)*0.475*44/12</f>
        <v>0</v>
      </c>
      <c r="HJ44" s="22">
        <f t="shared" si="30"/>
        <v>29.502723135726683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11.4</v>
      </c>
      <c r="N45" s="13">
        <f>IF('Données projet'!$A$36&gt;35,N44+M45-V44,IF(A45&lt;'Données projet'!$A$36,$K$205^A45,IF(A45='Données projet'!$A$36,'Données projet'!$B$36,N44+M45-V44)))</f>
        <v>169.8</v>
      </c>
      <c r="O45" s="13">
        <f>N45*VLOOKUP('Données projet'!$B$9,Paramètres!$A$1:$I$89,3,0)*VLOOKUP('Données projet'!$B$9,Paramètres!$A$1:$I$89,5,0)</f>
        <v>153.63504</v>
      </c>
      <c r="P45" s="13">
        <f t="shared" si="33"/>
        <v>39.403506785222667</v>
      </c>
      <c r="Q45" s="20">
        <f t="shared" si="53"/>
        <v>336.20880231759617</v>
      </c>
      <c r="R45" s="59">
        <f t="shared" si="0"/>
        <v>629.54213565092948</v>
      </c>
      <c r="S45" s="59">
        <f ca="1">AVERAGE(OFFSET($R$3,0,0,'Données projet'!$E$9+1,1))-AVERAGE(OFFSET($H$3,0,0,'Données projet'!$E$9+1,1))</f>
        <v>439.19854273764042</v>
      </c>
      <c r="T45" s="59">
        <f t="shared" si="34"/>
        <v>278.21741231699929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22.05892794276712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22.05892794276712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11.4</v>
      </c>
      <c r="AI45" s="13">
        <f>IF('Données projet'!$A$62&gt;35,AI44+AH45-AQ44,IF(A45&lt;'Données projet'!$A$62,$AF$205^A45,IF(A45='Données projet'!$A$62,'Données projet'!$B$62,AI44+AH45-AQ44)))</f>
        <v>169.8</v>
      </c>
      <c r="AJ45" s="13">
        <f>AI45*VLOOKUP('Données projet'!$B$10,Paramètres!$A$1:$I$89,3,0)*VLOOKUP('Données projet'!$B$10,Paramètres!$A$1:$I$89,5,0)</f>
        <v>172.1772</v>
      </c>
      <c r="AK45" s="13">
        <f t="shared" si="35"/>
        <v>43.577282221917017</v>
      </c>
      <c r="AL45" s="20">
        <f t="shared" si="4"/>
        <v>375.77238986983883</v>
      </c>
      <c r="AM45" s="59">
        <f t="shared" si="5"/>
        <v>669.10572320317215</v>
      </c>
      <c r="AN45" s="59">
        <f ca="1">AVERAGE(OFFSET($AM$3,0,0,'Données projet'!$E$10+1,1))-AVERAGE(OFFSET($H$3,0,0,'Données projet'!$E$10+1,1))</f>
        <v>487.18832528146936</v>
      </c>
      <c r="AO45" s="59">
        <f t="shared" si="36"/>
        <v>306.61893266146666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24.721212349652813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24.721212349652813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7.4</v>
      </c>
      <c r="BD45" s="12">
        <f>IF('Données projet'!$A$88&gt;35,BD44+BC45-BL44,IF(A45&lt;'Données projet'!$A$88,$BA$205^A45,IF(A45='Données projet'!$A$88,'Données projet'!$B$88,BD44+BC45-BL44)))</f>
        <v>355.8000000000003</v>
      </c>
      <c r="BE45" s="13">
        <f>BD45*VLOOKUP('Données projet'!$B$11,Paramètres!$A$1:$I$89,3,0)*VLOOKUP('Données projet'!$B$11,Paramètres!$A$1:$I$89,5,0)</f>
        <v>321.92784000000023</v>
      </c>
      <c r="BF45" s="13">
        <f t="shared" si="37"/>
        <v>75.754337936715828</v>
      </c>
      <c r="BG45" s="20">
        <f t="shared" si="7"/>
        <v>692.6297932397805</v>
      </c>
      <c r="BH45" s="59">
        <f t="shared" si="8"/>
        <v>985.96312657311387</v>
      </c>
      <c r="BI45" s="59">
        <f ca="1">AVERAGE(OFFSET($BH$3,0,0,'Données projet'!$E$11+1,1))-AVERAGE(OFFSET($H$3,0,0,'Données projet'!$E$11+1,1))</f>
        <v>436.23918637269577</v>
      </c>
      <c r="BJ45" s="59">
        <f t="shared" si="38"/>
        <v>611.43967996341894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5.4692198199823103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5.4692198199823103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</v>
      </c>
      <c r="BY45" s="12">
        <f>IF('Données projet'!$A$114&gt;35,BY44+BX45-CG44,IF(A45&lt;'Données projet'!$A$114,$BV$205^A45,IF(A45='Données projet'!$A$114,'Données projet'!$B$114,BY44+BX45-CG44)))</f>
        <v>212.00000000000011</v>
      </c>
      <c r="BZ45" s="13">
        <f>BY45*VLOOKUP('Données projet'!$B$12,Paramètres!$A$1:$I$89,3,0)*VLOOKUP('Données projet'!$B$12,Paramètres!$A$1:$I$89,5,0)</f>
        <v>185.20320000000012</v>
      </c>
      <c r="CA45" s="13">
        <f t="shared" si="39"/>
        <v>46.477875402099386</v>
      </c>
      <c r="CB45" s="20">
        <f t="shared" si="10"/>
        <v>403.51120632532326</v>
      </c>
      <c r="CC45" s="59">
        <f t="shared" si="11"/>
        <v>696.84453965865657</v>
      </c>
      <c r="CD45" s="59">
        <f ca="1">AVERAGE(OFFSET($CC$3,0,0,'Données projet'!$E$12+1,1))-AVERAGE(OFFSET($H$3,0,0,'Données projet'!$E$12+1,1))</f>
        <v>304.32767345253382</v>
      </c>
      <c r="CE45" s="59">
        <f t="shared" si="40"/>
        <v>427.16091343339173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35.675417195584807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35.675417195584807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24.8</v>
      </c>
      <c r="CT45" s="12">
        <f>IF('Données projet'!$A$140&gt;35,CT44+CS45-DB44,IF(A45&lt;'Données projet'!$A$140,$CQ$205^A45,IF(A45='Données projet'!$A$140,'Données projet'!$B$140,CT44+CS45-DB44)))</f>
        <v>611.5999999999998</v>
      </c>
      <c r="CU45" s="17">
        <f>CT45*VLOOKUP('Données projet'!$B$13,Paramètres!$A$1:$I$89,3,0)*VLOOKUP('Données projet'!$B$13,Paramètres!$A$1:$I$89,5,0)</f>
        <v>341.88439999999986</v>
      </c>
      <c r="CV45" s="13">
        <f t="shared" si="41"/>
        <v>79.889150066970018</v>
      </c>
      <c r="CW45" s="20">
        <f t="shared" si="13"/>
        <v>734.58893303330581</v>
      </c>
      <c r="CX45" s="59">
        <f t="shared" si="14"/>
        <v>1027.9222663666392</v>
      </c>
      <c r="CY45" s="59">
        <f ca="1">AVERAGE(OFFSET($CX$3,0,0,'Données projet'!$E$13+1,1))-AVERAGE(OFFSET($H$3,0,0,'Données projet'!$E$13+1,1))</f>
        <v>555.15881087162279</v>
      </c>
      <c r="CZ45" s="59">
        <f t="shared" si="42"/>
        <v>668.20427590250733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55.749079511611683</v>
      </c>
      <c r="DG45" s="21">
        <f>EXP(-LN(2)/25)*DG44+(1-EXP(-LN(2)/25))/(LN(2)/25)*Calculateur!DB45*Calculateur!DD45*VLOOKUP('Données projet'!$B$13,Paramètres!$A$1:$I$89,3,0)*0.475*44/12</f>
        <v>41.428152981477126</v>
      </c>
      <c r="DH45" s="21">
        <f>EXP(-LN(2)/2)*DH44+(1-EXP(-LN(2)/2))/(LN(2)/2)*DB45*DE45*VLOOKUP('Données projet'!$B$13,Paramètres!$A$1:$I$89,3,0)*0.475*44/12</f>
        <v>1.3288802605294768E-2</v>
      </c>
      <c r="DI45" s="22">
        <f t="shared" si="15"/>
        <v>97.190521295694097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29.8</v>
      </c>
      <c r="DO45" s="12">
        <f>IF('Données projet'!$A$166&gt;35,DO44+DN45-DW44,IF(A45&lt;'Données projet'!$A$166,$DL$205^A45,IF(A45='Données projet'!$A$166,'Données projet'!$B$166,DO44+DN45-DW44)))</f>
        <v>552.59999999999991</v>
      </c>
      <c r="DP45" s="17">
        <f>DO45*VLOOKUP('Données projet'!$B$14,Paramètres!$A$1:$I$89,3,0)*VLOOKUP('Données projet'!$B$14,Paramètres!$A$1:$I$89,5,0)</f>
        <v>258.61679999999996</v>
      </c>
      <c r="DQ45" s="13">
        <f t="shared" si="43"/>
        <v>62.427444141032439</v>
      </c>
      <c r="DR45" s="20">
        <f t="shared" si="16"/>
        <v>559.15205854563135</v>
      </c>
      <c r="DS45" s="59">
        <f t="shared" si="17"/>
        <v>852.48539187896472</v>
      </c>
      <c r="DT45" s="59">
        <f ca="1">AVERAGE(OFFSET($DS$3,0,0,'Données projet'!$E$14+1,1))-AVERAGE(OFFSET($H$3,0,0,'Données projet'!$E$14+1,1))</f>
        <v>523.79180230463714</v>
      </c>
      <c r="DU45" s="59">
        <f t="shared" si="44"/>
        <v>459.3547783500515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52.538104242195935</v>
      </c>
      <c r="EB45" s="21">
        <f>EXP(-LN(2)/25)*EB44+(1-EXP(-LN(2)/25))/(LN(2)/25)*Calculateur!DW45*Calculateur!DY45*VLOOKUP('Données projet'!$B$14,Paramètres!$A$1:$I$89,3,0)*0.475*44/12</f>
        <v>38.315798548117073</v>
      </c>
      <c r="EC45" s="21">
        <f>EXP(-LN(2)/2)*EC44+(1-EXP(-LN(2)/2))/(LN(2)/2)*DW45*DZ45*VLOOKUP('Données projet'!$B$14,Paramètres!$A$1:$I$89,3,0)*0.475*44/12</f>
        <v>1.862875952024013E-2</v>
      </c>
      <c r="ED45" s="22">
        <f t="shared" si="18"/>
        <v>90.872531549833255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11.4</v>
      </c>
      <c r="EJ45" s="12">
        <f>IF('Données projet'!$A$192&gt;35,EJ44+EI45-ER44,IF(A45&lt;'Données projet'!$A$192,$EG$205^A45,IF(A45='Données projet'!$A$192,'Données projet'!$B$192,EJ44+EI45-ER44)))</f>
        <v>245.79999999999993</v>
      </c>
      <c r="EK45" s="17">
        <f>EJ45*VLOOKUP('Données projet'!$B$15,Paramètres!$A$1:$I$89,3,0)*VLOOKUP('Données projet'!$B$15,Paramètres!$A$1:$I$89,5,0)</f>
        <v>237.73775999999995</v>
      </c>
      <c r="EL45" s="13">
        <f t="shared" si="45"/>
        <v>57.952530566790166</v>
      </c>
      <c r="EM45" s="20">
        <f t="shared" si="19"/>
        <v>514.99392273715944</v>
      </c>
      <c r="EN45" s="59">
        <f t="shared" si="20"/>
        <v>808.32725607049269</v>
      </c>
      <c r="EO45" s="59">
        <f ca="1">AVERAGE(OFFSET($EN$3,0,0,'Données projet'!$E$15+1,1))-AVERAGE(OFFSET($H$3,0,0,'Données projet'!$E$15+1,1))</f>
        <v>484.41278617935654</v>
      </c>
      <c r="EP45" s="59">
        <f t="shared" si="46"/>
        <v>467.97490540700738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34.486537485673068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34.486537485673068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11.4</v>
      </c>
      <c r="FE45" s="12">
        <f>IF('Données projet'!$A$218&gt;35,FE44+FD45-FM44,IF(A45&lt;'Données projet'!$A$218,$FB$205^A45,IF(A45='Données projet'!$A$218,'Données projet'!$B$218,FE44+FD45-FM44)))</f>
        <v>245.79999999999993</v>
      </c>
      <c r="FF45" s="17">
        <f>FE45*VLOOKUP('Données projet'!$B$16,Paramètres!$A$1:$I$89,3,0)*VLOOKUP('Données projet'!$B$16,Paramètres!$A$1:$I$89,5,0)</f>
        <v>264.57911999999993</v>
      </c>
      <c r="FG45" s="13">
        <f t="shared" si="47"/>
        <v>63.697467287221869</v>
      </c>
      <c r="FH45" s="20">
        <f t="shared" si="22"/>
        <v>571.74838952524453</v>
      </c>
      <c r="FI45" s="59">
        <f t="shared" si="23"/>
        <v>865.0817228585779</v>
      </c>
      <c r="FJ45" s="59">
        <f ca="1">AVERAGE(OFFSET($FI$3,0,0,'Données projet'!$E$16+1,1))-AVERAGE(OFFSET($H$3,0,0,'Données projet'!$E$16+1,1))</f>
        <v>534.54020133239135</v>
      </c>
      <c r="FK45" s="59">
        <f t="shared" si="48"/>
        <v>515.48696069008815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38.38017881470067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38.38017881470067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7.6</v>
      </c>
      <c r="FZ45" s="12">
        <f>IF('Données projet'!$A$244&gt;35,FZ44+FY45-GH44,IF(A45&lt;'Données projet'!$A$244,$FW$205^A45,IF(A45='Données projet'!$A$244,'Données projet'!$B$244,FZ44+FY45-GH44)))</f>
        <v>224.19999999999993</v>
      </c>
      <c r="GA45" s="17">
        <f>FZ45*VLOOKUP('Données projet'!$B$17,Paramètres!$A$1:$I$89,3,0)*VLOOKUP('Données projet'!$B$17,Paramètres!$A$1:$I$89,5,0)</f>
        <v>213.34871999999993</v>
      </c>
      <c r="GB45" s="13">
        <f t="shared" si="49"/>
        <v>52.666690121877572</v>
      </c>
      <c r="GC45" s="20">
        <f t="shared" si="25"/>
        <v>463.31017262893664</v>
      </c>
      <c r="GD45" s="59">
        <f t="shared" si="26"/>
        <v>756.64350596226996</v>
      </c>
      <c r="GE45" s="59">
        <f ca="1">AVERAGE(OFFSET($GD$3,0,0,'Données projet'!$E$17+1,1))-AVERAGE(OFFSET($H$3,0,0,'Données projet'!$E$17+1,1))</f>
        <v>455.71329051283936</v>
      </c>
      <c r="GF45" s="59">
        <f t="shared" si="50"/>
        <v>479.3743231122258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25.291821912407137</v>
      </c>
      <c r="GM45" s="21">
        <f>EXP(-LN(2)/25)*GM44+(1-EXP(-LN(2)/25))/(LN(2)/25)*Calculateur!GH45*Calculateur!GJ45*VLOOKUP('Données projet'!$B$17,Paramètres!$A$1:$I$89,3,0)*0.475*44/12</f>
        <v>0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25.291821912407137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11.4</v>
      </c>
      <c r="GU45" s="12">
        <f>IF('Données projet'!$A$270&gt;35,GU44+GT45-HC44,IF(A45&lt;'Données projet'!$A$270,$GR$205^A45,IF(A45='Données projet'!$A$270,'Données projet'!$B$270,GU44+GT45-HC44)))</f>
        <v>245.79999999999993</v>
      </c>
      <c r="GV45" s="17">
        <f>GU45*VLOOKUP('Données projet'!$B$18,Paramètres!$A$1:$I$89,3,0)*VLOOKUP('Données projet'!$B$18,Paramètres!$A$1:$I$89,5,0)</f>
        <v>199.39295999999993</v>
      </c>
      <c r="GW45" s="13">
        <f t="shared" si="51"/>
        <v>49.610735113473389</v>
      </c>
      <c r="GX45" s="20">
        <f t="shared" si="28"/>
        <v>433.68143565596597</v>
      </c>
      <c r="GY45" s="59">
        <f t="shared" si="29"/>
        <v>727.01476898929923</v>
      </c>
      <c r="GZ45" s="59">
        <f ca="1">AVERAGE(OFFSET($GY$3,0,0,'Données projet'!$E$18+1,1))-AVERAGE(OFFSET($H$3,0,0,'Données projet'!$E$18+1,1))</f>
        <v>412.59676769258488</v>
      </c>
      <c r="HA45" s="59">
        <f t="shared" si="52"/>
        <v>399.90063795152133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28.924192729919348</v>
      </c>
      <c r="HH45" s="21">
        <f>EXP(-LN(2)/25)*HH44+(1-EXP(-LN(2)/25))/(LN(2)/25)*Calculateur!HC45*Calculateur!HE45*VLOOKUP('Données projet'!$B$18,Paramètres!$A$1:$I$89,3,0)*0.475*44/12</f>
        <v>0</v>
      </c>
      <c r="HI45" s="21">
        <f>EXP(-LN(2)/2)*HI44+(1-EXP(-LN(2)/2))/(LN(2)/2)*HC45*HF45*VLOOKUP('Données projet'!$B$18,Paramètres!$A$1:$I$89,3,0)*0.475*44/12</f>
        <v>0</v>
      </c>
      <c r="HJ45" s="22">
        <f t="shared" si="30"/>
        <v>28.924192729919348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11.4</v>
      </c>
      <c r="N46" s="13">
        <f>IF('Données projet'!$A$36&gt;35,N45+M46-V45,IF(A46&lt;'Données projet'!$A$36,$K$205^A46,IF(A46='Données projet'!$A$36,'Données projet'!$B$36,N45+M46-V45)))</f>
        <v>181.20000000000002</v>
      </c>
      <c r="O46" s="13">
        <f>N46*VLOOKUP('Données projet'!$B$9,Paramètres!$A$1:$I$89,3,0)*VLOOKUP('Données projet'!$B$9,Paramètres!$A$1:$I$89,5,0)</f>
        <v>163.94976</v>
      </c>
      <c r="P46" s="13">
        <f t="shared" si="33"/>
        <v>41.732126457893308</v>
      </c>
      <c r="Q46" s="20">
        <f t="shared" si="53"/>
        <v>358.22928558083089</v>
      </c>
      <c r="R46" s="59">
        <f t="shared" si="0"/>
        <v>651.5626189141642</v>
      </c>
      <c r="S46" s="59">
        <f ca="1">AVERAGE(OFFSET($R$3,0,0,'Données projet'!$E$9+1,1))-AVERAGE(OFFSET($H$3,0,0,'Données projet'!$E$9+1,1))</f>
        <v>439.19854273764042</v>
      </c>
      <c r="T46" s="59">
        <f t="shared" si="34"/>
        <v>278.21741231699929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21.626365820426969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21.626365820426969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11.4</v>
      </c>
      <c r="AI46" s="13">
        <f>IF('Données projet'!$A$62&gt;35,AI45+AH46-AQ45,IF(A46&lt;'Données projet'!$A$62,$AF$205^A46,IF(A46='Données projet'!$A$62,'Données projet'!$B$62,AI45+AH46-AQ45)))</f>
        <v>181.20000000000002</v>
      </c>
      <c r="AJ46" s="13">
        <f>AI46*VLOOKUP('Données projet'!$B$10,Paramètres!$A$1:$I$89,3,0)*VLOOKUP('Données projet'!$B$10,Paramètres!$A$1:$I$89,5,0)</f>
        <v>183.73680000000002</v>
      </c>
      <c r="AK46" s="13">
        <f t="shared" si="35"/>
        <v>46.152558509293854</v>
      </c>
      <c r="AL46" s="20">
        <f t="shared" si="4"/>
        <v>400.3906327370201</v>
      </c>
      <c r="AM46" s="59">
        <f t="shared" si="5"/>
        <v>693.72396607035341</v>
      </c>
      <c r="AN46" s="59">
        <f ca="1">AVERAGE(OFFSET($AM$3,0,0,'Données projet'!$E$10+1,1))-AVERAGE(OFFSET($H$3,0,0,'Données projet'!$E$10+1,1))</f>
        <v>487.18832528146936</v>
      </c>
      <c r="AO46" s="59">
        <f t="shared" si="36"/>
        <v>306.61893266146666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24.236444453926783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24.236444453926783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7.4</v>
      </c>
      <c r="BD46" s="12">
        <f>IF('Données projet'!$A$88&gt;35,BD45+BC46-BL45,IF(A46&lt;'Données projet'!$A$88,$BA$205^A46,IF(A46='Données projet'!$A$88,'Données projet'!$B$88,BD45+BC46-BL45)))</f>
        <v>363.20000000000027</v>
      </c>
      <c r="BE46" s="13">
        <f>BD46*VLOOKUP('Données projet'!$B$11,Paramètres!$A$1:$I$89,3,0)*VLOOKUP('Données projet'!$B$11,Paramètres!$A$1:$I$89,5,0)</f>
        <v>328.62336000000022</v>
      </c>
      <c r="BF46" s="13">
        <f t="shared" si="37"/>
        <v>77.144825174157688</v>
      </c>
      <c r="BG46" s="20">
        <f t="shared" si="7"/>
        <v>706.71292251165823</v>
      </c>
      <c r="BH46" s="59">
        <f t="shared" si="8"/>
        <v>1000.0462558449915</v>
      </c>
      <c r="BI46" s="59">
        <f ca="1">AVERAGE(OFFSET($BH$3,0,0,'Données projet'!$E$11+1,1))-AVERAGE(OFFSET($H$3,0,0,'Données projet'!$E$11+1,1))</f>
        <v>436.23918637269577</v>
      </c>
      <c r="BJ46" s="59">
        <f t="shared" si="38"/>
        <v>611.43967996341894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5.3619717552071551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5.3619717552071551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</v>
      </c>
      <c r="BY46" s="12">
        <f>IF('Données projet'!$A$114&gt;35,BY45+BX46-CG45,IF(A46&lt;'Données projet'!$A$114,$BV$205^A46,IF(A46='Données projet'!$A$114,'Données projet'!$B$114,BY45+BX46-CG45)))</f>
        <v>223.00000000000011</v>
      </c>
      <c r="BZ46" s="13">
        <f>BY46*VLOOKUP('Données projet'!$B$12,Paramètres!$A$1:$I$89,3,0)*VLOOKUP('Données projet'!$B$12,Paramètres!$A$1:$I$89,5,0)</f>
        <v>194.81280000000012</v>
      </c>
      <c r="CA46" s="13">
        <f t="shared" si="39"/>
        <v>48.602440540253902</v>
      </c>
      <c r="CB46" s="20">
        <f t="shared" si="10"/>
        <v>423.9482106076091</v>
      </c>
      <c r="CC46" s="59">
        <f t="shared" si="11"/>
        <v>717.28154394094236</v>
      </c>
      <c r="CD46" s="59">
        <f ca="1">AVERAGE(OFFSET($CC$3,0,0,'Données projet'!$E$12+1,1))-AVERAGE(OFFSET($H$3,0,0,'Données projet'!$E$12+1,1))</f>
        <v>304.32767345253382</v>
      </c>
      <c r="CE46" s="59">
        <f t="shared" si="40"/>
        <v>427.16091343339173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34.975844024235272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34.975844024235272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24.8</v>
      </c>
      <c r="CT46" s="12">
        <f>IF('Données projet'!$A$140&gt;35,CT45+CS46-DB45,IF(A46&lt;'Données projet'!$A$140,$CQ$205^A46,IF(A46='Données projet'!$A$140,'Données projet'!$B$140,CT45+CS46-DB45)))</f>
        <v>636.39999999999975</v>
      </c>
      <c r="CU46" s="17">
        <f>CT46*VLOOKUP('Données projet'!$B$13,Paramètres!$A$1:$I$89,3,0)*VLOOKUP('Données projet'!$B$13,Paramètres!$A$1:$I$89,5,0)</f>
        <v>355.74759999999986</v>
      </c>
      <c r="CV46" s="13">
        <f t="shared" si="41"/>
        <v>82.744877508992289</v>
      </c>
      <c r="CW46" s="20">
        <f t="shared" si="13"/>
        <v>763.70773166149456</v>
      </c>
      <c r="CX46" s="59">
        <f t="shared" si="14"/>
        <v>1057.0410649948278</v>
      </c>
      <c r="CY46" s="59">
        <f ca="1">AVERAGE(OFFSET($CX$3,0,0,'Données projet'!$E$13+1,1))-AVERAGE(OFFSET($H$3,0,0,'Données projet'!$E$13+1,1))</f>
        <v>555.15881087162279</v>
      </c>
      <c r="CZ46" s="59">
        <f t="shared" si="42"/>
        <v>668.20427590250733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54.655874065969904</v>
      </c>
      <c r="DG46" s="21">
        <f>EXP(-LN(2)/25)*DG45+(1-EXP(-LN(2)/25))/(LN(2)/25)*Calculateur!DB46*Calculateur!DD46*VLOOKUP('Données projet'!$B$13,Paramètres!$A$1:$I$89,3,0)*0.475*44/12</f>
        <v>40.295297959586755</v>
      </c>
      <c r="DH46" s="21">
        <f>EXP(-LN(2)/2)*DH45+(1-EXP(-LN(2)/2))/(LN(2)/2)*DB46*DE46*VLOOKUP('Données projet'!$B$13,Paramètres!$A$1:$I$89,3,0)*0.475*44/12</f>
        <v>9.39660243605339E-3</v>
      </c>
      <c r="DI46" s="22">
        <f t="shared" si="15"/>
        <v>94.960568627992714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29.8</v>
      </c>
      <c r="DO46" s="12">
        <f>IF('Données projet'!$A$166&gt;35,DO45+DN46-DW45,IF(A46&lt;'Données projet'!$A$166,$DL$205^A46,IF(A46='Données projet'!$A$166,'Données projet'!$B$166,DO45+DN46-DW45)))</f>
        <v>582.39999999999986</v>
      </c>
      <c r="DP46" s="17">
        <f>DO46*VLOOKUP('Données projet'!$B$14,Paramètres!$A$1:$I$89,3,0)*VLOOKUP('Données projet'!$B$14,Paramètres!$A$1:$I$89,5,0)</f>
        <v>272.56319999999994</v>
      </c>
      <c r="DQ46" s="13">
        <f t="shared" si="43"/>
        <v>65.392945522034609</v>
      </c>
      <c r="DR46" s="20">
        <f t="shared" si="16"/>
        <v>588.60695345087686</v>
      </c>
      <c r="DS46" s="59">
        <f t="shared" si="17"/>
        <v>881.94028678421023</v>
      </c>
      <c r="DT46" s="59">
        <f ca="1">AVERAGE(OFFSET($DS$3,0,0,'Données projet'!$E$14+1,1))-AVERAGE(OFFSET($H$3,0,0,'Données projet'!$E$14+1,1))</f>
        <v>523.79180230463714</v>
      </c>
      <c r="DU46" s="59">
        <f t="shared" si="44"/>
        <v>459.3547783500515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51.507864063085869</v>
      </c>
      <c r="EB46" s="21">
        <f>EXP(-LN(2)/25)*EB45+(1-EXP(-LN(2)/25))/(LN(2)/25)*Calculateur!DW46*Calculateur!DY46*VLOOKUP('Données projet'!$B$14,Paramètres!$A$1:$I$89,3,0)*0.475*44/12</f>
        <v>37.268051021878534</v>
      </c>
      <c r="EC46" s="21">
        <f>EXP(-LN(2)/2)*EC45+(1-EXP(-LN(2)/2))/(LN(2)/2)*DW46*DZ46*VLOOKUP('Données projet'!$B$14,Paramètres!$A$1:$I$89,3,0)*0.475*44/12</f>
        <v>1.3172522181855252E-2</v>
      </c>
      <c r="ED46" s="22">
        <f t="shared" si="18"/>
        <v>88.789087607146257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11.4</v>
      </c>
      <c r="EJ46" s="12">
        <f>IF('Données projet'!$A$192&gt;35,EJ45+EI46-ER45,IF(A46&lt;'Données projet'!$A$192,$EG$205^A46,IF(A46='Données projet'!$A$192,'Données projet'!$B$192,EJ45+EI46-ER45)))</f>
        <v>257.19999999999993</v>
      </c>
      <c r="EK46" s="17">
        <f>EJ46*VLOOKUP('Données projet'!$B$15,Paramètres!$A$1:$I$89,3,0)*VLOOKUP('Données projet'!$B$15,Paramètres!$A$1:$I$89,5,0)</f>
        <v>248.76383999999996</v>
      </c>
      <c r="EL46" s="13">
        <f t="shared" si="45"/>
        <v>60.321159476515668</v>
      </c>
      <c r="EM46" s="20">
        <f t="shared" si="19"/>
        <v>538.32304075493141</v>
      </c>
      <c r="EN46" s="59">
        <f t="shared" si="20"/>
        <v>831.65637408826478</v>
      </c>
      <c r="EO46" s="59">
        <f ca="1">AVERAGE(OFFSET($EN$3,0,0,'Données projet'!$E$15+1,1))-AVERAGE(OFFSET($H$3,0,0,'Données projet'!$E$15+1,1))</f>
        <v>484.41278617935654</v>
      </c>
      <c r="EP46" s="59">
        <f t="shared" si="46"/>
        <v>467.97490540700738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33.81027752028988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33.81027752028988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11.4</v>
      </c>
      <c r="FE46" s="12">
        <f>IF('Données projet'!$A$218&gt;35,FE45+FD46-FM45,IF(A46&lt;'Données projet'!$A$218,$FB$205^A46,IF(A46='Données projet'!$A$218,'Données projet'!$B$218,FE45+FD46-FM45)))</f>
        <v>257.19999999999993</v>
      </c>
      <c r="FF46" s="17">
        <f>FE46*VLOOKUP('Données projet'!$B$16,Paramètres!$A$1:$I$89,3,0)*VLOOKUP('Données projet'!$B$16,Paramètres!$A$1:$I$89,5,0)</f>
        <v>276.85007999999988</v>
      </c>
      <c r="FG46" s="13">
        <f t="shared" si="47"/>
        <v>66.300902564632594</v>
      </c>
      <c r="FH46" s="20">
        <f t="shared" si="22"/>
        <v>597.65462796673489</v>
      </c>
      <c r="FI46" s="59">
        <f t="shared" si="23"/>
        <v>890.98796130006826</v>
      </c>
      <c r="FJ46" s="59">
        <f ca="1">AVERAGE(OFFSET($FI$3,0,0,'Données projet'!$E$16+1,1))-AVERAGE(OFFSET($H$3,0,0,'Données projet'!$E$16+1,1))</f>
        <v>534.54020133239135</v>
      </c>
      <c r="FK46" s="59">
        <f t="shared" si="48"/>
        <v>515.48696069008815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37.627566917741959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37.627566917741959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7.6</v>
      </c>
      <c r="FZ46" s="12">
        <f>IF('Données projet'!$A$244&gt;35,FZ45+FY46-GH45,IF(A46&lt;'Données projet'!$A$244,$FW$205^A46,IF(A46='Données projet'!$A$244,'Données projet'!$B$244,FZ45+FY46-GH45)))</f>
        <v>231.79999999999993</v>
      </c>
      <c r="GA46" s="17">
        <f>FZ46*VLOOKUP('Données projet'!$B$17,Paramètres!$A$1:$I$89,3,0)*VLOOKUP('Données projet'!$B$17,Paramètres!$A$1:$I$89,5,0)</f>
        <v>220.58087999999992</v>
      </c>
      <c r="GB46" s="13">
        <f t="shared" si="49"/>
        <v>54.241117736670112</v>
      </c>
      <c r="GC46" s="20">
        <f t="shared" si="25"/>
        <v>478.64831272470025</v>
      </c>
      <c r="GD46" s="59">
        <f t="shared" si="26"/>
        <v>771.98164605803356</v>
      </c>
      <c r="GE46" s="59">
        <f ca="1">AVERAGE(OFFSET($GD$3,0,0,'Données projet'!$E$17+1,1))-AVERAGE(OFFSET($H$3,0,0,'Données projet'!$E$17+1,1))</f>
        <v>455.71329051283936</v>
      </c>
      <c r="GF46" s="59">
        <f t="shared" si="50"/>
        <v>479.3743231122258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24.795864711192962</v>
      </c>
      <c r="GM46" s="21">
        <f>EXP(-LN(2)/25)*GM45+(1-EXP(-LN(2)/25))/(LN(2)/25)*Calculateur!GH46*Calculateur!GJ46*VLOOKUP('Données projet'!$B$17,Paramètres!$A$1:$I$89,3,0)*0.475*44/12</f>
        <v>0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24.795864711192962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11.4</v>
      </c>
      <c r="GU46" s="12">
        <f>IF('Données projet'!$A$270&gt;35,GU45+GT46-HC45,IF(A46&lt;'Données projet'!$A$270,$GR$205^A46,IF(A46='Données projet'!$A$270,'Données projet'!$B$270,GU45+GT46-HC45)))</f>
        <v>257.19999999999993</v>
      </c>
      <c r="GV46" s="17">
        <f>GU46*VLOOKUP('Données projet'!$B$18,Paramètres!$A$1:$I$89,3,0)*VLOOKUP('Données projet'!$B$18,Paramètres!$A$1:$I$89,5,0)</f>
        <v>208.64063999999996</v>
      </c>
      <c r="GW46" s="13">
        <f t="shared" si="51"/>
        <v>51.638419155451118</v>
      </c>
      <c r="GX46" s="20">
        <f t="shared" si="28"/>
        <v>453.31936136241058</v>
      </c>
      <c r="GY46" s="59">
        <f t="shared" si="29"/>
        <v>746.65269469574389</v>
      </c>
      <c r="GZ46" s="59">
        <f ca="1">AVERAGE(OFFSET($GY$3,0,0,'Données projet'!$E$18+1,1))-AVERAGE(OFFSET($H$3,0,0,'Données projet'!$E$18+1,1))</f>
        <v>412.59676769258488</v>
      </c>
      <c r="HA46" s="59">
        <f t="shared" si="52"/>
        <v>399.90063795152133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28.357006952501191</v>
      </c>
      <c r="HH46" s="21">
        <f>EXP(-LN(2)/25)*HH45+(1-EXP(-LN(2)/25))/(LN(2)/25)*Calculateur!HC46*Calculateur!HE46*VLOOKUP('Données projet'!$B$18,Paramètres!$A$1:$I$89,3,0)*0.475*44/12</f>
        <v>0</v>
      </c>
      <c r="HI46" s="21">
        <f>EXP(-LN(2)/2)*HI45+(1-EXP(-LN(2)/2))/(LN(2)/2)*HC46*HF46*VLOOKUP('Données projet'!$B$18,Paramètres!$A$1:$I$89,3,0)*0.475*44/12</f>
        <v>0</v>
      </c>
      <c r="HJ46" s="22">
        <f t="shared" si="30"/>
        <v>28.357006952501191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11.4</v>
      </c>
      <c r="N47" s="13">
        <f>IF('Données projet'!$A$36&gt;35,N46+M47-V46,IF(A47&lt;'Données projet'!$A$36,$K$205^A47,IF(A47='Données projet'!$A$36,'Données projet'!$B$36,N46+M47-V46)))</f>
        <v>192.60000000000002</v>
      </c>
      <c r="O47" s="13">
        <f>N47*VLOOKUP('Données projet'!$B$9,Paramètres!$A$1:$I$89,3,0)*VLOOKUP('Données projet'!$B$9,Paramètres!$A$1:$I$89,5,0)</f>
        <v>174.26447999999999</v>
      </c>
      <c r="P47" s="13">
        <f t="shared" si="33"/>
        <v>44.043743683739521</v>
      </c>
      <c r="Q47" s="20">
        <f t="shared" si="53"/>
        <v>380.22015624917964</v>
      </c>
      <c r="R47" s="59">
        <f t="shared" si="0"/>
        <v>673.55348958251295</v>
      </c>
      <c r="S47" s="59">
        <f ca="1">AVERAGE(OFFSET($R$3,0,0,'Données projet'!$E$9+1,1))-AVERAGE(OFFSET($H$3,0,0,'Données projet'!$E$9+1,1))</f>
        <v>439.19854273764042</v>
      </c>
      <c r="T47" s="59">
        <f t="shared" si="34"/>
        <v>278.21741231699929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21.202285977469064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21.202285977469064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11.4</v>
      </c>
      <c r="AI47" s="13">
        <f>IF('Données projet'!$A$62&gt;35,AI46+AH47-AQ46,IF(A47&lt;'Données projet'!$A$62,$AF$205^A47,IF(A47='Données projet'!$A$62,'Données projet'!$B$62,AI46+AH47-AQ46)))</f>
        <v>192.60000000000002</v>
      </c>
      <c r="AJ47" s="13">
        <f>AI47*VLOOKUP('Données projet'!$B$10,Paramètres!$A$1:$I$89,3,0)*VLOOKUP('Données projet'!$B$10,Paramètres!$A$1:$I$89,5,0)</f>
        <v>195.29640000000003</v>
      </c>
      <c r="AK47" s="13">
        <f t="shared" si="35"/>
        <v>48.709031383366153</v>
      </c>
      <c r="AL47" s="20">
        <f t="shared" si="4"/>
        <v>424.97612632602949</v>
      </c>
      <c r="AM47" s="59">
        <f t="shared" si="5"/>
        <v>718.3094596593628</v>
      </c>
      <c r="AN47" s="59">
        <f ca="1">AVERAGE(OFFSET($AM$3,0,0,'Données projet'!$E$10+1,1))-AVERAGE(OFFSET($H$3,0,0,'Données projet'!$E$10+1,1))</f>
        <v>487.18832528146936</v>
      </c>
      <c r="AO47" s="59">
        <f t="shared" si="36"/>
        <v>306.61893266146666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23.761182560956719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23.761182560956719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7.4</v>
      </c>
      <c r="BD47" s="12">
        <f>IF('Données projet'!$A$88&gt;35,BD46+BC47-BL46,IF(A47&lt;'Données projet'!$A$88,$BA$205^A47,IF(A47='Données projet'!$A$88,'Données projet'!$B$88,BD46+BC47-BL46)))</f>
        <v>370.60000000000025</v>
      </c>
      <c r="BE47" s="13">
        <f>BD47*VLOOKUP('Données projet'!$B$11,Paramètres!$A$1:$I$89,3,0)*VLOOKUP('Données projet'!$B$11,Paramètres!$A$1:$I$89,5,0)</f>
        <v>335.31888000000021</v>
      </c>
      <c r="BF47" s="13">
        <f t="shared" si="37"/>
        <v>78.532018418019703</v>
      </c>
      <c r="BG47" s="20">
        <f t="shared" si="7"/>
        <v>720.7903147447181</v>
      </c>
      <c r="BH47" s="59">
        <f t="shared" si="8"/>
        <v>1014.1236480780515</v>
      </c>
      <c r="BI47" s="59">
        <f ca="1">AVERAGE(OFFSET($BH$3,0,0,'Données projet'!$E$11+1,1))-AVERAGE(OFFSET($H$3,0,0,'Données projet'!$E$11+1,1))</f>
        <v>436.23918637269577</v>
      </c>
      <c r="BJ47" s="59">
        <f t="shared" si="38"/>
        <v>611.43967996341894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5.2568267595673808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5.2568267595673808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</v>
      </c>
      <c r="BY47" s="12">
        <f>IF('Données projet'!$A$114&gt;35,BY46+BX47-CG46,IF(A47&lt;'Données projet'!$A$114,$BV$205^A47,IF(A47='Données projet'!$A$114,'Données projet'!$B$114,BY46+BX47-CG46)))</f>
        <v>234.00000000000011</v>
      </c>
      <c r="BZ47" s="13">
        <f>BY47*VLOOKUP('Données projet'!$B$12,Paramètres!$A$1:$I$89,3,0)*VLOOKUP('Données projet'!$B$12,Paramètres!$A$1:$I$89,5,0)</f>
        <v>204.42240000000012</v>
      </c>
      <c r="CA47" s="13">
        <f t="shared" si="39"/>
        <v>50.714836797527312</v>
      </c>
      <c r="CB47" s="20">
        <f t="shared" si="10"/>
        <v>444.36402075569362</v>
      </c>
      <c r="CC47" s="59">
        <f t="shared" si="11"/>
        <v>737.69735408902693</v>
      </c>
      <c r="CD47" s="59">
        <f ca="1">AVERAGE(OFFSET($CC$3,0,0,'Données projet'!$E$12+1,1))-AVERAGE(OFFSET($H$3,0,0,'Données projet'!$E$12+1,1))</f>
        <v>304.32767345253382</v>
      </c>
      <c r="CE47" s="59">
        <f t="shared" si="40"/>
        <v>427.16091343339173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34.289989056078397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34.289989056078397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24.8</v>
      </c>
      <c r="CT47" s="12">
        <f>IF('Données projet'!$A$140&gt;35,CT46+CS47-DB46,IF(A47&lt;'Données projet'!$A$140,$CQ$205^A47,IF(A47='Données projet'!$A$140,'Données projet'!$B$140,CT46+CS47-DB46)))</f>
        <v>661.1999999999997</v>
      </c>
      <c r="CU47" s="17">
        <f>CT47*VLOOKUP('Données projet'!$B$13,Paramètres!$A$1:$I$89,3,0)*VLOOKUP('Données projet'!$B$13,Paramètres!$A$1:$I$89,5,0)</f>
        <v>369.61079999999981</v>
      </c>
      <c r="CV47" s="13">
        <f t="shared" si="41"/>
        <v>85.587677206936931</v>
      </c>
      <c r="CW47" s="20">
        <f t="shared" si="13"/>
        <v>792.80401446874805</v>
      </c>
      <c r="CX47" s="59">
        <f t="shared" si="14"/>
        <v>1086.1373478020814</v>
      </c>
      <c r="CY47" s="59">
        <f ca="1">AVERAGE(OFFSET($CX$3,0,0,'Données projet'!$E$13+1,1))-AVERAGE(OFFSET($H$3,0,0,'Données projet'!$E$13+1,1))</f>
        <v>555.15881087162279</v>
      </c>
      <c r="CZ47" s="59">
        <f t="shared" si="42"/>
        <v>668.20427590250733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53.584105712327677</v>
      </c>
      <c r="DG47" s="21">
        <f>EXP(-LN(2)/25)*DG46+(1-EXP(-LN(2)/25))/(LN(2)/25)*Calculateur!DB47*Calculateur!DD47*VLOOKUP('Données projet'!$B$13,Paramètres!$A$1:$I$89,3,0)*0.475*44/12</f>
        <v>39.193420917844229</v>
      </c>
      <c r="DH47" s="21">
        <f>EXP(-LN(2)/2)*DH46+(1-EXP(-LN(2)/2))/(LN(2)/2)*DB47*DE47*VLOOKUP('Données projet'!$B$13,Paramètres!$A$1:$I$89,3,0)*0.475*44/12</f>
        <v>6.644401302647384E-3</v>
      </c>
      <c r="DI47" s="22">
        <f t="shared" si="15"/>
        <v>92.784171031474557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29.8</v>
      </c>
      <c r="DO47" s="12">
        <f>IF('Données projet'!$A$166&gt;35,DO46+DN47-DW46,IF(A47&lt;'Données projet'!$A$166,$DL$205^A47,IF(A47='Données projet'!$A$166,'Données projet'!$B$166,DO46+DN47-DW46)))</f>
        <v>612.19999999999982</v>
      </c>
      <c r="DP47" s="17">
        <f>DO47*VLOOKUP('Données projet'!$B$14,Paramètres!$A$1:$I$89,3,0)*VLOOKUP('Données projet'!$B$14,Paramètres!$A$1:$I$89,5,0)</f>
        <v>286.50959999999992</v>
      </c>
      <c r="DQ47" s="13">
        <f t="shared" si="43"/>
        <v>68.340829030902981</v>
      </c>
      <c r="DR47" s="20">
        <f t="shared" si="16"/>
        <v>618.03116389548916</v>
      </c>
      <c r="DS47" s="59">
        <f t="shared" si="17"/>
        <v>911.36449722882253</v>
      </c>
      <c r="DT47" s="59">
        <f ca="1">AVERAGE(OFFSET($DS$3,0,0,'Données projet'!$E$14+1,1))-AVERAGE(OFFSET($H$3,0,0,'Données projet'!$E$14+1,1))</f>
        <v>523.79180230463714</v>
      </c>
      <c r="DU47" s="59">
        <f t="shared" si="44"/>
        <v>459.3547783500515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50.49782626550369</v>
      </c>
      <c r="EB47" s="21">
        <f>EXP(-LN(2)/25)*EB46+(1-EXP(-LN(2)/25))/(LN(2)/25)*Calculateur!DW47*Calculateur!DY47*VLOOKUP('Données projet'!$B$14,Paramètres!$A$1:$I$89,3,0)*0.475*44/12</f>
        <v>36.248954206843642</v>
      </c>
      <c r="EC47" s="21">
        <f>EXP(-LN(2)/2)*EC46+(1-EXP(-LN(2)/2))/(LN(2)/2)*DW47*DZ47*VLOOKUP('Données projet'!$B$14,Paramètres!$A$1:$I$89,3,0)*0.475*44/12</f>
        <v>9.3143797601200652E-3</v>
      </c>
      <c r="ED47" s="22">
        <f t="shared" si="18"/>
        <v>86.756094852107452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11.4</v>
      </c>
      <c r="EJ47" s="12">
        <f>IF('Données projet'!$A$192&gt;35,EJ46+EI47-ER46,IF(A47&lt;'Données projet'!$A$192,$EG$205^A47,IF(A47='Données projet'!$A$192,'Données projet'!$B$192,EJ46+EI47-ER46)))</f>
        <v>268.59999999999991</v>
      </c>
      <c r="EK47" s="17">
        <f>EJ47*VLOOKUP('Données projet'!$B$15,Paramètres!$A$1:$I$89,3,0)*VLOOKUP('Données projet'!$B$15,Paramètres!$A$1:$I$89,5,0)</f>
        <v>259.78991999999994</v>
      </c>
      <c r="EL47" s="13">
        <f t="shared" si="45"/>
        <v>62.677595283221279</v>
      </c>
      <c r="EM47" s="20">
        <f t="shared" si="19"/>
        <v>561.63092245161022</v>
      </c>
      <c r="EN47" s="59">
        <f t="shared" si="20"/>
        <v>854.96425578494359</v>
      </c>
      <c r="EO47" s="59">
        <f ca="1">AVERAGE(OFFSET($EN$3,0,0,'Données projet'!$E$15+1,1))-AVERAGE(OFFSET($H$3,0,0,'Données projet'!$E$15+1,1))</f>
        <v>484.41278617935654</v>
      </c>
      <c r="EP47" s="59">
        <f t="shared" si="46"/>
        <v>467.97490540700738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33.147278600350006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33.147278600350006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11.4</v>
      </c>
      <c r="FE47" s="12">
        <f>IF('Données projet'!$A$218&gt;35,FE46+FD47-FM46,IF(A47&lt;'Données projet'!$A$218,$FB$205^A47,IF(A47='Données projet'!$A$218,'Données projet'!$B$218,FE46+FD47-FM46)))</f>
        <v>268.59999999999991</v>
      </c>
      <c r="FF47" s="17">
        <f>FE47*VLOOKUP('Données projet'!$B$16,Paramètres!$A$1:$I$89,3,0)*VLOOKUP('Données projet'!$B$16,Paramètres!$A$1:$I$89,5,0)</f>
        <v>289.12103999999988</v>
      </c>
      <c r="FG47" s="13">
        <f t="shared" si="47"/>
        <v>68.890936015183641</v>
      </c>
      <c r="FH47" s="20">
        <f t="shared" si="22"/>
        <v>623.53752489311125</v>
      </c>
      <c r="FI47" s="59">
        <f t="shared" si="23"/>
        <v>916.87085822644462</v>
      </c>
      <c r="FJ47" s="59">
        <f ca="1">AVERAGE(OFFSET($FI$3,0,0,'Données projet'!$E$16+1,1))-AVERAGE(OFFSET($H$3,0,0,'Données projet'!$E$16+1,1))</f>
        <v>534.54020133239135</v>
      </c>
      <c r="FK47" s="59">
        <f t="shared" si="48"/>
        <v>515.48696069008815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36.88971328103468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36.88971328103468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7.6</v>
      </c>
      <c r="FZ47" s="12">
        <f>IF('Données projet'!$A$244&gt;35,FZ46+FY47-GH46,IF(A47&lt;'Données projet'!$A$244,$FW$205^A47,IF(A47='Données projet'!$A$244,'Données projet'!$B$244,FZ46+FY47-GH46)))</f>
        <v>239.39999999999992</v>
      </c>
      <c r="GA47" s="17">
        <f>FZ47*VLOOKUP('Données projet'!$B$17,Paramètres!$A$1:$I$89,3,0)*VLOOKUP('Données projet'!$B$17,Paramètres!$A$1:$I$89,5,0)</f>
        <v>227.81303999999992</v>
      </c>
      <c r="GB47" s="13">
        <f t="shared" si="49"/>
        <v>55.809547031971519</v>
      </c>
      <c r="GC47" s="20">
        <f t="shared" si="25"/>
        <v>493.9760057473502</v>
      </c>
      <c r="GD47" s="59">
        <f t="shared" si="26"/>
        <v>787.30933908068346</v>
      </c>
      <c r="GE47" s="59">
        <f ca="1">AVERAGE(OFFSET($GD$3,0,0,'Données projet'!$E$17+1,1))-AVERAGE(OFFSET($H$3,0,0,'Données projet'!$E$17+1,1))</f>
        <v>455.71329051283936</v>
      </c>
      <c r="GF47" s="59">
        <f t="shared" si="50"/>
        <v>479.3743231122258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24.309632928190574</v>
      </c>
      <c r="GM47" s="21">
        <f>EXP(-LN(2)/25)*GM46+(1-EXP(-LN(2)/25))/(LN(2)/25)*Calculateur!GH47*Calculateur!GJ47*VLOOKUP('Données projet'!$B$17,Paramètres!$A$1:$I$89,3,0)*0.475*44/12</f>
        <v>0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24.309632928190574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11.4</v>
      </c>
      <c r="GU47" s="12">
        <f>IF('Données projet'!$A$270&gt;35,GU46+GT47-HC46,IF(A47&lt;'Données projet'!$A$270,$GR$205^A47,IF(A47='Données projet'!$A$270,'Données projet'!$B$270,GU46+GT47-HC46)))</f>
        <v>268.59999999999991</v>
      </c>
      <c r="GV47" s="17">
        <f>GU47*VLOOKUP('Données projet'!$B$18,Paramètres!$A$1:$I$89,3,0)*VLOOKUP('Données projet'!$B$18,Paramètres!$A$1:$I$89,5,0)</f>
        <v>217.88831999999996</v>
      </c>
      <c r="GW47" s="13">
        <f t="shared" si="51"/>
        <v>53.655665192423463</v>
      </c>
      <c r="GX47" s="20">
        <f t="shared" si="28"/>
        <v>472.93910754347075</v>
      </c>
      <c r="GY47" s="59">
        <f t="shared" si="29"/>
        <v>766.27244087680401</v>
      </c>
      <c r="GZ47" s="59">
        <f ca="1">AVERAGE(OFFSET($GY$3,0,0,'Données projet'!$E$18+1,1))-AVERAGE(OFFSET($H$3,0,0,'Données projet'!$E$18+1,1))</f>
        <v>412.59676769258488</v>
      </c>
      <c r="HA47" s="59">
        <f t="shared" si="52"/>
        <v>399.90063795152133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27.80094334222904</v>
      </c>
      <c r="HH47" s="21">
        <f>EXP(-LN(2)/25)*HH46+(1-EXP(-LN(2)/25))/(LN(2)/25)*Calculateur!HC47*Calculateur!HE47*VLOOKUP('Données projet'!$B$18,Paramètres!$A$1:$I$89,3,0)*0.475*44/12</f>
        <v>0</v>
      </c>
      <c r="HI47" s="21">
        <f>EXP(-LN(2)/2)*HI46+(1-EXP(-LN(2)/2))/(LN(2)/2)*HC47*HF47*VLOOKUP('Données projet'!$B$18,Paramètres!$A$1:$I$89,3,0)*0.475*44/12</f>
        <v>0</v>
      </c>
      <c r="HJ47" s="22">
        <f t="shared" si="30"/>
        <v>27.80094334222904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204</v>
      </c>
      <c r="L48" s="12">
        <f>VLOOKUP(A48,'Données projet'!$A$35:$I$55,9,0)</f>
        <v>11.4</v>
      </c>
      <c r="M48" s="12">
        <f t="array" ref="M48">INDEX(L:L,MIN(IF(ISNUMBER(L48:L244),ROW(L48:L244),"")))</f>
        <v>11.4</v>
      </c>
      <c r="N48" s="13">
        <f>IF('Données projet'!$A$36&gt;35,N47+M48-V47,IF(A48&lt;'Données projet'!$A$36,$K$205^A48,IF(A48='Données projet'!$A$36,'Données projet'!$B$36,N47+M48-V47)))</f>
        <v>204.00000000000003</v>
      </c>
      <c r="O48" s="13">
        <f>N48*VLOOKUP('Données projet'!$B$9,Paramètres!$A$1:$I$89,3,0)*VLOOKUP('Données projet'!$B$9,Paramètres!$A$1:$I$89,5,0)</f>
        <v>184.57920000000001</v>
      </c>
      <c r="P48" s="13">
        <f t="shared" si="33"/>
        <v>46.339479465836661</v>
      </c>
      <c r="Q48" s="20">
        <f t="shared" si="53"/>
        <v>402.18336673633218</v>
      </c>
      <c r="R48" s="59">
        <f t="shared" si="0"/>
        <v>695.51670006966549</v>
      </c>
      <c r="S48" s="59">
        <f ca="1">AVERAGE(OFFSET($R$3,0,0,'Données projet'!$E$9+1,1))-AVERAGE(OFFSET($H$3,0,0,'Données projet'!$E$9+1,1))</f>
        <v>439.19854273764042</v>
      </c>
      <c r="T48" s="59">
        <f t="shared" si="34"/>
        <v>278.21741231699929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28</v>
      </c>
      <c r="W48" s="16">
        <f>IF(ISNA(VLOOKUP(A48,'Données projet'!$A$35:$I$55,5,0)),0%,VLOOKUP(A48,'Données projet'!$A$35:$I$55,5,0)*VLOOKUP('Données projet'!$B$9,Paramètres!$A$1:$I$89,7,0))</f>
        <v>0.43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32.829286458361416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32.829286458361416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204</v>
      </c>
      <c r="AG48" s="12">
        <f>VLOOKUP(A48,'Données projet'!$A$61:$I$81,9,0)</f>
        <v>11.4</v>
      </c>
      <c r="AH48" s="12">
        <f t="array" ref="AH48">INDEX(AG:AG,MIN(IF(ISNUMBER(AG48:AG244),ROW(AG48:AG244),"")))</f>
        <v>11.4</v>
      </c>
      <c r="AI48" s="13">
        <f>IF('Données projet'!$A$62&gt;35,AI47+AH48-AQ47,IF(A48&lt;'Données projet'!$A$62,$AF$205^A48,IF(A48='Données projet'!$A$62,'Données projet'!$B$62,AI47+AH48-AQ47)))</f>
        <v>204.00000000000003</v>
      </c>
      <c r="AJ48" s="13">
        <f>AI48*VLOOKUP('Données projet'!$B$10,Paramètres!$A$1:$I$89,3,0)*VLOOKUP('Données projet'!$B$10,Paramètres!$A$1:$I$89,5,0)</f>
        <v>206.85600000000005</v>
      </c>
      <c r="AK48" s="13">
        <f t="shared" si="35"/>
        <v>51.247940588293027</v>
      </c>
      <c r="AL48" s="20">
        <f t="shared" si="4"/>
        <v>449.53102985794379</v>
      </c>
      <c r="AM48" s="59">
        <f t="shared" si="5"/>
        <v>742.86436319127711</v>
      </c>
      <c r="AN48" s="59">
        <f ca="1">AVERAGE(OFFSET($AM$3,0,0,'Données projet'!$E$10+1,1))-AVERAGE(OFFSET($H$3,0,0,'Données projet'!$E$10+1,1))</f>
        <v>487.18832528146936</v>
      </c>
      <c r="AO48" s="59">
        <f t="shared" si="36"/>
        <v>306.61893266146666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28</v>
      </c>
      <c r="AR48" s="16">
        <f>IF(ISNA(VLOOKUP(A48,'Données projet'!$A$61:$I$81,5,0)),0%,VLOOKUP(A48,'Données projet'!$A$61:$I$81,5,0)*VLOOKUP('Données projet'!$B$10,Paramètres!$A$1:$I$89,7,0))</f>
        <v>0.43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36.79144172057746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36.79144172057746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378</v>
      </c>
      <c r="BB48" s="12">
        <f>VLOOKUP(A48,'Données projet'!$A$87:$I$107,9,0)</f>
        <v>7.4</v>
      </c>
      <c r="BC48" s="12">
        <f t="array" ref="BC48">INDEX(BB:BB,MIN(IF(ISNUMBER(BB48:BB244),ROW(BB48:BB244),"")))</f>
        <v>7.4</v>
      </c>
      <c r="BD48" s="12">
        <f>IF('Données projet'!$A$88&gt;35,BD47+BC48-BL47,IF(A48&lt;'Données projet'!$A$88,$BA$205^A48,IF(A48='Données projet'!$A$88,'Données projet'!$B$88,BD47+BC48-BL47)))</f>
        <v>378.00000000000023</v>
      </c>
      <c r="BE48" s="13">
        <f>BD48*VLOOKUP('Données projet'!$B$11,Paramètres!$A$1:$I$89,3,0)*VLOOKUP('Données projet'!$B$11,Paramètres!$A$1:$I$89,5,0)</f>
        <v>342.01440000000019</v>
      </c>
      <c r="BF48" s="13">
        <f t="shared" si="37"/>
        <v>79.9159910220867</v>
      </c>
      <c r="BG48" s="20">
        <f t="shared" si="7"/>
        <v>734.86209769680136</v>
      </c>
      <c r="BH48" s="59">
        <f t="shared" si="8"/>
        <v>1028.1954310301346</v>
      </c>
      <c r="BI48" s="59">
        <f ca="1">AVERAGE(OFFSET($BH$3,0,0,'Données projet'!$E$11+1,1))-AVERAGE(OFFSET($H$3,0,0,'Données projet'!$E$11+1,1))</f>
        <v>436.23918637269577</v>
      </c>
      <c r="BJ48" s="59">
        <f t="shared" si="38"/>
        <v>611.43967996341894</v>
      </c>
      <c r="BK48" s="15">
        <f>IF(ISNA(VLOOKUP(A48,'Données projet'!$A$87:$I$107,3,0)),0,VLOOKUP(A48,'Données projet'!$A$87:$I$107,3,0))</f>
        <v>9</v>
      </c>
      <c r="BL48" s="15">
        <f>IF(ISNA(VLOOKUP(A48,'Données projet'!$A$87:$I$107,4,0)),0,VLOOKUP(A48,'Données projet'!$A$87:$I$107,4,0))</f>
        <v>9</v>
      </c>
      <c r="BM48" s="16">
        <f>IF(ISNA(VLOOKUP(A48,'Données projet'!$A$87:$I$107,5,0)),0%,VLOOKUP(A48,'Données projet'!$A$87:$I$107,5,0)*VLOOKUP('Données projet'!$B$11,Paramètres!$A$1:$I$89,7,0))</f>
        <v>0.3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7.8543635115438022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7.8543635115438022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245</v>
      </c>
      <c r="BW48" s="12">
        <f>VLOOKUP(A48,'Données projet'!$A$113:$I$133,9,0)</f>
        <v>11</v>
      </c>
      <c r="BX48" s="12">
        <f t="array" ref="BX48">INDEX(BW:BW,MIN(IF(ISNUMBER(BW48:BW244),ROW(BW48:BW244),"")))</f>
        <v>11</v>
      </c>
      <c r="BY48" s="12">
        <f>IF('Données projet'!$A$114&gt;35,BY47+BX48-CG47,IF(A48&lt;'Données projet'!$A$114,$BV$205^A48,IF(A48='Données projet'!$A$114,'Données projet'!$B$114,BY47+BX48-CG47)))</f>
        <v>245.00000000000011</v>
      </c>
      <c r="BZ48" s="13">
        <f>BY48*VLOOKUP('Données projet'!$B$12,Paramètres!$A$1:$I$89,3,0)*VLOOKUP('Données projet'!$B$12,Paramètres!$A$1:$I$89,5,0)</f>
        <v>214.03200000000012</v>
      </c>
      <c r="CA48" s="13">
        <f t="shared" si="39"/>
        <v>52.815701536972284</v>
      </c>
      <c r="CB48" s="20">
        <f t="shared" si="10"/>
        <v>464.75974684356021</v>
      </c>
      <c r="CC48" s="59">
        <f t="shared" si="11"/>
        <v>758.09308017689352</v>
      </c>
      <c r="CD48" s="59">
        <f ca="1">AVERAGE(OFFSET($CC$3,0,0,'Données projet'!$E$12+1,1))-AVERAGE(OFFSET($H$3,0,0,'Données projet'!$E$12+1,1))</f>
        <v>304.32767345253382</v>
      </c>
      <c r="CE48" s="59">
        <f t="shared" si="40"/>
        <v>427.16091343339173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41</v>
      </c>
      <c r="CH48" s="16">
        <f>IF(ISNA(VLOOKUP(A48,'Données projet'!$A$113:$I$133,5,0)),0%,VLOOKUP(A48,'Données projet'!$A$113:$I$133,5,0)*VLOOKUP('Données projet'!$B$12,Paramètres!$A$1:$I$89,7,0))</f>
        <v>0.43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50.6435605078794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50.6435605078794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686</v>
      </c>
      <c r="CR48" s="12">
        <f>VLOOKUP(A48,'Données projet'!$A$139:$I$159,9,0)</f>
        <v>24.8</v>
      </c>
      <c r="CS48" s="12">
        <f t="array" ref="CS48">INDEX(CR:CR,MIN(IF(ISNUMBER(CR48:CR244),ROW(CR48:CR244),"")))</f>
        <v>24.8</v>
      </c>
      <c r="CT48" s="12">
        <f>IF('Données projet'!$A$140&gt;35,CT47+CS48-DB47,IF(A48&lt;'Données projet'!$A$140,$CQ$205^A48,IF(A48='Données projet'!$A$140,'Données projet'!$B$140,CT47+CS48-DB47)))</f>
        <v>685.99999999999966</v>
      </c>
      <c r="CU48" s="17">
        <f>CT48*VLOOKUP('Données projet'!$B$13,Paramètres!$A$1:$I$89,3,0)*VLOOKUP('Données projet'!$B$13,Paramètres!$A$1:$I$89,5,0)</f>
        <v>383.47399999999982</v>
      </c>
      <c r="CV48" s="13">
        <f t="shared" si="41"/>
        <v>88.418089567872116</v>
      </c>
      <c r="CW48" s="20">
        <f t="shared" si="13"/>
        <v>821.87872266404372</v>
      </c>
      <c r="CX48" s="59">
        <f t="shared" si="14"/>
        <v>1115.2120559973771</v>
      </c>
      <c r="CY48" s="59">
        <f ca="1">AVERAGE(OFFSET($CX$3,0,0,'Données projet'!$E$13+1,1))-AVERAGE(OFFSET($H$3,0,0,'Données projet'!$E$13+1,1))</f>
        <v>555.15881087162279</v>
      </c>
      <c r="CZ48" s="59">
        <f t="shared" si="42"/>
        <v>668.20427590250733</v>
      </c>
      <c r="DA48" s="15">
        <f>IF(ISNA(VLOOKUP(A48,'Données projet'!$A$139:$I$159,3,0)),0,VLOOKUP(A48,'Données projet'!$A$139:$I$159,3,0))</f>
        <v>6</v>
      </c>
      <c r="DB48" s="15">
        <f>IF(ISNA(VLOOKUP(A48,'Données projet'!$A$139:$I$159,4,0)),0,VLOOKUP(A48,'Données projet'!$A$139:$I$159,4,0))</f>
        <v>64</v>
      </c>
      <c r="DC48" s="16">
        <f>IF(ISNA(VLOOKUP(A48,'Données projet'!$A$139:$I$159,5,0)),0%,VLOOKUP(A48,'Données projet'!$A$139:$I$159,5,0)*VLOOKUP('Données projet'!$B$13,Paramètres!$A$1:$I$89,7,0))</f>
        <v>0.55000000000000004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78.635897559178972</v>
      </c>
      <c r="DG48" s="21">
        <f>EXP(-LN(2)/25)*DG47+(1-EXP(-LN(2)/25))/(LN(2)/25)*Calculateur!DB48*Calculateur!DD48*VLOOKUP('Données projet'!$B$13,Paramètres!$A$1:$I$89,3,0)*0.475*44/12</f>
        <v>38.121674761753347</v>
      </c>
      <c r="DH48" s="21">
        <f>EXP(-LN(2)/2)*DH47+(1-EXP(-LN(2)/2))/(LN(2)/2)*DB48*DE48*VLOOKUP('Données projet'!$B$13,Paramètres!$A$1:$I$89,3,0)*0.475*44/12</f>
        <v>4.698301218026695E-3</v>
      </c>
      <c r="DI48" s="22">
        <f t="shared" si="15"/>
        <v>116.76227062215035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642</v>
      </c>
      <c r="DM48" s="12">
        <f>VLOOKUP(A48,'Données projet'!$A$165:$I$185,9,0)</f>
        <v>29.8</v>
      </c>
      <c r="DN48" s="12">
        <f t="array" ref="DN48">INDEX(DM:DM,MIN(IF(ISNUMBER(DM48:DM244),ROW(DM48:DM244),"")))</f>
        <v>29.8</v>
      </c>
      <c r="DO48" s="12">
        <f>IF('Données projet'!$A$166&gt;35,DO47+DN48-DW47,IF(A48&lt;'Données projet'!$A$166,$DL$205^A48,IF(A48='Données projet'!$A$166,'Données projet'!$B$166,DO47+DN48-DW47)))</f>
        <v>641.99999999999977</v>
      </c>
      <c r="DP48" s="17">
        <f>DO48*VLOOKUP('Données projet'!$B$14,Paramètres!$A$1:$I$89,3,0)*VLOOKUP('Données projet'!$B$14,Paramètres!$A$1:$I$89,5,0)</f>
        <v>300.4559999999999</v>
      </c>
      <c r="DQ48" s="13">
        <f t="shared" si="43"/>
        <v>71.272050138894869</v>
      </c>
      <c r="DR48" s="20">
        <f t="shared" si="16"/>
        <v>647.4263539919084</v>
      </c>
      <c r="DS48" s="59">
        <f t="shared" si="17"/>
        <v>940.75968732524166</v>
      </c>
      <c r="DT48" s="59">
        <f ca="1">AVERAGE(OFFSET($DS$3,0,0,'Données projet'!$E$14+1,1))-AVERAGE(OFFSET($H$3,0,0,'Données projet'!$E$14+1,1))</f>
        <v>523.79180230463714</v>
      </c>
      <c r="DU48" s="59">
        <f t="shared" si="44"/>
        <v>459.3547783500515</v>
      </c>
      <c r="DV48" s="15">
        <f>IF(ISNA(VLOOKUP(A48,'Données projet'!$A$165:$I$185,3,0)),0,VLOOKUP(A48,'Données projet'!$A$165:$I$185,3,0))</f>
        <v>6</v>
      </c>
      <c r="DW48" s="15">
        <f>IF(ISNA(VLOOKUP(A48,'Données projet'!$A$165:$I$185,4,0)),0,VLOOKUP(A48,'Données projet'!$A$165:$I$185,4,0))</f>
        <v>84</v>
      </c>
      <c r="DX48" s="16">
        <f>IF(ISNA(VLOOKUP(A48,'Données projet'!$A$165:$I$185,5,0)),0%,VLOOKUP(A48,'Données projet'!$A$165:$I$185,5,0)*VLOOKUP('Données projet'!$B$14,Paramètres!$A$1:$I$89,7,0))</f>
        <v>0.55000000000000004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78.190040722801427</v>
      </c>
      <c r="EB48" s="21">
        <f>EXP(-LN(2)/25)*EB47+(1-EXP(-LN(2)/25))/(LN(2)/25)*Calculateur!DW48*Calculateur!DY48*VLOOKUP('Données projet'!$B$14,Paramètres!$A$1:$I$89,3,0)*0.475*44/12</f>
        <v>35.257724647807848</v>
      </c>
      <c r="EC48" s="21">
        <f>EXP(-LN(2)/2)*EC47+(1-EXP(-LN(2)/2))/(LN(2)/2)*DW48*DZ48*VLOOKUP('Données projet'!$B$14,Paramètres!$A$1:$I$89,3,0)*0.475*44/12</f>
        <v>6.586261090927626E-3</v>
      </c>
      <c r="ED48" s="22">
        <f t="shared" si="18"/>
        <v>113.45435163170021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280</v>
      </c>
      <c r="EH48" s="12">
        <f>VLOOKUP(A48,'Données projet'!$A$191:$I$211,9,0)</f>
        <v>11.4</v>
      </c>
      <c r="EI48" s="12">
        <f t="array" ref="EI48">INDEX(EH:EH,MIN(IF(ISNUMBER(EH48:EH244),ROW(EH48:EH244),"")))</f>
        <v>11.4</v>
      </c>
      <c r="EJ48" s="12">
        <f>IF('Données projet'!$A$192&gt;35,EJ47+EI48-ER47,IF(A48&lt;'Données projet'!$A$192,$EG$205^A48,IF(A48='Données projet'!$A$192,'Données projet'!$B$192,EJ47+EI48-ER47)))</f>
        <v>279.99999999999989</v>
      </c>
      <c r="EK48" s="17">
        <f>EJ48*VLOOKUP('Données projet'!$B$15,Paramètres!$A$1:$I$89,3,0)*VLOOKUP('Données projet'!$B$15,Paramètres!$A$1:$I$89,5,0)</f>
        <v>270.81599999999992</v>
      </c>
      <c r="EL48" s="13">
        <f t="shared" si="45"/>
        <v>65.022414656032311</v>
      </c>
      <c r="EM48" s="20">
        <f t="shared" si="19"/>
        <v>584.91857219258952</v>
      </c>
      <c r="EN48" s="59">
        <f t="shared" si="20"/>
        <v>878.25190552592289</v>
      </c>
      <c r="EO48" s="59">
        <f ca="1">AVERAGE(OFFSET($EN$3,0,0,'Données projet'!$E$15+1,1))-AVERAGE(OFFSET($H$3,0,0,'Données projet'!$E$15+1,1))</f>
        <v>484.41278617935654</v>
      </c>
      <c r="EP48" s="59">
        <f t="shared" si="46"/>
        <v>467.97490540700738</v>
      </c>
      <c r="EQ48" s="15">
        <f>IF(ISNA(VLOOKUP(A48,'Données projet'!$A$191:$I$211,3,0)),0,VLOOKUP(A48,'Données projet'!$A$191:$I$211,3,0))</f>
        <v>8</v>
      </c>
      <c r="ER48" s="15">
        <f>IF(ISNA(VLOOKUP(A48,'Données projet'!$A$191:$I$211,4,0)),0,VLOOKUP(A48,'Données projet'!$A$191:$I$211,4,0))</f>
        <v>26</v>
      </c>
      <c r="ES48" s="16">
        <f>IF(ISNA(VLOOKUP(A48,'Données projet'!$A$191:$I$211,5,0)),0%,VLOOKUP(A48,'Données projet'!$A$191:$I$211,5,0)*VLOOKUP('Données projet'!$B$15,Paramètres!$A$1:$I$89,7,0))</f>
        <v>0.43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44.451059117962878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44.451059117962878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280</v>
      </c>
      <c r="FC48" s="12">
        <f>VLOOKUP(A48,'Données projet'!$A$217:$I$237,9,0)</f>
        <v>11.4</v>
      </c>
      <c r="FD48" s="12">
        <f t="array" ref="FD48">INDEX(FC:FC,MIN(IF(ISNUMBER(FC48:FC244),ROW(FC48:FC244),"")))</f>
        <v>11.4</v>
      </c>
      <c r="FE48" s="12">
        <f>IF('Données projet'!$A$218&gt;35,FE47+FD48-FM47,IF(A48&lt;'Données projet'!$A$218,$FB$205^A48,IF(A48='Données projet'!$A$218,'Données projet'!$B$218,FE47+FD48-FM47)))</f>
        <v>279.99999999999989</v>
      </c>
      <c r="FF48" s="17">
        <f>FE48*VLOOKUP('Données projet'!$B$16,Paramètres!$A$1:$I$89,3,0)*VLOOKUP('Données projet'!$B$16,Paramètres!$A$1:$I$89,5,0)</f>
        <v>301.39199999999988</v>
      </c>
      <c r="FG48" s="13">
        <f t="shared" si="47"/>
        <v>71.468201474229289</v>
      </c>
      <c r="FH48" s="20">
        <f t="shared" si="22"/>
        <v>649.39818423428244</v>
      </c>
      <c r="FI48" s="59">
        <f t="shared" si="23"/>
        <v>942.73151756761581</v>
      </c>
      <c r="FJ48" s="59">
        <f ca="1">AVERAGE(OFFSET($FI$3,0,0,'Données projet'!$E$16+1,1))-AVERAGE(OFFSET($H$3,0,0,'Données projet'!$E$16+1,1))</f>
        <v>534.54020133239135</v>
      </c>
      <c r="FK48" s="59">
        <f t="shared" si="48"/>
        <v>515.48696069008815</v>
      </c>
      <c r="FL48" s="15">
        <f>IF(ISNA(VLOOKUP(A48,'Données projet'!$A$217:$I$237,3,0)),0,VLOOKUP(A48,'Données projet'!$A$217:$I$237,3,0))</f>
        <v>8</v>
      </c>
      <c r="FM48" s="15">
        <f>IF(ISNA(VLOOKUP(A48,'Données projet'!$A$217:$I$237,4,0)),0,VLOOKUP(A48,'Données projet'!$A$217:$I$237,4,0))</f>
        <v>26</v>
      </c>
      <c r="FN48" s="16">
        <f>IF(ISNA(VLOOKUP(A48,'Données projet'!$A$217:$I$237,5,0)),0%,VLOOKUP(A48,'Données projet'!$A$217:$I$237,5,0)*VLOOKUP('Données projet'!$B$16,Paramètres!$A$1:$I$89,7,0))</f>
        <v>0.43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49.469727082894167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49.469727082894167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247</v>
      </c>
      <c r="FX48" s="12">
        <f>VLOOKUP(A48,'Données projet'!$A$243:$I$263,9,0)</f>
        <v>7.6</v>
      </c>
      <c r="FY48" s="12">
        <f t="array" ref="FY48">INDEX(FX:FX,MIN(IF(ISNUMBER(FX48:FX244),ROW(FX48:FX244),"")))</f>
        <v>7.6</v>
      </c>
      <c r="FZ48" s="12">
        <f>IF('Données projet'!$A$244&gt;35,FZ47+FY48-GH47,IF(A48&lt;'Données projet'!$A$244,$FW$205^A48,IF(A48='Données projet'!$A$244,'Données projet'!$B$244,FZ47+FY48-GH47)))</f>
        <v>246.99999999999991</v>
      </c>
      <c r="GA48" s="17">
        <f>FZ48*VLOOKUP('Données projet'!$B$17,Paramètres!$A$1:$I$89,3,0)*VLOOKUP('Données projet'!$B$17,Paramètres!$A$1:$I$89,5,0)</f>
        <v>235.04519999999991</v>
      </c>
      <c r="GB48" s="13">
        <f t="shared" si="49"/>
        <v>57.372190275906782</v>
      </c>
      <c r="GC48" s="20">
        <f t="shared" si="25"/>
        <v>509.29362139720416</v>
      </c>
      <c r="GD48" s="59">
        <f t="shared" si="26"/>
        <v>802.62695473053748</v>
      </c>
      <c r="GE48" s="59">
        <f ca="1">AVERAGE(OFFSET($GD$3,0,0,'Données projet'!$E$17+1,1))-AVERAGE(OFFSET($H$3,0,0,'Données projet'!$E$17+1,1))</f>
        <v>455.71329051283936</v>
      </c>
      <c r="GF48" s="59">
        <f t="shared" si="50"/>
        <v>479.3743231122258</v>
      </c>
      <c r="GG48" s="15">
        <f>IF(ISNA(VLOOKUP(A48,'Données projet'!$A$243:$I$263,3,0)),0,VLOOKUP(A48,'Données projet'!$A$243:$I$263,3,0))</f>
        <v>8</v>
      </c>
      <c r="GH48" s="15">
        <f>IF(ISNA(VLOOKUP(A48,'Données projet'!$A$243:$I$263,4,0)),0,VLOOKUP(A48,'Données projet'!$A$243:$I$263,4,0))</f>
        <v>31</v>
      </c>
      <c r="GI48" s="16">
        <f>IF(ISNA(VLOOKUP(A48,'Données projet'!$A$243:$I$263,5,0)),0%,VLOOKUP(A48,'Données projet'!$A$243:$I$263,5,0)*VLOOKUP('Données projet'!$B$17,Paramètres!$A$1:$I$89,7,0))</f>
        <v>0.43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37.855637477350953</v>
      </c>
      <c r="GM48" s="21">
        <f>EXP(-LN(2)/25)*GM47+(1-EXP(-LN(2)/25))/(LN(2)/25)*Calculateur!GH48*Calculateur!GJ48*VLOOKUP('Données projet'!$B$17,Paramètres!$A$1:$I$89,3,0)*0.475*44/12</f>
        <v>0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37.855637477350953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>
        <f>VLOOKUP(A48,'Données projet'!$A$269:$I$289,2,0)</f>
        <v>280</v>
      </c>
      <c r="GS48" s="12">
        <f>VLOOKUP(A48,'Données projet'!$A$269:$I$289,9,0)</f>
        <v>11.4</v>
      </c>
      <c r="GT48" s="12">
        <f t="array" ref="GT48">INDEX(GS:GS,MIN(IF(ISNUMBER(GS48:GS244),ROW(GS48:GS244),"")))</f>
        <v>11.4</v>
      </c>
      <c r="GU48" s="12">
        <f>IF('Données projet'!$A$270&gt;35,GU47+GT48-HC47,IF(A48&lt;'Données projet'!$A$270,$GR$205^A48,IF(A48='Données projet'!$A$270,'Données projet'!$B$270,GU47+GT48-HC47)))</f>
        <v>279.99999999999989</v>
      </c>
      <c r="GV48" s="17">
        <f>GU48*VLOOKUP('Données projet'!$B$18,Paramètres!$A$1:$I$89,3,0)*VLOOKUP('Données projet'!$B$18,Paramètres!$A$1:$I$89,5,0)</f>
        <v>227.13599999999991</v>
      </c>
      <c r="GW48" s="13">
        <f t="shared" si="51"/>
        <v>55.662966886685133</v>
      </c>
      <c r="GX48" s="20">
        <f t="shared" si="28"/>
        <v>492.54153399430976</v>
      </c>
      <c r="GY48" s="59">
        <f t="shared" si="29"/>
        <v>785.87486732764307</v>
      </c>
      <c r="GZ48" s="59">
        <f ca="1">AVERAGE(OFFSET($GY$3,0,0,'Données projet'!$E$18+1,1))-AVERAGE(OFFSET($H$3,0,0,'Données projet'!$E$18+1,1))</f>
        <v>412.59676769258488</v>
      </c>
      <c r="HA48" s="59">
        <f t="shared" si="52"/>
        <v>399.90063795152133</v>
      </c>
      <c r="HB48" s="15">
        <f>IF(ISNA(VLOOKUP(A48,'Données projet'!$A$269:$I$289,3,0)),0,VLOOKUP(A48,'Données projet'!$A$269:$I$289,3,0))</f>
        <v>8</v>
      </c>
      <c r="HC48" s="15">
        <f>IF(ISNA(VLOOKUP(A48,'Données projet'!$A$269:$I$289,4,0)),0,VLOOKUP(A48,'Données projet'!$A$269:$I$289,4,0))</f>
        <v>26</v>
      </c>
      <c r="HD48" s="16">
        <f>IF(ISNA(VLOOKUP(A48,'Données projet'!$A$269:$I$289,5,0)),0%,VLOOKUP(A48,'Données projet'!$A$269:$I$289,5,0)*VLOOKUP('Données projet'!$B$18,Paramètres!$A$1:$I$89,7,0))</f>
        <v>0.43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37.281533453775317</v>
      </c>
      <c r="HH48" s="21">
        <f>EXP(-LN(2)/25)*HH47+(1-EXP(-LN(2)/25))/(LN(2)/25)*Calculateur!HC48*Calculateur!HE48*VLOOKUP('Données projet'!$B$18,Paramètres!$A$1:$I$89,3,0)*0.475*44/12</f>
        <v>0</v>
      </c>
      <c r="HI48" s="21">
        <f>EXP(-LN(2)/2)*HI47+(1-EXP(-LN(2)/2))/(LN(2)/2)*HC48*HF48*VLOOKUP('Données projet'!$B$18,Paramètres!$A$1:$I$89,3,0)*0.475*44/12</f>
        <v>0</v>
      </c>
      <c r="HJ48" s="22">
        <f t="shared" si="30"/>
        <v>37.281533453775317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</v>
      </c>
      <c r="N49" s="13">
        <f>IF('Données projet'!$A$36&gt;35,N48+M49-V48,IF(A49&lt;'Données projet'!$A$36,$K$205^A49,IF(A49='Données projet'!$A$36,'Données projet'!$B$36,N48+M49-V48)))</f>
        <v>187.00000000000003</v>
      </c>
      <c r="O49" s="13">
        <f>N49*VLOOKUP('Données projet'!$B$9,Paramètres!$A$1:$I$89,3,0)*VLOOKUP('Données projet'!$B$9,Paramètres!$A$1:$I$89,5,0)</f>
        <v>169.19760000000002</v>
      </c>
      <c r="P49" s="13">
        <f t="shared" si="33"/>
        <v>42.910263223432885</v>
      </c>
      <c r="Q49" s="20">
        <f t="shared" si="53"/>
        <v>369.42119511414558</v>
      </c>
      <c r="R49" s="59">
        <f t="shared" si="0"/>
        <v>662.75452844747883</v>
      </c>
      <c r="S49" s="59">
        <f ca="1">AVERAGE(OFFSET($R$3,0,0,'Données projet'!$E$9+1,1))-AVERAGE(OFFSET($H$3,0,0,'Données projet'!$E$9+1,1))</f>
        <v>439.19854273764042</v>
      </c>
      <c r="T49" s="59">
        <f t="shared" si="34"/>
        <v>278.21741231699929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32.185524174800491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32.185524174800491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</v>
      </c>
      <c r="AI49" s="13">
        <f>IF('Données projet'!$A$62&gt;35,AI48+AH49-AQ48,IF(A49&lt;'Données projet'!$A$62,$AF$205^A49,IF(A49='Données projet'!$A$62,'Données projet'!$B$62,AI48+AH49-AQ48)))</f>
        <v>187.00000000000003</v>
      </c>
      <c r="AJ49" s="13">
        <f>AI49*VLOOKUP('Données projet'!$B$10,Paramètres!$A$1:$I$89,3,0)*VLOOKUP('Données projet'!$B$10,Paramètres!$A$1:$I$89,5,0)</f>
        <v>189.61800000000005</v>
      </c>
      <c r="AK49" s="13">
        <f t="shared" si="35"/>
        <v>47.4554881852685</v>
      </c>
      <c r="AL49" s="20">
        <f t="shared" si="4"/>
        <v>412.90299192267599</v>
      </c>
      <c r="AM49" s="59">
        <f t="shared" si="5"/>
        <v>706.23632525600931</v>
      </c>
      <c r="AN49" s="59">
        <f ca="1">AVERAGE(OFFSET($AM$3,0,0,'Données projet'!$E$10+1,1))-AVERAGE(OFFSET($H$3,0,0,'Données projet'!$E$10+1,1))</f>
        <v>487.18832528146936</v>
      </c>
      <c r="AO49" s="59">
        <f t="shared" si="36"/>
        <v>306.61893266146666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36.069983989000562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36.069983989000562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369.00000000000023</v>
      </c>
      <c r="BE49" s="13">
        <f>BD49*VLOOKUP('Données projet'!$B$11,Paramètres!$A$1:$I$89,3,0)*VLOOKUP('Données projet'!$B$11,Paramètres!$A$1:$I$89,5,0)</f>
        <v>333.87120000000021</v>
      </c>
      <c r="BF49" s="13">
        <f t="shared" si="37"/>
        <v>78.23236011137638</v>
      </c>
      <c r="BG49" s="20">
        <f t="shared" si="7"/>
        <v>717.74703386064755</v>
      </c>
      <c r="BH49" s="59">
        <f t="shared" si="8"/>
        <v>1011.0803671939809</v>
      </c>
      <c r="BI49" s="59">
        <f ca="1">AVERAGE(OFFSET($BH$3,0,0,'Données projet'!$E$11+1,1))-AVERAGE(OFFSET($H$3,0,0,'Données projet'!$E$11+1,1))</f>
        <v>436.23918637269577</v>
      </c>
      <c r="BJ49" s="59">
        <f t="shared" si="38"/>
        <v>611.43967996341894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7.700344233771129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7.700344233771129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9.6</v>
      </c>
      <c r="BY49" s="12">
        <f>IF('Données projet'!$A$114&gt;35,BY48+BX49-CG48,IF(A49&lt;'Données projet'!$A$114,$BV$205^A49,IF(A49='Données projet'!$A$114,'Données projet'!$B$114,BY48+BX49-CG48)))</f>
        <v>213.60000000000011</v>
      </c>
      <c r="BZ49" s="13">
        <f>BY49*VLOOKUP('Données projet'!$B$12,Paramètres!$A$1:$I$89,3,0)*VLOOKUP('Données projet'!$B$12,Paramètres!$A$1:$I$89,5,0)</f>
        <v>186.60096000000013</v>
      </c>
      <c r="CA49" s="13">
        <f t="shared" si="39"/>
        <v>46.787685683664144</v>
      </c>
      <c r="CB49" s="20">
        <f t="shared" si="10"/>
        <v>406.48522456571527</v>
      </c>
      <c r="CC49" s="59">
        <f t="shared" si="11"/>
        <v>699.81855789904853</v>
      </c>
      <c r="CD49" s="59">
        <f ca="1">AVERAGE(OFFSET($CC$3,0,0,'Données projet'!$E$12+1,1))-AVERAGE(OFFSET($H$3,0,0,'Données projet'!$E$12+1,1))</f>
        <v>304.32767345253382</v>
      </c>
      <c r="CE49" s="59">
        <f t="shared" si="40"/>
        <v>427.16091343339173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49.650471175841709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49.650471175841709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20.399999999999999</v>
      </c>
      <c r="CT49" s="12">
        <f>IF('Données projet'!$A$140&gt;35,CT48+CS49-DB48,IF(A49&lt;'Données projet'!$A$140,$CQ$205^A49,IF(A49='Données projet'!$A$140,'Données projet'!$B$140,CT48+CS49-DB48)))</f>
        <v>642.39999999999964</v>
      </c>
      <c r="CU49" s="17">
        <f>CT49*VLOOKUP('Données projet'!$B$13,Paramètres!$A$1:$I$89,3,0)*VLOOKUP('Données projet'!$B$13,Paramètres!$A$1:$I$89,5,0)</f>
        <v>359.10159999999985</v>
      </c>
      <c r="CV49" s="13">
        <f t="shared" si="41"/>
        <v>83.433815871723468</v>
      </c>
      <c r="CW49" s="20">
        <f t="shared" si="13"/>
        <v>770.74918264325152</v>
      </c>
      <c r="CX49" s="59">
        <f t="shared" si="14"/>
        <v>1064.0825159765848</v>
      </c>
      <c r="CY49" s="59">
        <f ca="1">AVERAGE(OFFSET($CX$3,0,0,'Données projet'!$E$13+1,1))-AVERAGE(OFFSET($H$3,0,0,'Données projet'!$E$13+1,1))</f>
        <v>555.15881087162279</v>
      </c>
      <c r="CZ49" s="59">
        <f t="shared" si="42"/>
        <v>668.20427590250733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77.09389557120501</v>
      </c>
      <c r="DG49" s="21">
        <f>EXP(-LN(2)/25)*DG48+(1-EXP(-LN(2)/25))/(LN(2)/25)*Calculateur!DB49*Calculateur!DD49*VLOOKUP('Données projet'!$B$13,Paramètres!$A$1:$I$89,3,0)*0.475*44/12</f>
        <v>37.079235560661452</v>
      </c>
      <c r="DH49" s="21">
        <f>EXP(-LN(2)/2)*DH48+(1-EXP(-LN(2)/2))/(LN(2)/2)*DB49*DE49*VLOOKUP('Données projet'!$B$13,Paramètres!$A$1:$I$89,3,0)*0.475*44/12</f>
        <v>3.322200651323692E-3</v>
      </c>
      <c r="DI49" s="22">
        <f t="shared" si="15"/>
        <v>114.17645333251778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27.8</v>
      </c>
      <c r="DO49" s="12">
        <f>IF('Données projet'!$A$166&gt;35,DO48+DN49-DW48,IF(A49&lt;'Données projet'!$A$166,$DL$205^A49,IF(A49='Données projet'!$A$166,'Données projet'!$B$166,DO48+DN49-DW48)))</f>
        <v>585.79999999999973</v>
      </c>
      <c r="DP49" s="17">
        <f>DO49*VLOOKUP('Données projet'!$B$14,Paramètres!$A$1:$I$89,3,0)*VLOOKUP('Données projet'!$B$14,Paramètres!$A$1:$I$89,5,0)</f>
        <v>274.1543999999999</v>
      </c>
      <c r="DQ49" s="13">
        <f t="shared" si="43"/>
        <v>65.730152764515779</v>
      </c>
      <c r="DR49" s="20">
        <f t="shared" si="16"/>
        <v>591.96559606486471</v>
      </c>
      <c r="DS49" s="59">
        <f t="shared" si="17"/>
        <v>885.29892939819797</v>
      </c>
      <c r="DT49" s="59">
        <f ca="1">AVERAGE(OFFSET($DS$3,0,0,'Données projet'!$E$14+1,1))-AVERAGE(OFFSET($H$3,0,0,'Données projet'!$E$14+1,1))</f>
        <v>523.79180230463714</v>
      </c>
      <c r="DU49" s="59">
        <f t="shared" si="44"/>
        <v>459.3547783500515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76.656781715443017</v>
      </c>
      <c r="EB49" s="21">
        <f>EXP(-LN(2)/25)*EB48+(1-EXP(-LN(2)/25))/(LN(2)/25)*Calculateur!DW49*Calculateur!DY49*VLOOKUP('Données projet'!$B$14,Paramètres!$A$1:$I$89,3,0)*0.475*44/12</f>
        <v>34.293600313190389</v>
      </c>
      <c r="EC49" s="21">
        <f>EXP(-LN(2)/2)*EC48+(1-EXP(-LN(2)/2))/(LN(2)/2)*DW49*DZ49*VLOOKUP('Données projet'!$B$14,Paramètres!$A$1:$I$89,3,0)*0.475*44/12</f>
        <v>4.6571898800600326E-3</v>
      </c>
      <c r="ED49" s="22">
        <f t="shared" si="18"/>
        <v>110.95503921851348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9.8000000000000007</v>
      </c>
      <c r="EJ49" s="12">
        <f>IF('Données projet'!$A$192&gt;35,EJ48+EI49-ER48,IF(A49&lt;'Données projet'!$A$192,$EG$205^A49,IF(A49='Données projet'!$A$192,'Données projet'!$B$192,EJ48+EI49-ER48)))</f>
        <v>263.7999999999999</v>
      </c>
      <c r="EK49" s="17">
        <f>EJ49*VLOOKUP('Données projet'!$B$15,Paramètres!$A$1:$I$89,3,0)*VLOOKUP('Données projet'!$B$15,Paramètres!$A$1:$I$89,5,0)</f>
        <v>255.14735999999991</v>
      </c>
      <c r="EL49" s="13">
        <f t="shared" si="45"/>
        <v>61.686859728645651</v>
      </c>
      <c r="EM49" s="20">
        <f t="shared" si="19"/>
        <v>551.81959936072428</v>
      </c>
      <c r="EN49" s="59">
        <f t="shared" si="20"/>
        <v>845.15293269405765</v>
      </c>
      <c r="EO49" s="59">
        <f ca="1">AVERAGE(OFFSET($EN$3,0,0,'Données projet'!$E$15+1,1))-AVERAGE(OFFSET($H$3,0,0,'Données projet'!$E$15+1,1))</f>
        <v>484.41278617935654</v>
      </c>
      <c r="EP49" s="59">
        <f t="shared" si="46"/>
        <v>467.97490540700738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43.579400961128556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43.579400961128556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9.8000000000000007</v>
      </c>
      <c r="FE49" s="12">
        <f>IF('Données projet'!$A$218&gt;35,FE48+FD49-FM48,IF(A49&lt;'Données projet'!$A$218,$FB$205^A49,IF(A49='Données projet'!$A$218,'Données projet'!$B$218,FE48+FD49-FM48)))</f>
        <v>263.7999999999999</v>
      </c>
      <c r="FF49" s="17">
        <f>FE49*VLOOKUP('Données projet'!$B$16,Paramètres!$A$1:$I$89,3,0)*VLOOKUP('Données projet'!$B$16,Paramètres!$A$1:$I$89,5,0)</f>
        <v>283.95431999999988</v>
      </c>
      <c r="FG49" s="13">
        <f t="shared" si="47"/>
        <v>67.801987095081913</v>
      </c>
      <c r="FH49" s="20">
        <f t="shared" si="22"/>
        <v>612.64223485726745</v>
      </c>
      <c r="FI49" s="59">
        <f t="shared" si="23"/>
        <v>905.97556819060082</v>
      </c>
      <c r="FJ49" s="59">
        <f ca="1">AVERAGE(OFFSET($FI$3,0,0,'Données projet'!$E$16+1,1))-AVERAGE(OFFSET($H$3,0,0,'Données projet'!$E$16+1,1))</f>
        <v>534.54020133239135</v>
      </c>
      <c r="FK49" s="59">
        <f t="shared" si="48"/>
        <v>515.48696069008815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48.499655908352743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48.499655908352743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7.6</v>
      </c>
      <c r="FZ49" s="12">
        <f>IF('Données projet'!$A$244&gt;35,FZ48+FY49-GH48,IF(A49&lt;'Données projet'!$A$244,$FW$205^A49,IF(A49='Données projet'!$A$244,'Données projet'!$B$244,FZ48+FY49-GH48)))</f>
        <v>223.59999999999991</v>
      </c>
      <c r="GA49" s="17">
        <f>FZ49*VLOOKUP('Données projet'!$B$17,Paramètres!$A$1:$I$89,3,0)*VLOOKUP('Données projet'!$B$17,Paramètres!$A$1:$I$89,5,0)</f>
        <v>212.77775999999989</v>
      </c>
      <c r="GB49" s="13">
        <f t="shared" si="49"/>
        <v>52.54213113127026</v>
      </c>
      <c r="GC49" s="20">
        <f t="shared" si="25"/>
        <v>462.09881038696216</v>
      </c>
      <c r="GD49" s="59">
        <f t="shared" si="26"/>
        <v>755.43214372029547</v>
      </c>
      <c r="GE49" s="59">
        <f ca="1">AVERAGE(OFFSET($GD$3,0,0,'Données projet'!$E$17+1,1))-AVERAGE(OFFSET($H$3,0,0,'Données projet'!$E$17+1,1))</f>
        <v>455.71329051283936</v>
      </c>
      <c r="GF49" s="59">
        <f t="shared" si="50"/>
        <v>479.3743231122258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37.113311516079051</v>
      </c>
      <c r="GM49" s="21">
        <f>EXP(-LN(2)/25)*GM48+(1-EXP(-LN(2)/25))/(LN(2)/25)*Calculateur!GH49*Calculateur!GJ49*VLOOKUP('Données projet'!$B$17,Paramètres!$A$1:$I$89,3,0)*0.475*44/12</f>
        <v>0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37.113311516079051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9.8000000000000007</v>
      </c>
      <c r="GU49" s="12">
        <f>IF('Données projet'!$A$270&gt;35,GU48+GT49-HC48,IF(A49&lt;'Données projet'!$A$270,$GR$205^A49,IF(A49='Données projet'!$A$270,'Données projet'!$B$270,GU48+GT49-HC48)))</f>
        <v>263.7999999999999</v>
      </c>
      <c r="GV49" s="17">
        <f>GU49*VLOOKUP('Données projet'!$B$18,Paramètres!$A$1:$I$89,3,0)*VLOOKUP('Données projet'!$B$18,Paramètres!$A$1:$I$89,5,0)</f>
        <v>213.99455999999995</v>
      </c>
      <c r="GW49" s="13">
        <f t="shared" si="51"/>
        <v>52.807537963382018</v>
      </c>
      <c r="GX49" s="20">
        <f t="shared" si="28"/>
        <v>464.68032061955699</v>
      </c>
      <c r="GY49" s="59">
        <f t="shared" si="29"/>
        <v>758.01365395289031</v>
      </c>
      <c r="GZ49" s="59">
        <f ca="1">AVERAGE(OFFSET($GY$3,0,0,'Données projet'!$E$18+1,1))-AVERAGE(OFFSET($H$3,0,0,'Données projet'!$E$18+1,1))</f>
        <v>412.59676769258488</v>
      </c>
      <c r="HA49" s="59">
        <f t="shared" si="52"/>
        <v>399.90063795152133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36.550465322236853</v>
      </c>
      <c r="HH49" s="21">
        <f>EXP(-LN(2)/25)*HH48+(1-EXP(-LN(2)/25))/(LN(2)/25)*Calculateur!HC49*Calculateur!HE49*VLOOKUP('Données projet'!$B$18,Paramètres!$A$1:$I$89,3,0)*0.475*44/12</f>
        <v>0</v>
      </c>
      <c r="HI49" s="21">
        <f>EXP(-LN(2)/2)*HI48+(1-EXP(-LN(2)/2))/(LN(2)/2)*HC49*HF49*VLOOKUP('Données projet'!$B$18,Paramètres!$A$1:$I$89,3,0)*0.475*44/12</f>
        <v>0</v>
      </c>
      <c r="HJ49" s="22">
        <f t="shared" si="30"/>
        <v>36.550465322236853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</v>
      </c>
      <c r="N50" s="13">
        <f>IF('Données projet'!$A$36&gt;35,N49+M50-V49,IF(A50&lt;'Données projet'!$A$36,$K$205^A50,IF(A50='Données projet'!$A$36,'Données projet'!$B$36,N49+M50-V49)))</f>
        <v>198.00000000000003</v>
      </c>
      <c r="O50" s="13">
        <f>N50*VLOOKUP('Données projet'!$B$9,Paramètres!$A$1:$I$89,3,0)*VLOOKUP('Données projet'!$B$9,Paramètres!$A$1:$I$89,5,0)</f>
        <v>179.15040000000002</v>
      </c>
      <c r="P50" s="13">
        <f t="shared" si="33"/>
        <v>45.133113803437304</v>
      </c>
      <c r="Q50" s="20">
        <f t="shared" si="53"/>
        <v>390.62711987431999</v>
      </c>
      <c r="R50" s="59">
        <f t="shared" si="0"/>
        <v>683.96045320765325</v>
      </c>
      <c r="S50" s="59">
        <f ca="1">AVERAGE(OFFSET($R$3,0,0,'Données projet'!$E$9+1,1))-AVERAGE(OFFSET($H$3,0,0,'Données projet'!$E$9+1,1))</f>
        <v>439.19854273764042</v>
      </c>
      <c r="T50" s="59">
        <f t="shared" si="34"/>
        <v>278.21741231699929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31.554385676963978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31.554385676963978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</v>
      </c>
      <c r="AI50" s="13">
        <f>IF('Données projet'!$A$62&gt;35,AI49+AH50-AQ49,IF(A50&lt;'Données projet'!$A$62,$AF$205^A50,IF(A50='Données projet'!$A$62,'Données projet'!$B$62,AI49+AH50-AQ49)))</f>
        <v>198.00000000000003</v>
      </c>
      <c r="AJ50" s="13">
        <f>AI50*VLOOKUP('Données projet'!$B$10,Paramètres!$A$1:$I$89,3,0)*VLOOKUP('Données projet'!$B$10,Paramètres!$A$1:$I$89,5,0)</f>
        <v>200.77200000000002</v>
      </c>
      <c r="AK50" s="13">
        <f t="shared" si="35"/>
        <v>49.913791898945412</v>
      </c>
      <c r="AL50" s="20">
        <f t="shared" si="4"/>
        <v>436.61108755732994</v>
      </c>
      <c r="AM50" s="59">
        <f t="shared" si="5"/>
        <v>729.9444208906632</v>
      </c>
      <c r="AN50" s="59">
        <f ca="1">AVERAGE(OFFSET($AM$3,0,0,'Données projet'!$E$10+1,1))-AVERAGE(OFFSET($H$3,0,0,'Données projet'!$E$10+1,1))</f>
        <v>487.18832528146936</v>
      </c>
      <c r="AO50" s="59">
        <f t="shared" si="36"/>
        <v>306.61893266146666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35.362673603494123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35.362673603494123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369.00000000000023</v>
      </c>
      <c r="BE50" s="13">
        <f>BD50*VLOOKUP('Données projet'!$B$11,Paramètres!$A$1:$I$89,3,0)*VLOOKUP('Données projet'!$B$11,Paramètres!$A$1:$I$89,5,0)</f>
        <v>333.87120000000021</v>
      </c>
      <c r="BF50" s="13">
        <f t="shared" si="37"/>
        <v>78.23236011137638</v>
      </c>
      <c r="BG50" s="20">
        <f t="shared" si="7"/>
        <v>717.74703386064755</v>
      </c>
      <c r="BH50" s="59">
        <f t="shared" si="8"/>
        <v>1011.0803671939809</v>
      </c>
      <c r="BI50" s="59">
        <f ca="1">AVERAGE(OFFSET($BH$3,0,0,'Données projet'!$E$11+1,1))-AVERAGE(OFFSET($H$3,0,0,'Données projet'!$E$11+1,1))</f>
        <v>436.23918637269577</v>
      </c>
      <c r="BJ50" s="59">
        <f t="shared" si="38"/>
        <v>611.43967996341894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7.5493451800930949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7.5493451800930949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9.6</v>
      </c>
      <c r="BY50" s="12">
        <f>IF('Données projet'!$A$114&gt;35,BY49+BX50-CG49,IF(A50&lt;'Données projet'!$A$114,$BV$205^A50,IF(A50='Données projet'!$A$114,'Données projet'!$B$114,BY49+BX50-CG49)))</f>
        <v>223.2000000000001</v>
      </c>
      <c r="BZ50" s="13">
        <f>BY50*VLOOKUP('Données projet'!$B$12,Paramètres!$A$1:$I$89,3,0)*VLOOKUP('Données projet'!$B$12,Paramètres!$A$1:$I$89,5,0)</f>
        <v>194.98752000000013</v>
      </c>
      <c r="CA50" s="13">
        <f t="shared" si="39"/>
        <v>48.640954330020385</v>
      </c>
      <c r="CB50" s="20">
        <f t="shared" si="10"/>
        <v>424.31959279145235</v>
      </c>
      <c r="CC50" s="59">
        <f t="shared" si="11"/>
        <v>717.65292612478561</v>
      </c>
      <c r="CD50" s="59">
        <f ca="1">AVERAGE(OFFSET($CC$3,0,0,'Données projet'!$E$12+1,1))-AVERAGE(OFFSET($H$3,0,0,'Données projet'!$E$12+1,1))</f>
        <v>304.32767345253382</v>
      </c>
      <c r="CE50" s="59">
        <f t="shared" si="40"/>
        <v>427.16091343339173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48.676855719880592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48.676855719880592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20.399999999999999</v>
      </c>
      <c r="CT50" s="12">
        <f>IF('Données projet'!$A$140&gt;35,CT49+CS50-DB49,IF(A50&lt;'Données projet'!$A$140,$CQ$205^A50,IF(A50='Données projet'!$A$140,'Données projet'!$B$140,CT49+CS50-DB49)))</f>
        <v>662.79999999999961</v>
      </c>
      <c r="CU50" s="17">
        <f>CT50*VLOOKUP('Données projet'!$B$13,Paramètres!$A$1:$I$89,3,0)*VLOOKUP('Données projet'!$B$13,Paramètres!$A$1:$I$89,5,0)</f>
        <v>370.50519999999983</v>
      </c>
      <c r="CV50" s="13">
        <f t="shared" si="41"/>
        <v>85.770652719303072</v>
      </c>
      <c r="CW50" s="20">
        <f t="shared" si="13"/>
        <v>794.6804434861192</v>
      </c>
      <c r="CX50" s="59">
        <f t="shared" si="14"/>
        <v>1088.0137768194525</v>
      </c>
      <c r="CY50" s="59">
        <f ca="1">AVERAGE(OFFSET($CX$3,0,0,'Données projet'!$E$13+1,1))-AVERAGE(OFFSET($H$3,0,0,'Données projet'!$E$13+1,1))</f>
        <v>555.15881087162279</v>
      </c>
      <c r="CZ50" s="59">
        <f t="shared" si="42"/>
        <v>668.20427590250733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75.582131301686886</v>
      </c>
      <c r="DG50" s="21">
        <f>EXP(-LN(2)/25)*DG49+(1-EXP(-LN(2)/25))/(LN(2)/25)*Calculateur!DB50*Calculateur!DD50*VLOOKUP('Données projet'!$B$13,Paramètres!$A$1:$I$89,3,0)*0.475*44/12</f>
        <v>36.065301914342911</v>
      </c>
      <c r="DH50" s="21">
        <f>EXP(-LN(2)/2)*DH49+(1-EXP(-LN(2)/2))/(LN(2)/2)*DB50*DE50*VLOOKUP('Données projet'!$B$13,Paramètres!$A$1:$I$89,3,0)*0.475*44/12</f>
        <v>2.3491506090133475E-3</v>
      </c>
      <c r="DI50" s="22">
        <f t="shared" si="15"/>
        <v>111.6497823666388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27.8</v>
      </c>
      <c r="DO50" s="12">
        <f>IF('Données projet'!$A$166&gt;35,DO49+DN50-DW49,IF(A50&lt;'Données projet'!$A$166,$DL$205^A50,IF(A50='Données projet'!$A$166,'Données projet'!$B$166,DO49+DN50-DW49)))</f>
        <v>613.59999999999968</v>
      </c>
      <c r="DP50" s="17">
        <f>DO50*VLOOKUP('Données projet'!$B$14,Paramètres!$A$1:$I$89,3,0)*VLOOKUP('Données projet'!$B$14,Paramètres!$A$1:$I$89,5,0)</f>
        <v>287.16479999999984</v>
      </c>
      <c r="DQ50" s="13">
        <f t="shared" si="43"/>
        <v>68.478903347983206</v>
      </c>
      <c r="DR50" s="20">
        <f t="shared" si="16"/>
        <v>619.41278333107039</v>
      </c>
      <c r="DS50" s="59">
        <f t="shared" si="17"/>
        <v>912.74611666440364</v>
      </c>
      <c r="DT50" s="59">
        <f ca="1">AVERAGE(OFFSET($DS$3,0,0,'Données projet'!$E$14+1,1))-AVERAGE(OFFSET($H$3,0,0,'Données projet'!$E$14+1,1))</f>
        <v>523.79180230463714</v>
      </c>
      <c r="DU50" s="59">
        <f t="shared" si="44"/>
        <v>459.3547783500515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75.153588982023251</v>
      </c>
      <c r="EB50" s="21">
        <f>EXP(-LN(2)/25)*EB49+(1-EXP(-LN(2)/25))/(LN(2)/25)*Calculateur!DW50*Calculateur!DY50*VLOOKUP('Données projet'!$B$14,Paramètres!$A$1:$I$89,3,0)*0.475*44/12</f>
        <v>33.355840009204137</v>
      </c>
      <c r="EC50" s="21">
        <f>EXP(-LN(2)/2)*EC49+(1-EXP(-LN(2)/2))/(LN(2)/2)*DW50*DZ50*VLOOKUP('Données projet'!$B$14,Paramètres!$A$1:$I$89,3,0)*0.475*44/12</f>
        <v>3.293130545463813E-3</v>
      </c>
      <c r="ED50" s="22">
        <f t="shared" si="18"/>
        <v>108.51272212177285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9.8000000000000007</v>
      </c>
      <c r="EJ50" s="12">
        <f>IF('Données projet'!$A$192&gt;35,EJ49+EI50-ER49,IF(A50&lt;'Données projet'!$A$192,$EG$205^A50,IF(A50='Données projet'!$A$192,'Données projet'!$B$192,EJ49+EI50-ER49)))</f>
        <v>273.59999999999991</v>
      </c>
      <c r="EK50" s="17">
        <f>EJ50*VLOOKUP('Données projet'!$B$15,Paramètres!$A$1:$I$89,3,0)*VLOOKUP('Données projet'!$B$15,Paramètres!$A$1:$I$89,5,0)</f>
        <v>264.62591999999995</v>
      </c>
      <c r="EL50" s="13">
        <f t="shared" si="45"/>
        <v>63.707422801198604</v>
      </c>
      <c r="EM50" s="20">
        <f t="shared" si="19"/>
        <v>571.84723871208746</v>
      </c>
      <c r="EN50" s="59">
        <f t="shared" si="20"/>
        <v>865.18057204542083</v>
      </c>
      <c r="EO50" s="59">
        <f ca="1">AVERAGE(OFFSET($EN$3,0,0,'Données projet'!$E$15+1,1))-AVERAGE(OFFSET($H$3,0,0,'Données projet'!$E$15+1,1))</f>
        <v>484.41278617935654</v>
      </c>
      <c r="EP50" s="59">
        <f t="shared" si="46"/>
        <v>467.97490540700738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42.724835489090772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42.724835489090772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9.8000000000000007</v>
      </c>
      <c r="FE50" s="12">
        <f>IF('Données projet'!$A$218&gt;35,FE49+FD50-FM49,IF(A50&lt;'Données projet'!$A$218,$FB$205^A50,IF(A50='Données projet'!$A$218,'Données projet'!$B$218,FE49+FD50-FM49)))</f>
        <v>273.59999999999991</v>
      </c>
      <c r="FF50" s="17">
        <f>FE50*VLOOKUP('Données projet'!$B$16,Paramètres!$A$1:$I$89,3,0)*VLOOKUP('Données projet'!$B$16,Paramètres!$A$1:$I$89,5,0)</f>
        <v>294.50303999999988</v>
      </c>
      <c r="FG50" s="13">
        <f t="shared" si="47"/>
        <v>70.022852154069838</v>
      </c>
      <c r="FH50" s="20">
        <f t="shared" si="22"/>
        <v>634.8825955016714</v>
      </c>
      <c r="FI50" s="59">
        <f t="shared" si="23"/>
        <v>928.21592883500466</v>
      </c>
      <c r="FJ50" s="59">
        <f ca="1">AVERAGE(OFFSET($FI$3,0,0,'Données projet'!$E$16+1,1))-AVERAGE(OFFSET($H$3,0,0,'Données projet'!$E$16+1,1))</f>
        <v>534.54020133239135</v>
      </c>
      <c r="FK50" s="59">
        <f t="shared" si="48"/>
        <v>515.48696069008815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47.54860723785908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47.54860723785908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7.6</v>
      </c>
      <c r="FZ50" s="12">
        <f>IF('Données projet'!$A$244&gt;35,FZ49+FY50-GH49,IF(A50&lt;'Données projet'!$A$244,$FW$205^A50,IF(A50='Données projet'!$A$244,'Données projet'!$B$244,FZ49+FY50-GH49)))</f>
        <v>231.1999999999999</v>
      </c>
      <c r="GA50" s="17">
        <f>FZ50*VLOOKUP('Données projet'!$B$17,Paramètres!$A$1:$I$89,3,0)*VLOOKUP('Données projet'!$B$17,Paramètres!$A$1:$I$89,5,0)</f>
        <v>220.00991999999988</v>
      </c>
      <c r="GB50" s="13">
        <f t="shared" si="49"/>
        <v>54.117041777925152</v>
      </c>
      <c r="GC50" s="20">
        <f t="shared" si="25"/>
        <v>477.43779176321937</v>
      </c>
      <c r="GD50" s="59">
        <f t="shared" si="26"/>
        <v>770.77112509655262</v>
      </c>
      <c r="GE50" s="59">
        <f ca="1">AVERAGE(OFFSET($GD$3,0,0,'Données projet'!$E$17+1,1))-AVERAGE(OFFSET($H$3,0,0,'Données projet'!$E$17+1,1))</f>
        <v>455.71329051283936</v>
      </c>
      <c r="GF50" s="59">
        <f t="shared" si="50"/>
        <v>479.3743231122258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36.385542114133557</v>
      </c>
      <c r="GM50" s="21">
        <f>EXP(-LN(2)/25)*GM49+(1-EXP(-LN(2)/25))/(LN(2)/25)*Calculateur!GH50*Calculateur!GJ50*VLOOKUP('Données projet'!$B$17,Paramètres!$A$1:$I$89,3,0)*0.475*44/12</f>
        <v>0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36.385542114133557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9.8000000000000007</v>
      </c>
      <c r="GU50" s="12">
        <f>IF('Données projet'!$A$270&gt;35,GU49+GT50-HC49,IF(A50&lt;'Données projet'!$A$270,$GR$205^A50,IF(A50='Données projet'!$A$270,'Données projet'!$B$270,GU49+GT50-HC49)))</f>
        <v>273.59999999999991</v>
      </c>
      <c r="GV50" s="17">
        <f>GU50*VLOOKUP('Données projet'!$B$18,Paramètres!$A$1:$I$89,3,0)*VLOOKUP('Données projet'!$B$18,Paramètres!$A$1:$I$89,5,0)</f>
        <v>221.94431999999995</v>
      </c>
      <c r="GW50" s="13">
        <f t="shared" si="51"/>
        <v>54.537257414665724</v>
      </c>
      <c r="GX50" s="20">
        <f t="shared" si="28"/>
        <v>481.53874733054272</v>
      </c>
      <c r="GY50" s="59">
        <f t="shared" si="29"/>
        <v>774.87208066387598</v>
      </c>
      <c r="GZ50" s="59">
        <f ca="1">AVERAGE(OFFSET($GY$3,0,0,'Données projet'!$E$18+1,1))-AVERAGE(OFFSET($H$3,0,0,'Données projet'!$E$18+1,1))</f>
        <v>412.59676769258488</v>
      </c>
      <c r="HA50" s="59">
        <f t="shared" si="52"/>
        <v>399.90063795152133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35.833732990850329</v>
      </c>
      <c r="HH50" s="21">
        <f>EXP(-LN(2)/25)*HH49+(1-EXP(-LN(2)/25))/(LN(2)/25)*Calculateur!HC50*Calculateur!HE50*VLOOKUP('Données projet'!$B$18,Paramètres!$A$1:$I$89,3,0)*0.475*44/12</f>
        <v>0</v>
      </c>
      <c r="HI50" s="21">
        <f>EXP(-LN(2)/2)*HI49+(1-EXP(-LN(2)/2))/(LN(2)/2)*HC50*HF50*VLOOKUP('Données projet'!$B$18,Paramètres!$A$1:$I$89,3,0)*0.475*44/12</f>
        <v>0</v>
      </c>
      <c r="HJ50" s="22">
        <f t="shared" si="30"/>
        <v>35.833732990850329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</v>
      </c>
      <c r="N51" s="13">
        <f>IF('Données projet'!$A$36&gt;35,N50+M51-V50,IF(A51&lt;'Données projet'!$A$36,$K$205^A51,IF(A51='Données projet'!$A$36,'Données projet'!$B$36,N50+M51-V50)))</f>
        <v>209.00000000000003</v>
      </c>
      <c r="O51" s="13">
        <f>N51*VLOOKUP('Données projet'!$B$9,Paramètres!$A$1:$I$89,3,0)*VLOOKUP('Données projet'!$B$9,Paramètres!$A$1:$I$89,5,0)</f>
        <v>189.10320000000002</v>
      </c>
      <c r="P51" s="13">
        <f t="shared" si="33"/>
        <v>47.34162854278712</v>
      </c>
      <c r="Q51" s="20">
        <f t="shared" si="53"/>
        <v>411.80807637868764</v>
      </c>
      <c r="R51" s="59">
        <f t="shared" si="0"/>
        <v>705.14140971202096</v>
      </c>
      <c r="S51" s="59">
        <f ca="1">AVERAGE(OFFSET($R$3,0,0,'Données projet'!$E$9+1,1))-AVERAGE(OFFSET($H$3,0,0,'Données projet'!$E$9+1,1))</f>
        <v>439.19854273764042</v>
      </c>
      <c r="T51" s="59">
        <f t="shared" si="34"/>
        <v>278.21741231699929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30.935623420113565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30.935623420113565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</v>
      </c>
      <c r="AI51" s="13">
        <f>IF('Données projet'!$A$62&gt;35,AI50+AH51-AQ50,IF(A51&lt;'Données projet'!$A$62,$AF$205^A51,IF(A51='Données projet'!$A$62,'Données projet'!$B$62,AI50+AH51-AQ50)))</f>
        <v>209.00000000000003</v>
      </c>
      <c r="AJ51" s="13">
        <f>AI51*VLOOKUP('Données projet'!$B$10,Paramètres!$A$1:$I$89,3,0)*VLOOKUP('Données projet'!$B$10,Paramètres!$A$1:$I$89,5,0)</f>
        <v>211.92600000000004</v>
      </c>
      <c r="AK51" s="13">
        <f t="shared" si="35"/>
        <v>52.356241262970165</v>
      </c>
      <c r="AL51" s="20">
        <f t="shared" si="4"/>
        <v>460.29157019967312</v>
      </c>
      <c r="AM51" s="59">
        <f t="shared" si="5"/>
        <v>753.62490353300643</v>
      </c>
      <c r="AN51" s="59">
        <f ca="1">AVERAGE(OFFSET($AM$3,0,0,'Données projet'!$E$10+1,1))-AVERAGE(OFFSET($H$3,0,0,'Données projet'!$E$10+1,1))</f>
        <v>487.18832528146936</v>
      </c>
      <c r="AO51" s="59">
        <f t="shared" si="36"/>
        <v>306.61893266146666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34.669233143230727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34.669233143230727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369.00000000000023</v>
      </c>
      <c r="BE51" s="13">
        <f>BD51*VLOOKUP('Données projet'!$B$11,Paramètres!$A$1:$I$89,3,0)*VLOOKUP('Données projet'!$B$11,Paramètres!$A$1:$I$89,5,0)</f>
        <v>333.87120000000021</v>
      </c>
      <c r="BF51" s="13">
        <f t="shared" si="37"/>
        <v>78.23236011137638</v>
      </c>
      <c r="BG51" s="20">
        <f t="shared" si="7"/>
        <v>717.74703386064755</v>
      </c>
      <c r="BH51" s="59">
        <f t="shared" si="8"/>
        <v>1011.0803671939809</v>
      </c>
      <c r="BI51" s="59">
        <f ca="1">AVERAGE(OFFSET($BH$3,0,0,'Données projet'!$E$11+1,1))-AVERAGE(OFFSET($H$3,0,0,'Données projet'!$E$11+1,1))</f>
        <v>436.23918637269577</v>
      </c>
      <c r="BJ51" s="59">
        <f t="shared" si="38"/>
        <v>611.43967996341894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7.4013071257573584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7.4013071257573584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9.6</v>
      </c>
      <c r="BY51" s="12">
        <f>IF('Données projet'!$A$114&gt;35,BY50+BX51-CG50,IF(A51&lt;'Données projet'!$A$114,$BV$205^A51,IF(A51='Données projet'!$A$114,'Données projet'!$B$114,BY50+BX51-CG50)))</f>
        <v>232.8000000000001</v>
      </c>
      <c r="BZ51" s="13">
        <f>BY51*VLOOKUP('Données projet'!$B$12,Paramètres!$A$1:$I$89,3,0)*VLOOKUP('Données projet'!$B$12,Paramètres!$A$1:$I$89,5,0)</f>
        <v>203.37408000000013</v>
      </c>
      <c r="CA51" s="13">
        <f t="shared" si="39"/>
        <v>50.484964849140624</v>
      </c>
      <c r="CB51" s="20">
        <f t="shared" si="10"/>
        <v>442.1378364455868</v>
      </c>
      <c r="CC51" s="59">
        <f t="shared" si="11"/>
        <v>735.47116977892006</v>
      </c>
      <c r="CD51" s="59">
        <f ca="1">AVERAGE(OFFSET($CC$3,0,0,'Données projet'!$E$12+1,1))-AVERAGE(OFFSET($H$3,0,0,'Données projet'!$E$12+1,1))</f>
        <v>304.32767345253382</v>
      </c>
      <c r="CE51" s="59">
        <f t="shared" si="40"/>
        <v>427.16091343339173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47.722332269164085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47.722332269164085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20.399999999999999</v>
      </c>
      <c r="CT51" s="12">
        <f>IF('Données projet'!$A$140&gt;35,CT50+CS51-DB50,IF(A51&lt;'Données projet'!$A$140,$CQ$205^A51,IF(A51='Données projet'!$A$140,'Données projet'!$B$140,CT50+CS51-DB50)))</f>
        <v>683.19999999999959</v>
      </c>
      <c r="CU51" s="17">
        <f>CT51*VLOOKUP('Données projet'!$B$13,Paramètres!$A$1:$I$89,3,0)*VLOOKUP('Données projet'!$B$13,Paramètres!$A$1:$I$89,5,0)</f>
        <v>381.90879999999981</v>
      </c>
      <c r="CV51" s="13">
        <f t="shared" si="41"/>
        <v>88.099131154986978</v>
      </c>
      <c r="CW51" s="20">
        <f t="shared" si="13"/>
        <v>818.59714676160195</v>
      </c>
      <c r="CX51" s="59">
        <f t="shared" si="14"/>
        <v>1111.9304800949353</v>
      </c>
      <c r="CY51" s="59">
        <f ca="1">AVERAGE(OFFSET($CX$3,0,0,'Données projet'!$E$13+1,1))-AVERAGE(OFFSET($H$3,0,0,'Données projet'!$E$13+1,1))</f>
        <v>555.15881087162279</v>
      </c>
      <c r="CZ51" s="59">
        <f t="shared" si="42"/>
        <v>668.20427590250733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74.100011807408848</v>
      </c>
      <c r="DG51" s="21">
        <f>EXP(-LN(2)/25)*DG50+(1-EXP(-LN(2)/25))/(LN(2)/25)*Calculateur!DB51*Calculateur!DD51*VLOOKUP('Données projet'!$B$13,Paramètres!$A$1:$I$89,3,0)*0.475*44/12</f>
        <v>35.079094336903403</v>
      </c>
      <c r="DH51" s="21">
        <f>EXP(-LN(2)/2)*DH50+(1-EXP(-LN(2)/2))/(LN(2)/2)*DB51*DE51*VLOOKUP('Données projet'!$B$13,Paramètres!$A$1:$I$89,3,0)*0.475*44/12</f>
        <v>1.661100325661846E-3</v>
      </c>
      <c r="DI51" s="22">
        <f t="shared" si="15"/>
        <v>109.18076724463791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27.8</v>
      </c>
      <c r="DO51" s="12">
        <f>IF('Données projet'!$A$166&gt;35,DO50+DN51-DW50,IF(A51&lt;'Données projet'!$A$166,$DL$205^A51,IF(A51='Données projet'!$A$166,'Données projet'!$B$166,DO50+DN51-DW50)))</f>
        <v>641.39999999999964</v>
      </c>
      <c r="DP51" s="17">
        <f>DO51*VLOOKUP('Données projet'!$B$14,Paramètres!$A$1:$I$89,3,0)*VLOOKUP('Données projet'!$B$14,Paramètres!$A$1:$I$89,5,0)</f>
        <v>300.17519999999985</v>
      </c>
      <c r="DQ51" s="13">
        <f t="shared" si="43"/>
        <v>71.213190877103031</v>
      </c>
      <c r="DR51" s="20">
        <f t="shared" si="16"/>
        <v>646.83478077762095</v>
      </c>
      <c r="DS51" s="59">
        <f t="shared" si="17"/>
        <v>940.16811411095432</v>
      </c>
      <c r="DT51" s="59">
        <f ca="1">AVERAGE(OFFSET($DS$3,0,0,'Données projet'!$E$14+1,1))-AVERAGE(OFFSET($H$3,0,0,'Données projet'!$E$14+1,1))</f>
        <v>523.79180230463714</v>
      </c>
      <c r="DU51" s="59">
        <f t="shared" si="44"/>
        <v>459.3547783500515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73.679872941248817</v>
      </c>
      <c r="EB51" s="21">
        <f>EXP(-LN(2)/25)*EB50+(1-EXP(-LN(2)/25))/(LN(2)/25)*Calculateur!DW51*Calculateur!DY51*VLOOKUP('Données projet'!$B$14,Paramètres!$A$1:$I$89,3,0)*0.475*44/12</f>
        <v>32.44372281004506</v>
      </c>
      <c r="EC51" s="21">
        <f>EXP(-LN(2)/2)*EC50+(1-EXP(-LN(2)/2))/(LN(2)/2)*DW51*DZ51*VLOOKUP('Données projet'!$B$14,Paramètres!$A$1:$I$89,3,0)*0.475*44/12</f>
        <v>2.3285949400300163E-3</v>
      </c>
      <c r="ED51" s="22">
        <f t="shared" si="18"/>
        <v>106.1259243462339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9.8000000000000007</v>
      </c>
      <c r="EJ51" s="12">
        <f>IF('Données projet'!$A$192&gt;35,EJ50+EI51-ER50,IF(A51&lt;'Données projet'!$A$192,$EG$205^A51,IF(A51='Données projet'!$A$192,'Données projet'!$B$192,EJ50+EI51-ER50)))</f>
        <v>283.39999999999992</v>
      </c>
      <c r="EK51" s="17">
        <f>EJ51*VLOOKUP('Données projet'!$B$15,Paramètres!$A$1:$I$89,3,0)*VLOOKUP('Données projet'!$B$15,Paramètres!$A$1:$I$89,5,0)</f>
        <v>274.10447999999991</v>
      </c>
      <c r="EL51" s="13">
        <f t="shared" si="45"/>
        <v>65.719577181765516</v>
      </c>
      <c r="EM51" s="20">
        <f t="shared" si="19"/>
        <v>591.86023292490802</v>
      </c>
      <c r="EN51" s="59">
        <f t="shared" si="20"/>
        <v>885.19356625824139</v>
      </c>
      <c r="EO51" s="59">
        <f ca="1">AVERAGE(OFFSET($EN$3,0,0,'Données projet'!$E$15+1,1))-AVERAGE(OFFSET($H$3,0,0,'Données projet'!$E$15+1,1))</f>
        <v>484.41278617935654</v>
      </c>
      <c r="EP51" s="59">
        <f t="shared" si="46"/>
        <v>467.97490540700738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41.887027524726179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41.887027524726179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9.8000000000000007</v>
      </c>
      <c r="FE51" s="12">
        <f>IF('Données projet'!$A$218&gt;35,FE50+FD51-FM50,IF(A51&lt;'Données projet'!$A$218,$FB$205^A51,IF(A51='Données projet'!$A$218,'Données projet'!$B$218,FE50+FD51-FM50)))</f>
        <v>283.39999999999992</v>
      </c>
      <c r="FF51" s="17">
        <f>FE51*VLOOKUP('Données projet'!$B$16,Paramètres!$A$1:$I$89,3,0)*VLOOKUP('Données projet'!$B$16,Paramètres!$A$1:$I$89,5,0)</f>
        <v>305.05175999999989</v>
      </c>
      <c r="FG51" s="13">
        <f t="shared" si="47"/>
        <v>72.23447495258219</v>
      </c>
      <c r="FH51" s="20">
        <f t="shared" si="22"/>
        <v>657.10685920908043</v>
      </c>
      <c r="FI51" s="59">
        <f t="shared" si="23"/>
        <v>950.4401925424138</v>
      </c>
      <c r="FJ51" s="59">
        <f ca="1">AVERAGE(OFFSET($FI$3,0,0,'Données projet'!$E$16+1,1))-AVERAGE(OFFSET($H$3,0,0,'Données projet'!$E$16+1,1))</f>
        <v>534.54020133239135</v>
      </c>
      <c r="FK51" s="59">
        <f t="shared" si="48"/>
        <v>515.48696069008815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46.616208051711389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46.616208051711389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7.6</v>
      </c>
      <c r="FZ51" s="12">
        <f>IF('Données projet'!$A$244&gt;35,FZ50+FY51-GH50,IF(A51&lt;'Données projet'!$A$244,$FW$205^A51,IF(A51='Données projet'!$A$244,'Données projet'!$B$244,FZ50+FY51-GH50)))</f>
        <v>238.7999999999999</v>
      </c>
      <c r="GA51" s="17">
        <f>FZ51*VLOOKUP('Données projet'!$B$17,Paramètres!$A$1:$I$89,3,0)*VLOOKUP('Données projet'!$B$17,Paramètres!$A$1:$I$89,5,0)</f>
        <v>227.24207999999987</v>
      </c>
      <c r="GB51" s="13">
        <f t="shared" si="49"/>
        <v>55.685936717321901</v>
      </c>
      <c r="GC51" s="20">
        <f t="shared" si="25"/>
        <v>492.76629578266881</v>
      </c>
      <c r="GD51" s="59">
        <f t="shared" si="26"/>
        <v>786.09962911600212</v>
      </c>
      <c r="GE51" s="59">
        <f ca="1">AVERAGE(OFFSET($GD$3,0,0,'Données projet'!$E$17+1,1))-AVERAGE(OFFSET($H$3,0,0,'Données projet'!$E$17+1,1))</f>
        <v>455.71329051283936</v>
      </c>
      <c r="GF51" s="59">
        <f t="shared" si="50"/>
        <v>479.3743231122258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35.672043826264712</v>
      </c>
      <c r="GM51" s="21">
        <f>EXP(-LN(2)/25)*GM50+(1-EXP(-LN(2)/25))/(LN(2)/25)*Calculateur!GH51*Calculateur!GJ51*VLOOKUP('Données projet'!$B$17,Paramètres!$A$1:$I$89,3,0)*0.475*44/12</f>
        <v>0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35.672043826264712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9.8000000000000007</v>
      </c>
      <c r="GU51" s="12">
        <f>IF('Données projet'!$A$270&gt;35,GU50+GT51-HC50,IF(A51&lt;'Données projet'!$A$270,$GR$205^A51,IF(A51='Données projet'!$A$270,'Données projet'!$B$270,GU50+GT51-HC50)))</f>
        <v>283.39999999999992</v>
      </c>
      <c r="GV51" s="17">
        <f>GU51*VLOOKUP('Données projet'!$B$18,Paramètres!$A$1:$I$89,3,0)*VLOOKUP('Données projet'!$B$18,Paramètres!$A$1:$I$89,5,0)</f>
        <v>229.89407999999995</v>
      </c>
      <c r="GW51" s="13">
        <f t="shared" si="51"/>
        <v>56.259778536787771</v>
      </c>
      <c r="GX51" s="20">
        <f t="shared" si="28"/>
        <v>498.38463695157185</v>
      </c>
      <c r="GY51" s="59">
        <f t="shared" si="29"/>
        <v>791.71797028490516</v>
      </c>
      <c r="GZ51" s="59">
        <f ca="1">AVERAGE(OFFSET($GY$3,0,0,'Données projet'!$E$18+1,1))-AVERAGE(OFFSET($H$3,0,0,'Données projet'!$E$18+1,1))</f>
        <v>412.59676769258488</v>
      </c>
      <c r="HA51" s="59">
        <f t="shared" si="52"/>
        <v>399.90063795152133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35.131055343318735</v>
      </c>
      <c r="HH51" s="21">
        <f>EXP(-LN(2)/25)*HH50+(1-EXP(-LN(2)/25))/(LN(2)/25)*Calculateur!HC51*Calculateur!HE51*VLOOKUP('Données projet'!$B$18,Paramètres!$A$1:$I$89,3,0)*0.475*44/12</f>
        <v>0</v>
      </c>
      <c r="HI51" s="21">
        <f>EXP(-LN(2)/2)*HI50+(1-EXP(-LN(2)/2))/(LN(2)/2)*HC51*HF51*VLOOKUP('Données projet'!$B$18,Paramètres!$A$1:$I$89,3,0)*0.475*44/12</f>
        <v>0</v>
      </c>
      <c r="HJ51" s="22">
        <f t="shared" si="30"/>
        <v>35.131055343318735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</v>
      </c>
      <c r="N52" s="13">
        <f>IF('Données projet'!$A$36&gt;35,N51+M52-V51,IF(A52&lt;'Données projet'!$A$36,$K$205^A52,IF(A52='Données projet'!$A$36,'Données projet'!$B$36,N51+M52-V51)))</f>
        <v>220.00000000000003</v>
      </c>
      <c r="O52" s="13">
        <f>N52*VLOOKUP('Données projet'!$B$9,Paramètres!$A$1:$I$89,3,0)*VLOOKUP('Données projet'!$B$9,Paramètres!$A$1:$I$89,5,0)</f>
        <v>199.05600000000001</v>
      </c>
      <c r="P52" s="13">
        <f t="shared" si="33"/>
        <v>49.536648006253934</v>
      </c>
      <c r="Q52" s="20">
        <f t="shared" si="53"/>
        <v>432.96552861089231</v>
      </c>
      <c r="R52" s="59">
        <f t="shared" si="0"/>
        <v>726.29886194422556</v>
      </c>
      <c r="S52" s="59">
        <f ca="1">AVERAGE(OFFSET($R$3,0,0,'Données projet'!$E$9+1,1))-AVERAGE(OFFSET($H$3,0,0,'Données projet'!$E$9+1,1))</f>
        <v>439.19854273764042</v>
      </c>
      <c r="T52" s="59">
        <f t="shared" si="34"/>
        <v>278.21741231699929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30.328994713712277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30.328994713712277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</v>
      </c>
      <c r="AI52" s="13">
        <f>IF('Données projet'!$A$62&gt;35,AI51+AH52-AQ51,IF(A52&lt;'Données projet'!$A$62,$AF$205^A52,IF(A52='Données projet'!$A$62,'Données projet'!$B$62,AI51+AH52-AQ51)))</f>
        <v>220.00000000000003</v>
      </c>
      <c r="AJ52" s="13">
        <f>AI52*VLOOKUP('Données projet'!$B$10,Paramètres!$A$1:$I$89,3,0)*VLOOKUP('Données projet'!$B$10,Paramètres!$A$1:$I$89,5,0)</f>
        <v>223.08000000000004</v>
      </c>
      <c r="AK52" s="13">
        <f t="shared" si="35"/>
        <v>54.783765878062667</v>
      </c>
      <c r="AL52" s="20">
        <f t="shared" si="4"/>
        <v>483.94605890429256</v>
      </c>
      <c r="AM52" s="59">
        <f t="shared" si="5"/>
        <v>777.27939223762587</v>
      </c>
      <c r="AN52" s="59">
        <f ca="1">AVERAGE(OFFSET($AM$3,0,0,'Données projet'!$E$10+1,1))-AVERAGE(OFFSET($H$3,0,0,'Données projet'!$E$10+1,1))</f>
        <v>487.18832528146936</v>
      </c>
      <c r="AO52" s="59">
        <f t="shared" si="36"/>
        <v>306.61893266146666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33.98939062743618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33.98939062743618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369.00000000000023</v>
      </c>
      <c r="BE52" s="13">
        <f>BD52*VLOOKUP('Données projet'!$B$11,Paramètres!$A$1:$I$89,3,0)*VLOOKUP('Données projet'!$B$11,Paramètres!$A$1:$I$89,5,0)</f>
        <v>333.87120000000021</v>
      </c>
      <c r="BF52" s="13">
        <f t="shared" si="37"/>
        <v>78.23236011137638</v>
      </c>
      <c r="BG52" s="20">
        <f t="shared" si="7"/>
        <v>717.74703386064755</v>
      </c>
      <c r="BH52" s="59">
        <f t="shared" si="8"/>
        <v>1011.0803671939809</v>
      </c>
      <c r="BI52" s="59">
        <f ca="1">AVERAGE(OFFSET($BH$3,0,0,'Données projet'!$E$11+1,1))-AVERAGE(OFFSET($H$3,0,0,'Données projet'!$E$11+1,1))</f>
        <v>436.23918637269577</v>
      </c>
      <c r="BJ52" s="59">
        <f t="shared" si="38"/>
        <v>611.43967996341894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7.2561720073728484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7.2561720073728484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9.6</v>
      </c>
      <c r="BY52" s="12">
        <f>IF('Données projet'!$A$114&gt;35,BY51+BX52-CG51,IF(A52&lt;'Données projet'!$A$114,$BV$205^A52,IF(A52='Données projet'!$A$114,'Données projet'!$B$114,BY51+BX52-CG51)))</f>
        <v>242.40000000000009</v>
      </c>
      <c r="BZ52" s="13">
        <f>BY52*VLOOKUP('Données projet'!$B$12,Paramètres!$A$1:$I$89,3,0)*VLOOKUP('Données projet'!$B$12,Paramètres!$A$1:$I$89,5,0)</f>
        <v>211.76064000000011</v>
      </c>
      <c r="CA52" s="13">
        <f t="shared" si="39"/>
        <v>52.320142683061327</v>
      </c>
      <c r="CB52" s="20">
        <f t="shared" si="10"/>
        <v>459.94069650633202</v>
      </c>
      <c r="CC52" s="59">
        <f t="shared" si="11"/>
        <v>753.27402983966533</v>
      </c>
      <c r="CD52" s="59">
        <f ca="1">AVERAGE(OFFSET($CC$3,0,0,'Données projet'!$E$12+1,1))-AVERAGE(OFFSET($H$3,0,0,'Données projet'!$E$12+1,1))</f>
        <v>304.32767345253382</v>
      </c>
      <c r="CE52" s="59">
        <f t="shared" si="40"/>
        <v>427.16091343339173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46.786526441114312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46.786526441114312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20.399999999999999</v>
      </c>
      <c r="CT52" s="12">
        <f>IF('Données projet'!$A$140&gt;35,CT51+CS52-DB51,IF(A52&lt;'Données projet'!$A$140,$CQ$205^A52,IF(A52='Données projet'!$A$140,'Données projet'!$B$140,CT51+CS52-DB51)))</f>
        <v>703.59999999999957</v>
      </c>
      <c r="CU52" s="17">
        <f>CT52*VLOOKUP('Données projet'!$B$13,Paramètres!$A$1:$I$89,3,0)*VLOOKUP('Données projet'!$B$13,Paramètres!$A$1:$I$89,5,0)</f>
        <v>393.3123999999998</v>
      </c>
      <c r="CV52" s="13">
        <f t="shared" si="41"/>
        <v>90.419529407700907</v>
      </c>
      <c r="CW52" s="20">
        <f t="shared" si="13"/>
        <v>842.49977705174535</v>
      </c>
      <c r="CX52" s="59">
        <f t="shared" si="14"/>
        <v>1135.8331103850787</v>
      </c>
      <c r="CY52" s="59">
        <f ca="1">AVERAGE(OFFSET($CX$3,0,0,'Données projet'!$E$13+1,1))-AVERAGE(OFFSET($H$3,0,0,'Données projet'!$E$13+1,1))</f>
        <v>555.15881087162279</v>
      </c>
      <c r="CZ52" s="59">
        <f t="shared" si="42"/>
        <v>668.20427590250733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72.646955772409981</v>
      </c>
      <c r="DG52" s="21">
        <f>EXP(-LN(2)/25)*DG51+(1-EXP(-LN(2)/25))/(LN(2)/25)*Calculateur!DB52*Calculateur!DD52*VLOOKUP('Données projet'!$B$13,Paramètres!$A$1:$I$89,3,0)*0.475*44/12</f>
        <v>34.119854657531384</v>
      </c>
      <c r="DH52" s="21">
        <f>EXP(-LN(2)/2)*DH51+(1-EXP(-LN(2)/2))/(LN(2)/2)*DB52*DE52*VLOOKUP('Données projet'!$B$13,Paramètres!$A$1:$I$89,3,0)*0.475*44/12</f>
        <v>1.1745753045066738E-3</v>
      </c>
      <c r="DI52" s="22">
        <f t="shared" si="15"/>
        <v>106.76798500524586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27.8</v>
      </c>
      <c r="DO52" s="12">
        <f>IF('Données projet'!$A$166&gt;35,DO51+DN52-DW51,IF(A52&lt;'Données projet'!$A$166,$DL$205^A52,IF(A52='Données projet'!$A$166,'Données projet'!$B$166,DO51+DN52-DW51)))</f>
        <v>669.19999999999959</v>
      </c>
      <c r="DP52" s="17">
        <f>DO52*VLOOKUP('Données projet'!$B$14,Paramètres!$A$1:$I$89,3,0)*VLOOKUP('Données projet'!$B$14,Paramètres!$A$1:$I$89,5,0)</f>
        <v>313.18559999999979</v>
      </c>
      <c r="DQ52" s="13">
        <f t="shared" si="43"/>
        <v>73.933713870954691</v>
      </c>
      <c r="DR52" s="20">
        <f t="shared" si="16"/>
        <v>674.23280499191242</v>
      </c>
      <c r="DS52" s="59">
        <f t="shared" si="17"/>
        <v>967.56613832524567</v>
      </c>
      <c r="DT52" s="59">
        <f ca="1">AVERAGE(OFFSET($DS$3,0,0,'Données projet'!$E$14+1,1))-AVERAGE(OFFSET($H$3,0,0,'Données projet'!$E$14+1,1))</f>
        <v>523.79180230463714</v>
      </c>
      <c r="DU52" s="59">
        <f t="shared" si="44"/>
        <v>459.3547783500515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72.235055573155933</v>
      </c>
      <c r="EB52" s="21">
        <f>EXP(-LN(2)/25)*EB51+(1-EXP(-LN(2)/25))/(LN(2)/25)*Calculateur!DW52*Calculateur!DY52*VLOOKUP('Données projet'!$B$14,Paramètres!$A$1:$I$89,3,0)*0.475*44/12</f>
        <v>31.556547503663147</v>
      </c>
      <c r="EC52" s="21">
        <f>EXP(-LN(2)/2)*EC51+(1-EXP(-LN(2)/2))/(LN(2)/2)*DW52*DZ52*VLOOKUP('Données projet'!$B$14,Paramètres!$A$1:$I$89,3,0)*0.475*44/12</f>
        <v>1.6465652727319065E-3</v>
      </c>
      <c r="ED52" s="22">
        <f t="shared" si="18"/>
        <v>103.79324964209182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9.8000000000000007</v>
      </c>
      <c r="EJ52" s="12">
        <f>IF('Données projet'!$A$192&gt;35,EJ51+EI52-ER51,IF(A52&lt;'Données projet'!$A$192,$EG$205^A52,IF(A52='Données projet'!$A$192,'Données projet'!$B$192,EJ51+EI52-ER51)))</f>
        <v>293.19999999999993</v>
      </c>
      <c r="EK52" s="17">
        <f>EJ52*VLOOKUP('Données projet'!$B$15,Paramètres!$A$1:$I$89,3,0)*VLOOKUP('Données projet'!$B$15,Paramètres!$A$1:$I$89,5,0)</f>
        <v>283.58303999999993</v>
      </c>
      <c r="EL52" s="13">
        <f t="shared" si="45"/>
        <v>67.723646968605209</v>
      </c>
      <c r="EM52" s="20">
        <f t="shared" si="19"/>
        <v>611.85914647032064</v>
      </c>
      <c r="EN52" s="59">
        <f t="shared" si="20"/>
        <v>905.1924798036539</v>
      </c>
      <c r="EO52" s="59">
        <f ca="1">AVERAGE(OFFSET($EN$3,0,0,'Données projet'!$E$15+1,1))-AVERAGE(OFFSET($H$3,0,0,'Données projet'!$E$15+1,1))</f>
        <v>484.41278617935654</v>
      </c>
      <c r="EP52" s="59">
        <f t="shared" si="46"/>
        <v>467.97490540700738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41.06564846353038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41.06564846353038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9.8000000000000007</v>
      </c>
      <c r="FE52" s="12">
        <f>IF('Données projet'!$A$218&gt;35,FE51+FD52-FM51,IF(A52&lt;'Données projet'!$A$218,$FB$205^A52,IF(A52='Données projet'!$A$218,'Données projet'!$B$218,FE51+FD52-FM51)))</f>
        <v>293.19999999999993</v>
      </c>
      <c r="FF52" s="17">
        <f>FE52*VLOOKUP('Données projet'!$B$16,Paramètres!$A$1:$I$89,3,0)*VLOOKUP('Données projet'!$B$16,Paramètres!$A$1:$I$89,5,0)</f>
        <v>315.60047999999989</v>
      </c>
      <c r="FG52" s="13">
        <f t="shared" si="47"/>
        <v>74.437211717310802</v>
      </c>
      <c r="FH52" s="20">
        <f t="shared" si="22"/>
        <v>679.31564640764952</v>
      </c>
      <c r="FI52" s="59">
        <f t="shared" si="23"/>
        <v>972.6489797409829</v>
      </c>
      <c r="FJ52" s="59">
        <f ca="1">AVERAGE(OFFSET($FI$3,0,0,'Données projet'!$E$16+1,1))-AVERAGE(OFFSET($H$3,0,0,'Données projet'!$E$16+1,1))</f>
        <v>534.54020133239135</v>
      </c>
      <c r="FK52" s="59">
        <f t="shared" si="48"/>
        <v>515.48696069008815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45.702092644896709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45.702092644896709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7.6</v>
      </c>
      <c r="FZ52" s="12">
        <f>IF('Données projet'!$A$244&gt;35,FZ51+FY52-GH51,IF(A52&lt;'Données projet'!$A$244,$FW$205^A52,IF(A52='Données projet'!$A$244,'Données projet'!$B$244,FZ51+FY52-GH51)))</f>
        <v>246.39999999999989</v>
      </c>
      <c r="GA52" s="17">
        <f>FZ52*VLOOKUP('Données projet'!$B$17,Paramètres!$A$1:$I$89,3,0)*VLOOKUP('Données projet'!$B$17,Paramètres!$A$1:$I$89,5,0)</f>
        <v>234.47423999999987</v>
      </c>
      <c r="GB52" s="13">
        <f t="shared" si="49"/>
        <v>57.249029367164567</v>
      </c>
      <c r="GC52" s="20">
        <f t="shared" si="25"/>
        <v>508.08469414781143</v>
      </c>
      <c r="GD52" s="59">
        <f t="shared" si="26"/>
        <v>801.41802748114469</v>
      </c>
      <c r="GE52" s="59">
        <f ca="1">AVERAGE(OFFSET($GD$3,0,0,'Données projet'!$E$17+1,1))-AVERAGE(OFFSET($H$3,0,0,'Données projet'!$E$17+1,1))</f>
        <v>455.71329051283936</v>
      </c>
      <c r="GF52" s="59">
        <f t="shared" si="50"/>
        <v>479.3743231122258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34.972536804629989</v>
      </c>
      <c r="GM52" s="21">
        <f>EXP(-LN(2)/25)*GM51+(1-EXP(-LN(2)/25))/(LN(2)/25)*Calculateur!GH52*Calculateur!GJ52*VLOOKUP('Données projet'!$B$17,Paramètres!$A$1:$I$89,3,0)*0.475*44/12</f>
        <v>0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34.972536804629989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9.8000000000000007</v>
      </c>
      <c r="GU52" s="12">
        <f>IF('Données projet'!$A$270&gt;35,GU51+GT52-HC51,IF(A52&lt;'Données projet'!$A$270,$GR$205^A52,IF(A52='Données projet'!$A$270,'Données projet'!$B$270,GU51+GT52-HC51)))</f>
        <v>293.19999999999993</v>
      </c>
      <c r="GV52" s="17">
        <f>GU52*VLOOKUP('Données projet'!$B$18,Paramètres!$A$1:$I$89,3,0)*VLOOKUP('Données projet'!$B$18,Paramètres!$A$1:$I$89,5,0)</f>
        <v>237.84383999999997</v>
      </c>
      <c r="GW52" s="13">
        <f t="shared" si="51"/>
        <v>57.975378776698456</v>
      </c>
      <c r="GX52" s="20">
        <f t="shared" si="28"/>
        <v>515.21847270274975</v>
      </c>
      <c r="GY52" s="59">
        <f t="shared" si="29"/>
        <v>808.55180603608301</v>
      </c>
      <c r="GZ52" s="59">
        <f ca="1">AVERAGE(OFFSET($GY$3,0,0,'Données projet'!$E$18+1,1))-AVERAGE(OFFSET($H$3,0,0,'Données projet'!$E$18+1,1))</f>
        <v>412.59676769258488</v>
      </c>
      <c r="HA52" s="59">
        <f t="shared" si="52"/>
        <v>399.90063795152133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34.442156775864191</v>
      </c>
      <c r="HH52" s="21">
        <f>EXP(-LN(2)/25)*HH51+(1-EXP(-LN(2)/25))/(LN(2)/25)*Calculateur!HC52*Calculateur!HE52*VLOOKUP('Données projet'!$B$18,Paramètres!$A$1:$I$89,3,0)*0.475*44/12</f>
        <v>0</v>
      </c>
      <c r="HI52" s="21">
        <f>EXP(-LN(2)/2)*HI51+(1-EXP(-LN(2)/2))/(LN(2)/2)*HC52*HF52*VLOOKUP('Données projet'!$B$18,Paramètres!$A$1:$I$89,3,0)*0.475*44/12</f>
        <v>0</v>
      </c>
      <c r="HJ52" s="22">
        <f t="shared" si="30"/>
        <v>34.442156775864191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231</v>
      </c>
      <c r="L53" s="12">
        <f>VLOOKUP(A53,'Données projet'!$A$35:$I$55,9,0)</f>
        <v>11</v>
      </c>
      <c r="M53" s="12">
        <f t="array" ref="M53">INDEX(L:L,MIN(IF(ISNUMBER(L53:L249),ROW(L53:L249),"")))</f>
        <v>11</v>
      </c>
      <c r="N53" s="13">
        <f>IF('Données projet'!$A$36&gt;35,N52+M53-V52,IF(A53&lt;'Données projet'!$A$36,$K$205^A53,IF(A53='Données projet'!$A$36,'Données projet'!$B$36,N52+M53-V52)))</f>
        <v>231.00000000000003</v>
      </c>
      <c r="O53" s="13">
        <f>N53*VLOOKUP('Données projet'!$B$9,Paramètres!$A$1:$I$89,3,0)*VLOOKUP('Données projet'!$B$9,Paramètres!$A$1:$I$89,5,0)</f>
        <v>209.00880000000004</v>
      </c>
      <c r="P53" s="13">
        <f t="shared" si="33"/>
        <v>51.718923953824252</v>
      </c>
      <c r="Q53" s="20">
        <f t="shared" si="53"/>
        <v>454.10078588624395</v>
      </c>
      <c r="R53" s="59">
        <f t="shared" si="0"/>
        <v>747.43411921957727</v>
      </c>
      <c r="S53" s="59">
        <f ca="1">AVERAGE(OFFSET($R$3,0,0,'Données projet'!$E$9+1,1))-AVERAGE(OFFSET($H$3,0,0,'Données projet'!$E$9+1,1))</f>
        <v>439.19854273764042</v>
      </c>
      <c r="T53" s="59">
        <f t="shared" si="34"/>
        <v>278.21741231699929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28</v>
      </c>
      <c r="W53" s="16">
        <f>IF(ISNA(VLOOKUP(A53,'Données projet'!$A$35:$I$55,5,0)),0%,VLOOKUP(A53,'Données projet'!$A$35:$I$55,5,0)*VLOOKUP('Données projet'!$B$9,Paramètres!$A$1:$I$89,7,0))</f>
        <v>0.43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41.777026003029555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41.777026003029555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231</v>
      </c>
      <c r="AG53" s="12">
        <f>VLOOKUP(A53,'Données projet'!$A$61:$I$81,9,0)</f>
        <v>11</v>
      </c>
      <c r="AH53" s="12">
        <f t="array" ref="AH53">INDEX(AG:AG,MIN(IF(ISNUMBER(AG53:AG249),ROW(AG53:AG249),"")))</f>
        <v>11</v>
      </c>
      <c r="AI53" s="13">
        <f>IF('Données projet'!$A$62&gt;35,AI52+AH53-AQ52,IF(A53&lt;'Données projet'!$A$62,$AF$205^A53,IF(A53='Données projet'!$A$62,'Données projet'!$B$62,AI52+AH53-AQ52)))</f>
        <v>231.00000000000003</v>
      </c>
      <c r="AJ53" s="13">
        <f>AI53*VLOOKUP('Données projet'!$B$10,Paramètres!$A$1:$I$89,3,0)*VLOOKUP('Données projet'!$B$10,Paramètres!$A$1:$I$89,5,0)</f>
        <v>234.23400000000007</v>
      </c>
      <c r="AK53" s="13">
        <f t="shared" si="35"/>
        <v>57.197197133603488</v>
      </c>
      <c r="AL53" s="20">
        <f t="shared" si="4"/>
        <v>507.57600167435953</v>
      </c>
      <c r="AM53" s="59">
        <f t="shared" si="5"/>
        <v>800.90933500769279</v>
      </c>
      <c r="AN53" s="59">
        <f ca="1">AVERAGE(OFFSET($AM$3,0,0,'Données projet'!$E$10+1,1))-AVERAGE(OFFSET($H$3,0,0,'Données projet'!$E$10+1,1))</f>
        <v>487.18832528146936</v>
      </c>
      <c r="AO53" s="59">
        <f t="shared" si="36"/>
        <v>306.61893266146666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46.819080865464173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46.819080865464173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369.00000000000023</v>
      </c>
      <c r="BE53" s="13">
        <f>BD53*VLOOKUP('Données projet'!$B$11,Paramètres!$A$1:$I$89,3,0)*VLOOKUP('Données projet'!$B$11,Paramètres!$A$1:$I$89,5,0)</f>
        <v>333.87120000000021</v>
      </c>
      <c r="BF53" s="13">
        <f t="shared" si="37"/>
        <v>78.23236011137638</v>
      </c>
      <c r="BG53" s="20">
        <f t="shared" si="7"/>
        <v>717.74703386064755</v>
      </c>
      <c r="BH53" s="59">
        <f t="shared" si="8"/>
        <v>1011.0803671939809</v>
      </c>
      <c r="BI53" s="59">
        <f ca="1">AVERAGE(OFFSET($BH$3,0,0,'Données projet'!$E$11+1,1))-AVERAGE(OFFSET($H$3,0,0,'Données projet'!$E$11+1,1))</f>
        <v>436.23918637269577</v>
      </c>
      <c r="BJ53" s="59">
        <f t="shared" si="38"/>
        <v>611.43967996341894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7.1138829001361774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7.1138829001361774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252</v>
      </c>
      <c r="BW53" s="12">
        <f>VLOOKUP(A53,'Données projet'!$A$113:$I$133,9,0)</f>
        <v>9.6</v>
      </c>
      <c r="BX53" s="12">
        <f t="array" ref="BX53">INDEX(BW:BW,MIN(IF(ISNUMBER(BW53:BW249),ROW(BW53:BW249),"")))</f>
        <v>9.6</v>
      </c>
      <c r="BY53" s="12">
        <f>IF('Données projet'!$A$114&gt;35,BY52+BX53-CG52,IF(A53&lt;'Données projet'!$A$114,$BV$205^A53,IF(A53='Données projet'!$A$114,'Données projet'!$B$114,BY52+BX53-CG52)))</f>
        <v>252.00000000000009</v>
      </c>
      <c r="BZ53" s="13">
        <f>BY53*VLOOKUP('Données projet'!$B$12,Paramètres!$A$1:$I$89,3,0)*VLOOKUP('Données projet'!$B$12,Paramètres!$A$1:$I$89,5,0)</f>
        <v>220.14720000000011</v>
      </c>
      <c r="CA53" s="13">
        <f t="shared" si="39"/>
        <v>54.146877667769687</v>
      </c>
      <c r="CB53" s="20">
        <f t="shared" si="10"/>
        <v>477.72885193803239</v>
      </c>
      <c r="CC53" s="59">
        <f t="shared" si="11"/>
        <v>771.06218527136571</v>
      </c>
      <c r="CD53" s="59">
        <f ca="1">AVERAGE(OFFSET($CC$3,0,0,'Données projet'!$E$12+1,1))-AVERAGE(OFFSET($H$3,0,0,'Données projet'!$E$12+1,1))</f>
        <v>304.32767345253382</v>
      </c>
      <c r="CE53" s="59">
        <f t="shared" si="40"/>
        <v>427.16091343339173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37</v>
      </c>
      <c r="CH53" s="16">
        <f>IF(ISNA(VLOOKUP(A53,'Données projet'!$A$113:$I$133,5,0)),0%,VLOOKUP(A53,'Données projet'!$A$113:$I$133,5,0)*VLOOKUP('Données projet'!$B$12,Paramètres!$A$1:$I$89,7,0))</f>
        <v>0.43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61.233977468406763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61.233977468406763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724</v>
      </c>
      <c r="CR53" s="12">
        <f>VLOOKUP(A53,'Données projet'!$A$139:$I$159,9,0)</f>
        <v>20.399999999999999</v>
      </c>
      <c r="CS53" s="12">
        <f t="array" ref="CS53">INDEX(CR:CR,MIN(IF(ISNUMBER(CR53:CR249),ROW(CR53:CR249),"")))</f>
        <v>20.399999999999999</v>
      </c>
      <c r="CT53" s="12">
        <f>IF('Données projet'!$A$140&gt;35,CT52+CS53-DB52,IF(A53&lt;'Données projet'!$A$140,$CQ$205^A53,IF(A53='Données projet'!$A$140,'Données projet'!$B$140,CT52+CS53-DB52)))</f>
        <v>723.99999999999955</v>
      </c>
      <c r="CU53" s="17">
        <f>CT53*VLOOKUP('Données projet'!$B$13,Paramètres!$A$1:$I$89,3,0)*VLOOKUP('Données projet'!$B$13,Paramètres!$A$1:$I$89,5,0)</f>
        <v>404.71599999999978</v>
      </c>
      <c r="CV53" s="13">
        <f t="shared" si="41"/>
        <v>92.732108655131142</v>
      </c>
      <c r="CW53" s="20">
        <f t="shared" si="13"/>
        <v>866.38878924101971</v>
      </c>
      <c r="CX53" s="59">
        <f t="shared" si="14"/>
        <v>1159.7221225743531</v>
      </c>
      <c r="CY53" s="59">
        <f ca="1">AVERAGE(OFFSET($CX$3,0,0,'Données projet'!$E$13+1,1))-AVERAGE(OFFSET($H$3,0,0,'Données projet'!$E$13+1,1))</f>
        <v>555.15881087162279</v>
      </c>
      <c r="CZ53" s="59">
        <f t="shared" si="42"/>
        <v>668.20427590250733</v>
      </c>
      <c r="DA53" s="15">
        <f>IF(ISNA(VLOOKUP(A53,'Données projet'!$A$139:$I$159,3,0)),0,VLOOKUP(A53,'Données projet'!$A$139:$I$159,3,0))</f>
        <v>7</v>
      </c>
      <c r="DB53" s="15">
        <f>IF(ISNA(VLOOKUP(A53,'Données projet'!$A$139:$I$159,4,0)),0,VLOOKUP(A53,'Données projet'!$A$139:$I$159,4,0))</f>
        <v>62</v>
      </c>
      <c r="DC53" s="16">
        <f>IF(ISNA(VLOOKUP(A53,'Données projet'!$A$139:$I$159,5,0)),0%,VLOOKUP(A53,'Données projet'!$A$139:$I$159,5,0)*VLOOKUP('Données projet'!$B$13,Paramètres!$A$1:$I$89,7,0))</f>
        <v>0.55000000000000004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96.509232273123743</v>
      </c>
      <c r="DG53" s="21">
        <f>EXP(-LN(2)/25)*DG52+(1-EXP(-LN(2)/25))/(LN(2)/25)*Calculateur!DB53*Calculateur!DD53*VLOOKUP('Données projet'!$B$13,Paramètres!$A$1:$I$89,3,0)*0.475*44/12</f>
        <v>33.186845437636016</v>
      </c>
      <c r="DH53" s="21">
        <f>EXP(-LN(2)/2)*DH52+(1-EXP(-LN(2)/2))/(LN(2)/2)*DB53*DE53*VLOOKUP('Données projet'!$B$13,Paramètres!$A$1:$I$89,3,0)*0.475*44/12</f>
        <v>8.30550162830923E-4</v>
      </c>
      <c r="DI53" s="22">
        <f t="shared" si="15"/>
        <v>129.69690826092258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697</v>
      </c>
      <c r="DM53" s="12">
        <f>VLOOKUP(A53,'Données projet'!$A$165:$I$185,9,0)</f>
        <v>27.8</v>
      </c>
      <c r="DN53" s="12">
        <f t="array" ref="DN53">INDEX(DM:DM,MIN(IF(ISNUMBER(DM53:DM249),ROW(DM53:DM249),"")))</f>
        <v>27.8</v>
      </c>
      <c r="DO53" s="12">
        <f>IF('Données projet'!$A$166&gt;35,DO52+DN53-DW52,IF(A53&lt;'Données projet'!$A$166,$DL$205^A53,IF(A53='Données projet'!$A$166,'Données projet'!$B$166,DO52+DN53-DW52)))</f>
        <v>696.99999999999955</v>
      </c>
      <c r="DP53" s="17">
        <f>DO53*VLOOKUP('Données projet'!$B$14,Paramètres!$A$1:$I$89,3,0)*VLOOKUP('Données projet'!$B$14,Paramètres!$A$1:$I$89,5,0)</f>
        <v>326.1959999999998</v>
      </c>
      <c r="DQ53" s="13">
        <f t="shared" si="43"/>
        <v>76.641109529113393</v>
      </c>
      <c r="DR53" s="20">
        <f t="shared" si="16"/>
        <v>701.60796576320536</v>
      </c>
      <c r="DS53" s="59">
        <f t="shared" si="17"/>
        <v>994.94129909653861</v>
      </c>
      <c r="DT53" s="59">
        <f ca="1">AVERAGE(OFFSET($DS$3,0,0,'Données projet'!$E$14+1,1))-AVERAGE(OFFSET($H$3,0,0,'Données projet'!$E$14+1,1))</f>
        <v>523.79180230463714</v>
      </c>
      <c r="DU53" s="59">
        <f t="shared" si="44"/>
        <v>459.3547783500515</v>
      </c>
      <c r="DV53" s="15">
        <f>IF(ISNA(VLOOKUP(A53,'Données projet'!$A$165:$I$185,3,0)),0,VLOOKUP(A53,'Données projet'!$A$165:$I$185,3,0))</f>
        <v>7</v>
      </c>
      <c r="DW53" s="15">
        <f>IF(ISNA(VLOOKUP(A53,'Données projet'!$A$165:$I$185,4,0)),0,VLOOKUP(A53,'Données projet'!$A$165:$I$185,4,0))</f>
        <v>79</v>
      </c>
      <c r="DX53" s="16">
        <f>IF(ISNA(VLOOKUP(A53,'Données projet'!$A$165:$I$185,5,0)),0%,VLOOKUP(A53,'Données projet'!$A$165:$I$185,5,0)*VLOOKUP('Données projet'!$B$14,Paramètres!$A$1:$I$89,7,0))</f>
        <v>0.55000000000000004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97.793727767980656</v>
      </c>
      <c r="EB53" s="21">
        <f>EXP(-LN(2)/25)*EB52+(1-EXP(-LN(2)/25))/(LN(2)/25)*Calculateur!DW53*Calculateur!DY53*VLOOKUP('Données projet'!$B$14,Paramètres!$A$1:$I$89,3,0)*0.475*44/12</f>
        <v>30.69363205268877</v>
      </c>
      <c r="EC53" s="21">
        <f>EXP(-LN(2)/2)*EC52+(1-EXP(-LN(2)/2))/(LN(2)/2)*DW53*DZ53*VLOOKUP('Données projet'!$B$14,Paramètres!$A$1:$I$89,3,0)*0.475*44/12</f>
        <v>1.1642974700150082E-3</v>
      </c>
      <c r="ED53" s="22">
        <f t="shared" si="18"/>
        <v>128.48852411813945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303</v>
      </c>
      <c r="EH53" s="12">
        <f>VLOOKUP(A53,'Données projet'!$A$191:$I$211,9,0)</f>
        <v>9.8000000000000007</v>
      </c>
      <c r="EI53" s="12">
        <f t="array" ref="EI53">INDEX(EH:EH,MIN(IF(ISNUMBER(EH53:EH249),ROW(EH53:EH249),"")))</f>
        <v>9.8000000000000007</v>
      </c>
      <c r="EJ53" s="12">
        <f>IF('Données projet'!$A$192&gt;35,EJ52+EI53-ER52,IF(A53&lt;'Données projet'!$A$192,$EG$205^A53,IF(A53='Données projet'!$A$192,'Données projet'!$B$192,EJ52+EI53-ER52)))</f>
        <v>302.99999999999994</v>
      </c>
      <c r="EK53" s="17">
        <f>EJ53*VLOOKUP('Données projet'!$B$15,Paramètres!$A$1:$I$89,3,0)*VLOOKUP('Données projet'!$B$15,Paramètres!$A$1:$I$89,5,0)</f>
        <v>293.06159999999994</v>
      </c>
      <c r="EL53" s="13">
        <f t="shared" si="45"/>
        <v>69.719933365116546</v>
      </c>
      <c r="EM53" s="20">
        <f t="shared" si="19"/>
        <v>631.84450394424459</v>
      </c>
      <c r="EN53" s="59">
        <f t="shared" si="20"/>
        <v>925.17783727757796</v>
      </c>
      <c r="EO53" s="59">
        <f ca="1">AVERAGE(OFFSET($EN$3,0,0,'Données projet'!$E$15+1,1))-AVERAGE(OFFSET($H$3,0,0,'Données projet'!$E$15+1,1))</f>
        <v>484.41278617935654</v>
      </c>
      <c r="EP53" s="59">
        <f t="shared" si="46"/>
        <v>467.97490540700738</v>
      </c>
      <c r="EQ53" s="15">
        <f>IF(ISNA(VLOOKUP(A53,'Données projet'!$A$191:$I$211,3,0)),0,VLOOKUP(A53,'Données projet'!$A$191:$I$211,3,0))</f>
        <v>9</v>
      </c>
      <c r="ER53" s="15">
        <f>IF(ISNA(VLOOKUP(A53,'Données projet'!$A$191:$I$211,4,0)),0,VLOOKUP(A53,'Données projet'!$A$191:$I$211,4,0))</f>
        <v>21</v>
      </c>
      <c r="ES53" s="16">
        <f>IF(ISNA(VLOOKUP(A53,'Données projet'!$A$191:$I$211,5,0)),0%,VLOOKUP(A53,'Données projet'!$A$191:$I$211,5,0)*VLOOKUP('Données projet'!$B$15,Paramètres!$A$1:$I$89,7,0))</f>
        <v>0.43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49.915351033023818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49.915351033023818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303</v>
      </c>
      <c r="FC53" s="12">
        <f>VLOOKUP(A53,'Données projet'!$A$217:$I$237,9,0)</f>
        <v>9.8000000000000007</v>
      </c>
      <c r="FD53" s="12">
        <f t="array" ref="FD53">INDEX(FC:FC,MIN(IF(ISNUMBER(FC53:FC249),ROW(FC53:FC249),"")))</f>
        <v>9.8000000000000007</v>
      </c>
      <c r="FE53" s="12">
        <f>IF('Données projet'!$A$218&gt;35,FE52+FD53-FM52,IF(A53&lt;'Données projet'!$A$218,$FB$205^A53,IF(A53='Données projet'!$A$218,'Données projet'!$B$218,FE52+FD53-FM52)))</f>
        <v>302.99999999999994</v>
      </c>
      <c r="FF53" s="17">
        <f>FE53*VLOOKUP('Données projet'!$B$16,Paramètres!$A$1:$I$89,3,0)*VLOOKUP('Données projet'!$B$16,Paramètres!$A$1:$I$89,5,0)</f>
        <v>326.14919999999989</v>
      </c>
      <c r="FG53" s="13">
        <f t="shared" si="47"/>
        <v>76.631393510479626</v>
      </c>
      <c r="FH53" s="20">
        <f t="shared" si="22"/>
        <v>701.50953369741853</v>
      </c>
      <c r="FI53" s="59">
        <f t="shared" si="23"/>
        <v>994.8428670307519</v>
      </c>
      <c r="FJ53" s="59">
        <f ca="1">AVERAGE(OFFSET($FI$3,0,0,'Données projet'!$E$16+1,1))-AVERAGE(OFFSET($H$3,0,0,'Données projet'!$E$16+1,1))</f>
        <v>534.54020133239135</v>
      </c>
      <c r="FK53" s="59">
        <f t="shared" si="48"/>
        <v>515.48696069008815</v>
      </c>
      <c r="FL53" s="15">
        <f>IF(ISNA(VLOOKUP(A53,'Données projet'!$A$217:$I$237,3,0)),0,VLOOKUP(A53,'Données projet'!$A$217:$I$237,3,0))</f>
        <v>9</v>
      </c>
      <c r="FM53" s="15">
        <f>IF(ISNA(VLOOKUP(A53,'Données projet'!$A$217:$I$237,4,0)),0,VLOOKUP(A53,'Données projet'!$A$217:$I$237,4,0))</f>
        <v>21</v>
      </c>
      <c r="FN53" s="16">
        <f>IF(ISNA(VLOOKUP(A53,'Données projet'!$A$217:$I$237,5,0)),0%,VLOOKUP(A53,'Données projet'!$A$217:$I$237,5,0)*VLOOKUP('Données projet'!$B$16,Paramètres!$A$1:$I$89,7,0))</f>
        <v>0.43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55.550955181913608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55.550955181913608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254</v>
      </c>
      <c r="FX53" s="12">
        <f>VLOOKUP(A53,'Données projet'!$A$243:$I$263,9,0)</f>
        <v>7.6</v>
      </c>
      <c r="FY53" s="12">
        <f t="array" ref="FY53">INDEX(FX:FX,MIN(IF(ISNUMBER(FX53:FX249),ROW(FX53:FX249),"")))</f>
        <v>7.6</v>
      </c>
      <c r="FZ53" s="12">
        <f>IF('Données projet'!$A$244&gt;35,FZ52+FY53-GH52,IF(A53&lt;'Données projet'!$A$244,$FW$205^A53,IF(A53='Données projet'!$A$244,'Données projet'!$B$244,FZ52+FY53-GH52)))</f>
        <v>253.99999999999989</v>
      </c>
      <c r="GA53" s="17">
        <f>FZ53*VLOOKUP('Données projet'!$B$17,Paramètres!$A$1:$I$89,3,0)*VLOOKUP('Données projet'!$B$17,Paramètres!$A$1:$I$89,5,0)</f>
        <v>241.70639999999992</v>
      </c>
      <c r="GB53" s="13">
        <f t="shared" si="49"/>
        <v>58.806519231842486</v>
      </c>
      <c r="GC53" s="20">
        <f t="shared" si="25"/>
        <v>523.39333432879209</v>
      </c>
      <c r="GD53" s="59">
        <f t="shared" si="26"/>
        <v>816.72666766212546</v>
      </c>
      <c r="GE53" s="59">
        <f ca="1">AVERAGE(OFFSET($GD$3,0,0,'Données projet'!$E$17+1,1))-AVERAGE(OFFSET($H$3,0,0,'Données projet'!$E$17+1,1))</f>
        <v>455.71329051283936</v>
      </c>
      <c r="GF53" s="59">
        <f t="shared" si="50"/>
        <v>479.3743231122258</v>
      </c>
      <c r="GG53" s="15">
        <f>IF(ISNA(VLOOKUP(A53,'Données projet'!$A$243:$I$263,3,0)),0,VLOOKUP(A53,'Données projet'!$A$243:$I$263,3,0))</f>
        <v>9</v>
      </c>
      <c r="GH53" s="15">
        <f>IF(ISNA(VLOOKUP(A53,'Données projet'!$A$243:$I$263,4,0)),0,VLOOKUP(A53,'Données projet'!$A$243:$I$263,4,0))</f>
        <v>31</v>
      </c>
      <c r="GI53" s="16">
        <f>IF(ISNA(VLOOKUP(A53,'Données projet'!$A$243:$I$263,5,0)),0%,VLOOKUP(A53,'Données projet'!$A$243:$I$263,5,0)*VLOOKUP('Données projet'!$B$17,Paramètres!$A$1:$I$89,7,0))</f>
        <v>0.43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48.30944831250256</v>
      </c>
      <c r="GM53" s="21">
        <f>EXP(-LN(2)/25)*GM52+(1-EXP(-LN(2)/25))/(LN(2)/25)*Calculateur!GH53*Calculateur!GJ53*VLOOKUP('Données projet'!$B$17,Paramètres!$A$1:$I$89,3,0)*0.475*44/12</f>
        <v>0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48.30944831250256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>
        <f>VLOOKUP(A53,'Données projet'!$A$269:$I$289,2,0)</f>
        <v>303</v>
      </c>
      <c r="GS53" s="12">
        <f>VLOOKUP(A53,'Données projet'!$A$269:$I$289,9,0)</f>
        <v>9.8000000000000007</v>
      </c>
      <c r="GT53" s="12">
        <f t="array" ref="GT53">INDEX(GS:GS,MIN(IF(ISNUMBER(GS53:GS249),ROW(GS53:GS249),"")))</f>
        <v>9.8000000000000007</v>
      </c>
      <c r="GU53" s="12">
        <f>IF('Données projet'!$A$270&gt;35,GU52+GT53-HC52,IF(A53&lt;'Données projet'!$A$270,$GR$205^A53,IF(A53='Données projet'!$A$270,'Données projet'!$B$270,GU52+GT53-HC52)))</f>
        <v>302.99999999999994</v>
      </c>
      <c r="GV53" s="17">
        <f>GU53*VLOOKUP('Données projet'!$B$18,Paramètres!$A$1:$I$89,3,0)*VLOOKUP('Données projet'!$B$18,Paramètres!$A$1:$I$89,5,0)</f>
        <v>245.79359999999997</v>
      </c>
      <c r="GW53" s="13">
        <f t="shared" si="51"/>
        <v>59.684315982017168</v>
      </c>
      <c r="GX53" s="20">
        <f t="shared" si="28"/>
        <v>532.04070366867984</v>
      </c>
      <c r="GY53" s="59">
        <f t="shared" si="29"/>
        <v>825.37403700201321</v>
      </c>
      <c r="GZ53" s="59">
        <f ca="1">AVERAGE(OFFSET($GY$3,0,0,'Données projet'!$E$18+1,1))-AVERAGE(OFFSET($H$3,0,0,'Données projet'!$E$18+1,1))</f>
        <v>412.59676769258488</v>
      </c>
      <c r="HA53" s="59">
        <f t="shared" si="52"/>
        <v>399.90063795152133</v>
      </c>
      <c r="HB53" s="15">
        <f>IF(ISNA(VLOOKUP(A53,'Données projet'!$A$269:$I$289,3,0)),0,VLOOKUP(A53,'Données projet'!$A$269:$I$289,3,0))</f>
        <v>9</v>
      </c>
      <c r="HC53" s="15">
        <f>IF(ISNA(VLOOKUP(A53,'Données projet'!$A$269:$I$289,4,0)),0,VLOOKUP(A53,'Données projet'!$A$269:$I$289,4,0))</f>
        <v>21</v>
      </c>
      <c r="HD53" s="16">
        <f>IF(ISNA(VLOOKUP(A53,'Données projet'!$A$269:$I$289,5,0)),0%,VLOOKUP(A53,'Données projet'!$A$269:$I$289,5,0)*VLOOKUP('Données projet'!$B$18,Paramètres!$A$1:$I$89,7,0))</f>
        <v>0.43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41.864487963181276</v>
      </c>
      <c r="HH53" s="21">
        <f>EXP(-LN(2)/25)*HH52+(1-EXP(-LN(2)/25))/(LN(2)/25)*Calculateur!HC53*Calculateur!HE53*VLOOKUP('Données projet'!$B$18,Paramètres!$A$1:$I$89,3,0)*0.475*44/12</f>
        <v>0</v>
      </c>
      <c r="HI53" s="21">
        <f>EXP(-LN(2)/2)*HI52+(1-EXP(-LN(2)/2))/(LN(2)/2)*HC53*HF53*VLOOKUP('Données projet'!$B$18,Paramètres!$A$1:$I$89,3,0)*0.475*44/12</f>
        <v>0</v>
      </c>
      <c r="HJ53" s="22">
        <f t="shared" si="30"/>
        <v>41.864487963181276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10.199999999999999</v>
      </c>
      <c r="N54" s="13">
        <f>IF('Données projet'!$A$36&gt;35,N53+M54-V53,IF(A54&lt;'Données projet'!$A$36,$K$205^A54,IF(A54='Données projet'!$A$36,'Données projet'!$B$36,N53+M54-V53)))</f>
        <v>213.20000000000002</v>
      </c>
      <c r="O54" s="13">
        <f>N54*VLOOKUP('Données projet'!$B$9,Paramètres!$A$1:$I$89,3,0)*VLOOKUP('Données projet'!$B$9,Paramètres!$A$1:$I$89,5,0)</f>
        <v>192.90336000000002</v>
      </c>
      <c r="P54" s="13">
        <f t="shared" si="33"/>
        <v>48.181276881765257</v>
      </c>
      <c r="Q54" s="20">
        <f t="shared" si="53"/>
        <v>419.88907590240791</v>
      </c>
      <c r="R54" s="59">
        <f t="shared" si="0"/>
        <v>713.22240923574122</v>
      </c>
      <c r="S54" s="59">
        <f ca="1">AVERAGE(OFFSET($R$3,0,0,'Données projet'!$E$9+1,1))-AVERAGE(OFFSET($H$3,0,0,'Données projet'!$E$9+1,1))</f>
        <v>439.19854273764042</v>
      </c>
      <c r="T54" s="59">
        <f t="shared" si="34"/>
        <v>278.21741231699929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40.95780400457992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40.95780400457992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10.199999999999999</v>
      </c>
      <c r="AI54" s="13">
        <f>IF('Données projet'!$A$62&gt;35,AI53+AH54-AQ53,IF(A54&lt;'Données projet'!$A$62,$AF$205^A54,IF(A54='Données projet'!$A$62,'Données projet'!$B$62,AI53+AH54-AQ53)))</f>
        <v>213.20000000000002</v>
      </c>
      <c r="AJ54" s="13">
        <f>AI54*VLOOKUP('Données projet'!$B$10,Paramètres!$A$1:$I$89,3,0)*VLOOKUP('Données projet'!$B$10,Paramètres!$A$1:$I$89,5,0)</f>
        <v>216.18480000000002</v>
      </c>
      <c r="AK54" s="13">
        <f t="shared" si="35"/>
        <v>53.284828478170375</v>
      </c>
      <c r="AL54" s="20">
        <f t="shared" si="4"/>
        <v>469.3262695994801</v>
      </c>
      <c r="AM54" s="59">
        <f t="shared" si="5"/>
        <v>762.65960293281341</v>
      </c>
      <c r="AN54" s="59">
        <f ca="1">AVERAGE(OFFSET($AM$3,0,0,'Données projet'!$E$10+1,1))-AVERAGE(OFFSET($H$3,0,0,'Données projet'!$E$10+1,1))</f>
        <v>487.18832528146936</v>
      </c>
      <c r="AO54" s="59">
        <f t="shared" si="36"/>
        <v>306.61893266146666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45.900987246511995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45.900987246511995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369.00000000000023</v>
      </c>
      <c r="BE54" s="13">
        <f>BD54*VLOOKUP('Données projet'!$B$11,Paramètres!$A$1:$I$89,3,0)*VLOOKUP('Données projet'!$B$11,Paramètres!$A$1:$I$89,5,0)</f>
        <v>333.87120000000021</v>
      </c>
      <c r="BF54" s="13">
        <f t="shared" si="37"/>
        <v>78.23236011137638</v>
      </c>
      <c r="BG54" s="20">
        <f t="shared" si="7"/>
        <v>717.74703386064755</v>
      </c>
      <c r="BH54" s="59">
        <f t="shared" si="8"/>
        <v>1011.0803671939809</v>
      </c>
      <c r="BI54" s="59">
        <f ca="1">AVERAGE(OFFSET($BH$3,0,0,'Données projet'!$E$11+1,1))-AVERAGE(OFFSET($H$3,0,0,'Données projet'!$E$11+1,1))</f>
        <v>436.23918637269577</v>
      </c>
      <c r="BJ54" s="59">
        <f t="shared" si="38"/>
        <v>611.43967996341894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6.9743839955046312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6.9743839955046312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8.6</v>
      </c>
      <c r="BY54" s="12">
        <f>IF('Données projet'!$A$114&gt;35,BY53+BX54-CG53,IF(A54&lt;'Données projet'!$A$114,$BV$205^A54,IF(A54='Données projet'!$A$114,'Données projet'!$B$114,BY53+BX54-CG53)))</f>
        <v>223.60000000000008</v>
      </c>
      <c r="BZ54" s="13">
        <f>BY54*VLOOKUP('Données projet'!$B$12,Paramètres!$A$1:$I$89,3,0)*VLOOKUP('Données projet'!$B$12,Paramètres!$A$1:$I$89,5,0)</f>
        <v>195.33696000000009</v>
      </c>
      <c r="CA54" s="13">
        <f t="shared" si="39"/>
        <v>48.717969863105488</v>
      </c>
      <c r="CB54" s="20">
        <f t="shared" si="10"/>
        <v>425.06233617824211</v>
      </c>
      <c r="CC54" s="59">
        <f t="shared" si="11"/>
        <v>718.39566951157542</v>
      </c>
      <c r="CD54" s="59">
        <f ca="1">AVERAGE(OFFSET($CC$3,0,0,'Données projet'!$E$12+1,1))-AVERAGE(OFFSET($H$3,0,0,'Données projet'!$E$12+1,1))</f>
        <v>304.32767345253382</v>
      </c>
      <c r="CE54" s="59">
        <f t="shared" si="40"/>
        <v>427.16091343339173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60.033216519289653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60.033216519289653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15.4</v>
      </c>
      <c r="CT54" s="12">
        <f>IF('Données projet'!$A$140&gt;35,CT53+CS54-DB53,IF(A54&lt;'Données projet'!$A$140,$CQ$205^A54,IF(A54='Données projet'!$A$140,'Données projet'!$B$140,CT53+CS54-DB53)))</f>
        <v>677.39999999999952</v>
      </c>
      <c r="CU54" s="17">
        <f>CT54*VLOOKUP('Données projet'!$B$13,Paramètres!$A$1:$I$89,3,0)*VLOOKUP('Données projet'!$B$13,Paramètres!$A$1:$I$89,5,0)</f>
        <v>378.66659999999979</v>
      </c>
      <c r="CV54" s="13">
        <f t="shared" si="41"/>
        <v>87.437946637883755</v>
      </c>
      <c r="CW54" s="20">
        <f t="shared" si="13"/>
        <v>811.79875206098052</v>
      </c>
      <c r="CX54" s="59">
        <f t="shared" si="14"/>
        <v>1105.1320853943139</v>
      </c>
      <c r="CY54" s="59">
        <f ca="1">AVERAGE(OFFSET($CX$3,0,0,'Données projet'!$E$13+1,1))-AVERAGE(OFFSET($H$3,0,0,'Données projet'!$E$13+1,1))</f>
        <v>555.15881087162279</v>
      </c>
      <c r="CZ54" s="59">
        <f t="shared" si="42"/>
        <v>668.20427590250733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94.616745093067053</v>
      </c>
      <c r="DG54" s="21">
        <f>EXP(-LN(2)/25)*DG53+(1-EXP(-LN(2)/25))/(LN(2)/25)*Calculateur!DB54*Calculateur!DD54*VLOOKUP('Données projet'!$B$13,Paramètres!$A$1:$I$89,3,0)*0.475*44/12</f>
        <v>32.279349403923504</v>
      </c>
      <c r="DH54" s="21">
        <f>EXP(-LN(2)/2)*DH53+(1-EXP(-LN(2)/2))/(LN(2)/2)*DB54*DE54*VLOOKUP('Données projet'!$B$13,Paramètres!$A$1:$I$89,3,0)*0.475*44/12</f>
        <v>5.8728765225333688E-4</v>
      </c>
      <c r="DI54" s="22">
        <f t="shared" si="15"/>
        <v>126.89668178464281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26</v>
      </c>
      <c r="DO54" s="12">
        <f>IF('Données projet'!$A$166&gt;35,DO53+DN54-DW53,IF(A54&lt;'Données projet'!$A$166,$DL$205^A54,IF(A54='Données projet'!$A$166,'Données projet'!$B$166,DO53+DN54-DW53)))</f>
        <v>643.99999999999955</v>
      </c>
      <c r="DP54" s="17">
        <f>DO54*VLOOKUP('Données projet'!$B$14,Paramètres!$A$1:$I$89,3,0)*VLOOKUP('Données projet'!$B$14,Paramètres!$A$1:$I$89,5,0)</f>
        <v>301.39199999999977</v>
      </c>
      <c r="DQ54" s="13">
        <f t="shared" si="43"/>
        <v>71.468201474229218</v>
      </c>
      <c r="DR54" s="20">
        <f t="shared" si="16"/>
        <v>649.3981842342821</v>
      </c>
      <c r="DS54" s="59">
        <f t="shared" si="17"/>
        <v>942.73151756761536</v>
      </c>
      <c r="DT54" s="59">
        <f ca="1">AVERAGE(OFFSET($DS$3,0,0,'Données projet'!$E$14+1,1))-AVERAGE(OFFSET($H$3,0,0,'Données projet'!$E$14+1,1))</f>
        <v>523.79180230463714</v>
      </c>
      <c r="DU54" s="59">
        <f t="shared" si="44"/>
        <v>459.3547783500515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95.876052414734716</v>
      </c>
      <c r="EB54" s="21">
        <f>EXP(-LN(2)/25)*EB53+(1-EXP(-LN(2)/25))/(LN(2)/25)*Calculateur!DW54*Calculateur!DY54*VLOOKUP('Données projet'!$B$14,Paramètres!$A$1:$I$89,3,0)*0.475*44/12</f>
        <v>29.854313070100037</v>
      </c>
      <c r="EC54" s="21">
        <f>EXP(-LN(2)/2)*EC53+(1-EXP(-LN(2)/2))/(LN(2)/2)*DW54*DZ54*VLOOKUP('Données projet'!$B$14,Paramètres!$A$1:$I$89,3,0)*0.475*44/12</f>
        <v>8.2328263636595326E-4</v>
      </c>
      <c r="ED54" s="22">
        <f t="shared" si="18"/>
        <v>125.73118876747111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8.4</v>
      </c>
      <c r="EJ54" s="12">
        <f>IF('Données projet'!$A$192&gt;35,EJ53+EI54-ER53,IF(A54&lt;'Données projet'!$A$192,$EG$205^A54,IF(A54='Données projet'!$A$192,'Données projet'!$B$192,EJ53+EI54-ER53)))</f>
        <v>290.39999999999992</v>
      </c>
      <c r="EK54" s="17">
        <f>EJ54*VLOOKUP('Données projet'!$B$15,Paramètres!$A$1:$I$89,3,0)*VLOOKUP('Données projet'!$B$15,Paramètres!$A$1:$I$89,5,0)</f>
        <v>280.87487999999991</v>
      </c>
      <c r="EL54" s="13">
        <f t="shared" si="45"/>
        <v>67.151862592195855</v>
      </c>
      <c r="EM54" s="20">
        <f t="shared" si="19"/>
        <v>606.14657668140751</v>
      </c>
      <c r="EN54" s="59">
        <f t="shared" si="20"/>
        <v>899.47991001474088</v>
      </c>
      <c r="EO54" s="59">
        <f ca="1">AVERAGE(OFFSET($EN$3,0,0,'Données projet'!$E$15+1,1))-AVERAGE(OFFSET($H$3,0,0,'Données projet'!$E$15+1,1))</f>
        <v>484.41278617935654</v>
      </c>
      <c r="EP54" s="59">
        <f t="shared" si="46"/>
        <v>467.97490540700738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48.936541444624119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48.936541444624119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8.4</v>
      </c>
      <c r="FE54" s="12">
        <f>IF('Données projet'!$A$218&gt;35,FE53+FD54-FM53,IF(A54&lt;'Données projet'!$A$218,$FB$205^A54,IF(A54='Données projet'!$A$218,'Données projet'!$B$218,FE53+FD54-FM53)))</f>
        <v>290.39999999999992</v>
      </c>
      <c r="FF54" s="17">
        <f>FE54*VLOOKUP('Données projet'!$B$16,Paramètres!$A$1:$I$89,3,0)*VLOOKUP('Données projet'!$B$16,Paramètres!$A$1:$I$89,5,0)</f>
        <v>312.58655999999991</v>
      </c>
      <c r="FG54" s="13">
        <f t="shared" si="47"/>
        <v>73.808745345687967</v>
      </c>
      <c r="FH54" s="20">
        <f t="shared" si="22"/>
        <v>672.97182347707292</v>
      </c>
      <c r="FI54" s="59">
        <f t="shared" si="23"/>
        <v>966.30515681040629</v>
      </c>
      <c r="FJ54" s="59">
        <f ca="1">AVERAGE(OFFSET($FI$3,0,0,'Données projet'!$E$16+1,1))-AVERAGE(OFFSET($H$3,0,0,'Données projet'!$E$16+1,1))</f>
        <v>534.54020133239135</v>
      </c>
      <c r="FK54" s="59">
        <f t="shared" si="48"/>
        <v>515.48696069008815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54.461634833533303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54.461634833533303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7</v>
      </c>
      <c r="FZ54" s="12">
        <f>IF('Données projet'!$A$244&gt;35,FZ53+FY54-GH53,IF(A54&lt;'Données projet'!$A$244,$FW$205^A54,IF(A54='Données projet'!$A$244,'Données projet'!$B$244,FZ53+FY54-GH53)))</f>
        <v>229.99999999999989</v>
      </c>
      <c r="GA54" s="17">
        <f>FZ54*VLOOKUP('Données projet'!$B$17,Paramètres!$A$1:$I$89,3,0)*VLOOKUP('Données projet'!$B$17,Paramètres!$A$1:$I$89,5,0)</f>
        <v>218.86799999999988</v>
      </c>
      <c r="GB54" s="13">
        <f t="shared" si="49"/>
        <v>53.868777293257502</v>
      </c>
      <c r="GC54" s="20">
        <f t="shared" si="25"/>
        <v>475.01655378575657</v>
      </c>
      <c r="GD54" s="59">
        <f t="shared" si="26"/>
        <v>768.34988711908989</v>
      </c>
      <c r="GE54" s="59">
        <f ca="1">AVERAGE(OFFSET($GD$3,0,0,'Données projet'!$E$17+1,1))-AVERAGE(OFFSET($H$3,0,0,'Données projet'!$E$17+1,1))</f>
        <v>455.71329051283936</v>
      </c>
      <c r="GF54" s="59">
        <f t="shared" si="50"/>
        <v>479.3743231122258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47.362129496948342</v>
      </c>
      <c r="GM54" s="21">
        <f>EXP(-LN(2)/25)*GM53+(1-EXP(-LN(2)/25))/(LN(2)/25)*Calculateur!GH54*Calculateur!GJ54*VLOOKUP('Données projet'!$B$17,Paramètres!$A$1:$I$89,3,0)*0.475*44/12</f>
        <v>0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47.362129496948342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8.4</v>
      </c>
      <c r="GU54" s="12">
        <f>IF('Données projet'!$A$270&gt;35,GU53+GT54-HC53,IF(A54&lt;'Données projet'!$A$270,$GR$205^A54,IF(A54='Données projet'!$A$270,'Données projet'!$B$270,GU53+GT54-HC53)))</f>
        <v>290.39999999999992</v>
      </c>
      <c r="GV54" s="17">
        <f>GU54*VLOOKUP('Données projet'!$B$18,Paramètres!$A$1:$I$89,3,0)*VLOOKUP('Données projet'!$B$18,Paramètres!$A$1:$I$89,5,0)</f>
        <v>235.57247999999993</v>
      </c>
      <c r="GW54" s="13">
        <f t="shared" si="51"/>
        <v>57.485898111011707</v>
      </c>
      <c r="GX54" s="20">
        <f t="shared" si="28"/>
        <v>510.41000854334516</v>
      </c>
      <c r="GY54" s="59">
        <f t="shared" si="29"/>
        <v>803.74334187667841</v>
      </c>
      <c r="GZ54" s="59">
        <f ca="1">AVERAGE(OFFSET($GY$3,0,0,'Données projet'!$E$18+1,1))-AVERAGE(OFFSET($H$3,0,0,'Données projet'!$E$18+1,1))</f>
        <v>412.59676769258488</v>
      </c>
      <c r="HA54" s="59">
        <f t="shared" si="52"/>
        <v>399.90063795152133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41.043550889039594</v>
      </c>
      <c r="HH54" s="21">
        <f>EXP(-LN(2)/25)*HH53+(1-EXP(-LN(2)/25))/(LN(2)/25)*Calculateur!HC54*Calculateur!HE54*VLOOKUP('Données projet'!$B$18,Paramètres!$A$1:$I$89,3,0)*0.475*44/12</f>
        <v>0</v>
      </c>
      <c r="HI54" s="21">
        <f>EXP(-LN(2)/2)*HI53+(1-EXP(-LN(2)/2))/(LN(2)/2)*HC54*HF54*VLOOKUP('Données projet'!$B$18,Paramètres!$A$1:$I$89,3,0)*0.475*44/12</f>
        <v>0</v>
      </c>
      <c r="HJ54" s="22">
        <f t="shared" si="30"/>
        <v>41.043550889039594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10.199999999999999</v>
      </c>
      <c r="N55" s="13">
        <f>IF('Données projet'!$A$36&gt;35,N54+M55-V54,IF(A55&lt;'Données projet'!$A$36,$K$205^A55,IF(A55='Données projet'!$A$36,'Données projet'!$B$36,N54+M55-V54)))</f>
        <v>223.4</v>
      </c>
      <c r="O55" s="13">
        <f>N55*VLOOKUP('Données projet'!$B$9,Paramètres!$A$1:$I$89,3,0)*VLOOKUP('Données projet'!$B$9,Paramètres!$A$1:$I$89,5,0)</f>
        <v>202.13232000000002</v>
      </c>
      <c r="P55" s="13">
        <f t="shared" si="33"/>
        <v>50.212497488959627</v>
      </c>
      <c r="Q55" s="20">
        <f t="shared" si="53"/>
        <v>439.50055712660469</v>
      </c>
      <c r="R55" s="59">
        <f t="shared" si="0"/>
        <v>732.83389045993795</v>
      </c>
      <c r="S55" s="59">
        <f ca="1">AVERAGE(OFFSET($R$3,0,0,'Données projet'!$E$9+1,1))-AVERAGE(OFFSET($H$3,0,0,'Données projet'!$E$9+1,1))</f>
        <v>439.19854273764042</v>
      </c>
      <c r="T55" s="59">
        <f t="shared" si="34"/>
        <v>278.21741231699929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40.154646449843803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40.154646449843803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10.199999999999999</v>
      </c>
      <c r="AI55" s="13">
        <f>IF('Données projet'!$A$62&gt;35,AI54+AH55-AQ54,IF(A55&lt;'Données projet'!$A$62,$AF$205^A55,IF(A55='Données projet'!$A$62,'Données projet'!$B$62,AI54+AH55-AQ54)))</f>
        <v>223.4</v>
      </c>
      <c r="AJ55" s="13">
        <f>AI55*VLOOKUP('Données projet'!$B$10,Paramètres!$A$1:$I$89,3,0)*VLOOKUP('Données projet'!$B$10,Paramètres!$A$1:$I$89,5,0)</f>
        <v>226.52760000000001</v>
      </c>
      <c r="AK55" s="13">
        <f t="shared" si="35"/>
        <v>55.531204013656371</v>
      </c>
      <c r="AL55" s="20">
        <f t="shared" si="4"/>
        <v>491.25241699045142</v>
      </c>
      <c r="AM55" s="59">
        <f t="shared" si="5"/>
        <v>784.58575032378474</v>
      </c>
      <c r="AN55" s="59">
        <f ca="1">AVERAGE(OFFSET($AM$3,0,0,'Données projet'!$E$10+1,1))-AVERAGE(OFFSET($H$3,0,0,'Données projet'!$E$10+1,1))</f>
        <v>487.18832528146936</v>
      </c>
      <c r="AO55" s="59">
        <f t="shared" si="36"/>
        <v>306.61893266146666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45.000896883445655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45.000896883445655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369.00000000000023</v>
      </c>
      <c r="BE55" s="13">
        <f>BD55*VLOOKUP('Données projet'!$B$11,Paramètres!$A$1:$I$89,3,0)*VLOOKUP('Données projet'!$B$11,Paramètres!$A$1:$I$89,5,0)</f>
        <v>333.87120000000021</v>
      </c>
      <c r="BF55" s="13">
        <f t="shared" si="37"/>
        <v>78.23236011137638</v>
      </c>
      <c r="BG55" s="20">
        <f t="shared" si="7"/>
        <v>717.74703386064755</v>
      </c>
      <c r="BH55" s="59">
        <f t="shared" si="8"/>
        <v>1011.0803671939809</v>
      </c>
      <c r="BI55" s="59">
        <f ca="1">AVERAGE(OFFSET($BH$3,0,0,'Données projet'!$E$11+1,1))-AVERAGE(OFFSET($H$3,0,0,'Données projet'!$E$11+1,1))</f>
        <v>436.23918637269577</v>
      </c>
      <c r="BJ55" s="59">
        <f t="shared" si="38"/>
        <v>611.43967996341894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6.8376205793069795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6.8376205793069795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8.6</v>
      </c>
      <c r="BY55" s="12">
        <f>IF('Données projet'!$A$114&gt;35,BY54+BX55-CG54,IF(A55&lt;'Données projet'!$A$114,$BV$205^A55,IF(A55='Données projet'!$A$114,'Données projet'!$B$114,BY54+BX55-CG54)))</f>
        <v>232.20000000000007</v>
      </c>
      <c r="BZ55" s="13">
        <f>BY55*VLOOKUP('Données projet'!$B$12,Paramètres!$A$1:$I$89,3,0)*VLOOKUP('Données projet'!$B$12,Paramètres!$A$1:$I$89,5,0)</f>
        <v>202.84992000000011</v>
      </c>
      <c r="CA55" s="13">
        <f t="shared" si="39"/>
        <v>50.369977187686075</v>
      </c>
      <c r="CB55" s="20">
        <f t="shared" si="10"/>
        <v>441.02465426855338</v>
      </c>
      <c r="CC55" s="59">
        <f t="shared" si="11"/>
        <v>734.35798760188663</v>
      </c>
      <c r="CD55" s="59">
        <f ca="1">AVERAGE(OFFSET($CC$3,0,0,'Données projet'!$E$12+1,1))-AVERAGE(OFFSET($H$3,0,0,'Données projet'!$E$12+1,1))</f>
        <v>304.32767345253382</v>
      </c>
      <c r="CE55" s="59">
        <f t="shared" si="40"/>
        <v>427.16091343339173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58.856001759992864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58.856001759992864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15.4</v>
      </c>
      <c r="CT55" s="12">
        <f>IF('Données projet'!$A$140&gt;35,CT54+CS55-DB54,IF(A55&lt;'Données projet'!$A$140,$CQ$205^A55,IF(A55='Données projet'!$A$140,'Données projet'!$B$140,CT54+CS55-DB54)))</f>
        <v>692.7999999999995</v>
      </c>
      <c r="CU55" s="17">
        <f>CT55*VLOOKUP('Données projet'!$B$13,Paramètres!$A$1:$I$89,3,0)*VLOOKUP('Données projet'!$B$13,Paramètres!$A$1:$I$89,5,0)</f>
        <v>387.2751999999997</v>
      </c>
      <c r="CV55" s="13">
        <f t="shared" si="41"/>
        <v>89.192073473767834</v>
      </c>
      <c r="CW55" s="20">
        <f t="shared" si="13"/>
        <v>829.84716796681175</v>
      </c>
      <c r="CX55" s="59">
        <f t="shared" si="14"/>
        <v>1123.1805013001451</v>
      </c>
      <c r="CY55" s="59">
        <f ca="1">AVERAGE(OFFSET($CX$3,0,0,'Données projet'!$E$13+1,1))-AVERAGE(OFFSET($H$3,0,0,'Données projet'!$E$13+1,1))</f>
        <v>555.15881087162279</v>
      </c>
      <c r="CZ55" s="59">
        <f t="shared" si="42"/>
        <v>668.20427590250733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92.761368432308075</v>
      </c>
      <c r="DG55" s="21">
        <f>EXP(-LN(2)/25)*DG54+(1-EXP(-LN(2)/25))/(LN(2)/25)*Calculateur!DB55*Calculateur!DD55*VLOOKUP('Données projet'!$B$13,Paramètres!$A$1:$I$89,3,0)*0.475*44/12</f>
        <v>31.396668896976006</v>
      </c>
      <c r="DH55" s="21">
        <f>EXP(-LN(2)/2)*DH54+(1-EXP(-LN(2)/2))/(LN(2)/2)*DB55*DE55*VLOOKUP('Données projet'!$B$13,Paramètres!$A$1:$I$89,3,0)*0.475*44/12</f>
        <v>4.152750814154615E-4</v>
      </c>
      <c r="DI55" s="22">
        <f t="shared" si="15"/>
        <v>124.15845260436549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26</v>
      </c>
      <c r="DO55" s="12">
        <f>IF('Données projet'!$A$166&gt;35,DO54+DN55-DW54,IF(A55&lt;'Données projet'!$A$166,$DL$205^A55,IF(A55='Données projet'!$A$166,'Données projet'!$B$166,DO54+DN55-DW54)))</f>
        <v>669.99999999999955</v>
      </c>
      <c r="DP55" s="17">
        <f>DO55*VLOOKUP('Données projet'!$B$14,Paramètres!$A$1:$I$89,3,0)*VLOOKUP('Données projet'!$B$14,Paramètres!$A$1:$I$89,5,0)</f>
        <v>313.55999999999977</v>
      </c>
      <c r="DQ55" s="13">
        <f t="shared" si="43"/>
        <v>74.011805068053789</v>
      </c>
      <c r="DR55" s="20">
        <f t="shared" si="16"/>
        <v>675.02089382685983</v>
      </c>
      <c r="DS55" s="59">
        <f t="shared" si="17"/>
        <v>968.3542271601932</v>
      </c>
      <c r="DT55" s="59">
        <f ca="1">AVERAGE(OFFSET($DS$3,0,0,'Données projet'!$E$14+1,1))-AVERAGE(OFFSET($H$3,0,0,'Données projet'!$E$14+1,1))</f>
        <v>523.79180230463714</v>
      </c>
      <c r="DU55" s="59">
        <f t="shared" si="44"/>
        <v>459.3547783500515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93.995981505499458</v>
      </c>
      <c r="EB55" s="21">
        <f>EXP(-LN(2)/25)*EB54+(1-EXP(-LN(2)/25))/(LN(2)/25)*Calculateur!DW55*Calculateur!DY55*VLOOKUP('Données projet'!$B$14,Paramètres!$A$1:$I$89,3,0)*0.475*44/12</f>
        <v>29.037945309228061</v>
      </c>
      <c r="EC55" s="21">
        <f>EXP(-LN(2)/2)*EC54+(1-EXP(-LN(2)/2))/(LN(2)/2)*DW55*DZ55*VLOOKUP('Données projet'!$B$14,Paramètres!$A$1:$I$89,3,0)*0.475*44/12</f>
        <v>5.8214873500750408E-4</v>
      </c>
      <c r="ED55" s="22">
        <f t="shared" si="18"/>
        <v>123.03450896346253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8.4</v>
      </c>
      <c r="EJ55" s="12">
        <f>IF('Données projet'!$A$192&gt;35,EJ54+EI55-ER54,IF(A55&lt;'Données projet'!$A$192,$EG$205^A55,IF(A55='Données projet'!$A$192,'Données projet'!$B$192,EJ54+EI55-ER54)))</f>
        <v>298.7999999999999</v>
      </c>
      <c r="EK55" s="17">
        <f>EJ55*VLOOKUP('Données projet'!$B$15,Paramètres!$A$1:$I$89,3,0)*VLOOKUP('Données projet'!$B$15,Paramètres!$A$1:$I$89,5,0)</f>
        <v>288.99935999999991</v>
      </c>
      <c r="EL55" s="13">
        <f t="shared" si="45"/>
        <v>68.865316675290003</v>
      </c>
      <c r="EM55" s="20">
        <f t="shared" si="19"/>
        <v>623.28097854279656</v>
      </c>
      <c r="EN55" s="59">
        <f t="shared" si="20"/>
        <v>916.61431187612993</v>
      </c>
      <c r="EO55" s="59">
        <f ca="1">AVERAGE(OFFSET($EN$3,0,0,'Données projet'!$E$15+1,1))-AVERAGE(OFFSET($H$3,0,0,'Données projet'!$E$15+1,1))</f>
        <v>484.41278617935654</v>
      </c>
      <c r="EP55" s="59">
        <f t="shared" si="46"/>
        <v>467.97490540700738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47.976925715238039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47.976925715238039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8.4</v>
      </c>
      <c r="FE55" s="12">
        <f>IF('Données projet'!$A$218&gt;35,FE54+FD55-FM54,IF(A55&lt;'Données projet'!$A$218,$FB$205^A55,IF(A55='Données projet'!$A$218,'Données projet'!$B$218,FE54+FD55-FM54)))</f>
        <v>298.7999999999999</v>
      </c>
      <c r="FF55" s="17">
        <f>FE55*VLOOKUP('Données projet'!$B$16,Paramètres!$A$1:$I$89,3,0)*VLOOKUP('Données projet'!$B$16,Paramètres!$A$1:$I$89,5,0)</f>
        <v>321.62831999999986</v>
      </c>
      <c r="FG55" s="13">
        <f t="shared" si="47"/>
        <v>75.692057158625275</v>
      </c>
      <c r="FH55" s="20">
        <f t="shared" si="22"/>
        <v>691.99965688460543</v>
      </c>
      <c r="FI55" s="59">
        <f t="shared" si="23"/>
        <v>985.33299021793869</v>
      </c>
      <c r="FJ55" s="59">
        <f ca="1">AVERAGE(OFFSET($FI$3,0,0,'Données projet'!$E$16+1,1))-AVERAGE(OFFSET($H$3,0,0,'Données projet'!$E$16+1,1))</f>
        <v>534.54020133239135</v>
      </c>
      <c r="FK55" s="59">
        <f t="shared" si="48"/>
        <v>515.48696069008815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53.393675392764926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53.393675392764926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7</v>
      </c>
      <c r="FZ55" s="12">
        <f>IF('Données projet'!$A$244&gt;35,FZ54+FY55-GH54,IF(A55&lt;'Données projet'!$A$244,$FW$205^A55,IF(A55='Données projet'!$A$244,'Données projet'!$B$244,FZ54+FY55-GH54)))</f>
        <v>236.99999999999989</v>
      </c>
      <c r="GA55" s="17">
        <f>FZ55*VLOOKUP('Données projet'!$B$17,Paramètres!$A$1:$I$89,3,0)*VLOOKUP('Données projet'!$B$17,Paramètres!$A$1:$I$89,5,0)</f>
        <v>225.52919999999992</v>
      </c>
      <c r="GB55" s="13">
        <f t="shared" si="49"/>
        <v>55.314888425951921</v>
      </c>
      <c r="GC55" s="20">
        <f t="shared" si="25"/>
        <v>489.13678734186618</v>
      </c>
      <c r="GD55" s="59">
        <f t="shared" si="26"/>
        <v>782.4701206751995</v>
      </c>
      <c r="GE55" s="59">
        <f ca="1">AVERAGE(OFFSET($GD$3,0,0,'Données projet'!$E$17+1,1))-AVERAGE(OFFSET($H$3,0,0,'Données projet'!$E$17+1,1))</f>
        <v>455.71329051283936</v>
      </c>
      <c r="GF55" s="59">
        <f t="shared" si="50"/>
        <v>479.3743231122258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46.433387025559718</v>
      </c>
      <c r="GM55" s="21">
        <f>EXP(-LN(2)/25)*GM54+(1-EXP(-LN(2)/25))/(LN(2)/25)*Calculateur!GH55*Calculateur!GJ55*VLOOKUP('Données projet'!$B$17,Paramètres!$A$1:$I$89,3,0)*0.475*44/12</f>
        <v>0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46.433387025559718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8.4</v>
      </c>
      <c r="GU55" s="12">
        <f>IF('Données projet'!$A$270&gt;35,GU54+GT55-HC54,IF(A55&lt;'Données projet'!$A$270,$GR$205^A55,IF(A55='Données projet'!$A$270,'Données projet'!$B$270,GU54+GT55-HC54)))</f>
        <v>298.7999999999999</v>
      </c>
      <c r="GV55" s="17">
        <f>GU55*VLOOKUP('Données projet'!$B$18,Paramètres!$A$1:$I$89,3,0)*VLOOKUP('Données projet'!$B$18,Paramètres!$A$1:$I$89,5,0)</f>
        <v>242.38655999999992</v>
      </c>
      <c r="GW55" s="13">
        <f t="shared" si="51"/>
        <v>58.952714414184484</v>
      </c>
      <c r="GX55" s="20">
        <f t="shared" si="28"/>
        <v>524.83256960470442</v>
      </c>
      <c r="GY55" s="59">
        <f t="shared" si="29"/>
        <v>818.16590293803779</v>
      </c>
      <c r="GZ55" s="59">
        <f ca="1">AVERAGE(OFFSET($GY$3,0,0,'Données projet'!$E$18+1,1))-AVERAGE(OFFSET($H$3,0,0,'Données projet'!$E$18+1,1))</f>
        <v>412.59676769258488</v>
      </c>
      <c r="HA55" s="59">
        <f t="shared" si="52"/>
        <v>399.90063795152133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40.23871189019966</v>
      </c>
      <c r="HH55" s="21">
        <f>EXP(-LN(2)/25)*HH54+(1-EXP(-LN(2)/25))/(LN(2)/25)*Calculateur!HC55*Calculateur!HE55*VLOOKUP('Données projet'!$B$18,Paramètres!$A$1:$I$89,3,0)*0.475*44/12</f>
        <v>0</v>
      </c>
      <c r="HI55" s="21">
        <f>EXP(-LN(2)/2)*HI54+(1-EXP(-LN(2)/2))/(LN(2)/2)*HC55*HF55*VLOOKUP('Données projet'!$B$18,Paramètres!$A$1:$I$89,3,0)*0.475*44/12</f>
        <v>0</v>
      </c>
      <c r="HJ55" s="22">
        <f t="shared" si="30"/>
        <v>40.23871189019966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10.199999999999999</v>
      </c>
      <c r="N56" s="13">
        <f>IF('Données projet'!$A$36&gt;35,N55+M56-V55,IF(A56&lt;'Données projet'!$A$36,$K$205^A56,IF(A56='Données projet'!$A$36,'Données projet'!$B$36,N55+M56-V55)))</f>
        <v>233.6</v>
      </c>
      <c r="O56" s="13">
        <f>N56*VLOOKUP('Données projet'!$B$9,Paramètres!$A$1:$I$89,3,0)*VLOOKUP('Données projet'!$B$9,Paramètres!$A$1:$I$89,5,0)</f>
        <v>211.36127999999999</v>
      </c>
      <c r="P56" s="13">
        <f t="shared" si="33"/>
        <v>52.232947669705631</v>
      </c>
      <c r="Q56" s="20">
        <f t="shared" si="53"/>
        <v>459.09327985807062</v>
      </c>
      <c r="R56" s="59">
        <f t="shared" si="0"/>
        <v>752.42661319140393</v>
      </c>
      <c r="S56" s="59">
        <f ca="1">AVERAGE(OFFSET($R$3,0,0,'Données projet'!$E$9+1,1))-AVERAGE(OFFSET($H$3,0,0,'Données projet'!$E$9+1,1))</f>
        <v>439.19854273764042</v>
      </c>
      <c r="T56" s="59">
        <f t="shared" si="34"/>
        <v>278.21741231699929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39.367238324878322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39.367238324878322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10.199999999999999</v>
      </c>
      <c r="AI56" s="13">
        <f>IF('Données projet'!$A$62&gt;35,AI55+AH56-AQ55,IF(A56&lt;'Données projet'!$A$62,$AF$205^A56,IF(A56='Données projet'!$A$62,'Données projet'!$B$62,AI55+AH56-AQ55)))</f>
        <v>233.6</v>
      </c>
      <c r="AJ56" s="13">
        <f>AI56*VLOOKUP('Données projet'!$B$10,Paramètres!$A$1:$I$89,3,0)*VLOOKUP('Données projet'!$B$10,Paramètres!$A$1:$I$89,5,0)</f>
        <v>236.87040000000002</v>
      </c>
      <c r="AK56" s="13">
        <f t="shared" si="35"/>
        <v>57.765668276484661</v>
      </c>
      <c r="AL56" s="20">
        <f t="shared" si="4"/>
        <v>513.15781891487757</v>
      </c>
      <c r="AM56" s="59">
        <f t="shared" si="5"/>
        <v>806.49115224821094</v>
      </c>
      <c r="AN56" s="59">
        <f ca="1">AVERAGE(OFFSET($AM$3,0,0,'Données projet'!$E$10+1,1))-AVERAGE(OFFSET($H$3,0,0,'Données projet'!$E$10+1,1))</f>
        <v>487.18832528146936</v>
      </c>
      <c r="AO56" s="59">
        <f t="shared" si="36"/>
        <v>306.61893266146666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44.118456743398134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44.118456743398134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369.00000000000023</v>
      </c>
      <c r="BE56" s="13">
        <f>BD56*VLOOKUP('Données projet'!$B$11,Paramètres!$A$1:$I$89,3,0)*VLOOKUP('Données projet'!$B$11,Paramètres!$A$1:$I$89,5,0)</f>
        <v>333.87120000000021</v>
      </c>
      <c r="BF56" s="13">
        <f t="shared" si="37"/>
        <v>78.23236011137638</v>
      </c>
      <c r="BG56" s="20">
        <f t="shared" si="7"/>
        <v>717.74703386064755</v>
      </c>
      <c r="BH56" s="59">
        <f t="shared" si="8"/>
        <v>1011.0803671939809</v>
      </c>
      <c r="BI56" s="59">
        <f ca="1">AVERAGE(OFFSET($BH$3,0,0,'Données projet'!$E$11+1,1))-AVERAGE(OFFSET($H$3,0,0,'Données projet'!$E$11+1,1))</f>
        <v>436.23918637269577</v>
      </c>
      <c r="BJ56" s="59">
        <f t="shared" si="38"/>
        <v>611.43967996341894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6.7035390102835164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6.7035390102835164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8.6</v>
      </c>
      <c r="BY56" s="12">
        <f>IF('Données projet'!$A$114&gt;35,BY55+BX56-CG55,IF(A56&lt;'Données projet'!$A$114,$BV$205^A56,IF(A56='Données projet'!$A$114,'Données projet'!$B$114,BY55+BX56-CG55)))</f>
        <v>240.80000000000007</v>
      </c>
      <c r="BZ56" s="13">
        <f>BY56*VLOOKUP('Données projet'!$B$12,Paramètres!$A$1:$I$89,3,0)*VLOOKUP('Données projet'!$B$12,Paramètres!$A$1:$I$89,5,0)</f>
        <v>210.36288000000008</v>
      </c>
      <c r="CA56" s="13">
        <f t="shared" si="39"/>
        <v>52.014876138342963</v>
      </c>
      <c r="CB56" s="20">
        <f t="shared" si="10"/>
        <v>456.97459194094745</v>
      </c>
      <c r="CC56" s="59">
        <f t="shared" si="11"/>
        <v>750.30792527428071</v>
      </c>
      <c r="CD56" s="59">
        <f ca="1">AVERAGE(OFFSET($CC$3,0,0,'Données projet'!$E$12+1,1))-AVERAGE(OFFSET($H$3,0,0,'Données projet'!$E$12+1,1))</f>
        <v>304.32767345253382</v>
      </c>
      <c r="CE56" s="59">
        <f t="shared" si="40"/>
        <v>427.16091343339173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57.701871464095781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57.701871464095781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15.4</v>
      </c>
      <c r="CT56" s="12">
        <f>IF('Données projet'!$A$140&gt;35,CT55+CS56-DB55,IF(A56&lt;'Données projet'!$A$140,$CQ$205^A56,IF(A56='Données projet'!$A$140,'Données projet'!$B$140,CT55+CS56-DB55)))</f>
        <v>708.19999999999948</v>
      </c>
      <c r="CU56" s="17">
        <f>CT56*VLOOKUP('Données projet'!$B$13,Paramètres!$A$1:$I$89,3,0)*VLOOKUP('Données projet'!$B$13,Paramètres!$A$1:$I$89,5,0)</f>
        <v>395.88379999999972</v>
      </c>
      <c r="CV56" s="13">
        <f t="shared" si="41"/>
        <v>90.941667130422957</v>
      </c>
      <c r="CW56" s="20">
        <f t="shared" si="13"/>
        <v>847.8876885854861</v>
      </c>
      <c r="CX56" s="59">
        <f t="shared" si="14"/>
        <v>1141.2210219188194</v>
      </c>
      <c r="CY56" s="59">
        <f ca="1">AVERAGE(OFFSET($CX$3,0,0,'Données projet'!$E$13+1,1))-AVERAGE(OFFSET($H$3,0,0,'Données projet'!$E$13+1,1))</f>
        <v>555.15881087162279</v>
      </c>
      <c r="CZ56" s="59">
        <f t="shared" si="42"/>
        <v>668.20427590250733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90.94237457619856</v>
      </c>
      <c r="DG56" s="21">
        <f>EXP(-LN(2)/25)*DG55+(1-EXP(-LN(2)/25))/(LN(2)/25)*Calculateur!DB56*Calculateur!DD56*VLOOKUP('Données projet'!$B$13,Paramètres!$A$1:$I$89,3,0)*0.475*44/12</f>
        <v>30.538125334909139</v>
      </c>
      <c r="DH56" s="21">
        <f>EXP(-LN(2)/2)*DH55+(1-EXP(-LN(2)/2))/(LN(2)/2)*DB56*DE56*VLOOKUP('Données projet'!$B$13,Paramètres!$A$1:$I$89,3,0)*0.475*44/12</f>
        <v>2.9364382612666844E-4</v>
      </c>
      <c r="DI56" s="22">
        <f t="shared" si="15"/>
        <v>121.48079355493383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26</v>
      </c>
      <c r="DO56" s="12">
        <f>IF('Données projet'!$A$166&gt;35,DO55+DN56-DW55,IF(A56&lt;'Données projet'!$A$166,$DL$205^A56,IF(A56='Données projet'!$A$166,'Données projet'!$B$166,DO55+DN56-DW55)))</f>
        <v>695.99999999999955</v>
      </c>
      <c r="DP56" s="17">
        <f>DO56*VLOOKUP('Données projet'!$B$14,Paramètres!$A$1:$I$89,3,0)*VLOOKUP('Données projet'!$B$14,Paramètres!$A$1:$I$89,5,0)</f>
        <v>325.72799999999978</v>
      </c>
      <c r="DQ56" s="13">
        <f t="shared" si="43"/>
        <v>76.543942036893981</v>
      </c>
      <c r="DR56" s="20">
        <f t="shared" si="16"/>
        <v>700.62363238092314</v>
      </c>
      <c r="DS56" s="59">
        <f t="shared" si="17"/>
        <v>993.95696571425651</v>
      </c>
      <c r="DT56" s="59">
        <f ca="1">AVERAGE(OFFSET($DS$3,0,0,'Données projet'!$E$14+1,1))-AVERAGE(OFFSET($H$3,0,0,'Données projet'!$E$14+1,1))</f>
        <v>523.79180230463714</v>
      </c>
      <c r="DU56" s="59">
        <f t="shared" si="44"/>
        <v>459.3547783500515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92.152777640064272</v>
      </c>
      <c r="EB56" s="21">
        <f>EXP(-LN(2)/25)*EB55+(1-EXP(-LN(2)/25))/(LN(2)/25)*Calculateur!DW56*Calculateur!DY56*VLOOKUP('Données projet'!$B$14,Paramètres!$A$1:$I$89,3,0)*0.475*44/12</f>
        <v>28.243901167708042</v>
      </c>
      <c r="EC56" s="21">
        <f>EXP(-LN(2)/2)*EC55+(1-EXP(-LN(2)/2))/(LN(2)/2)*DW56*DZ56*VLOOKUP('Données projet'!$B$14,Paramètres!$A$1:$I$89,3,0)*0.475*44/12</f>
        <v>4.1164131818297663E-4</v>
      </c>
      <c r="ED56" s="22">
        <f t="shared" si="18"/>
        <v>120.3970904490905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8.4</v>
      </c>
      <c r="EJ56" s="12">
        <f>IF('Données projet'!$A$192&gt;35,EJ55+EI56-ER55,IF(A56&lt;'Données projet'!$A$192,$EG$205^A56,IF(A56='Données projet'!$A$192,'Données projet'!$B$192,EJ55+EI56-ER55)))</f>
        <v>307.19999999999987</v>
      </c>
      <c r="EK56" s="17">
        <f>EJ56*VLOOKUP('Données projet'!$B$15,Paramètres!$A$1:$I$89,3,0)*VLOOKUP('Données projet'!$B$15,Paramètres!$A$1:$I$89,5,0)</f>
        <v>297.12383999999986</v>
      </c>
      <c r="EL56" s="13">
        <f t="shared" si="45"/>
        <v>70.573172225675918</v>
      </c>
      <c r="EM56" s="20">
        <f t="shared" si="19"/>
        <v>640.40562962638535</v>
      </c>
      <c r="EN56" s="59">
        <f t="shared" si="20"/>
        <v>933.73896295971872</v>
      </c>
      <c r="EO56" s="59">
        <f ca="1">AVERAGE(OFFSET($EN$3,0,0,'Données projet'!$E$15+1,1))-AVERAGE(OFFSET($H$3,0,0,'Données projet'!$E$15+1,1))</f>
        <v>484.41278617935654</v>
      </c>
      <c r="EP56" s="59">
        <f t="shared" si="46"/>
        <v>467.97490540700738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47.036127464997421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47.036127464997421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8.4</v>
      </c>
      <c r="FE56" s="12">
        <f>IF('Données projet'!$A$218&gt;35,FE55+FD56-FM55,IF(A56&lt;'Données projet'!$A$218,$FB$205^A56,IF(A56='Données projet'!$A$218,'Données projet'!$B$218,FE55+FD56-FM55)))</f>
        <v>307.19999999999987</v>
      </c>
      <c r="FF56" s="17">
        <f>FE56*VLOOKUP('Données projet'!$B$16,Paramètres!$A$1:$I$89,3,0)*VLOOKUP('Données projet'!$B$16,Paramètres!$A$1:$I$89,5,0)</f>
        <v>330.67007999999987</v>
      </c>
      <c r="FG56" s="13">
        <f t="shared" si="47"/>
        <v>77.569215446417871</v>
      </c>
      <c r="FH56" s="20">
        <f t="shared" si="22"/>
        <v>711.01677290251075</v>
      </c>
      <c r="FI56" s="59">
        <f t="shared" si="23"/>
        <v>1004.3501062358441</v>
      </c>
      <c r="FJ56" s="59">
        <f ca="1">AVERAGE(OFFSET($FI$3,0,0,'Données projet'!$E$16+1,1))-AVERAGE(OFFSET($H$3,0,0,'Données projet'!$E$16+1,1))</f>
        <v>534.54020133239135</v>
      </c>
      <c r="FK56" s="59">
        <f t="shared" si="48"/>
        <v>515.48696069008815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52.346657985239077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52.346657985239077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7</v>
      </c>
      <c r="FZ56" s="12">
        <f>IF('Données projet'!$A$244&gt;35,FZ55+FY56-GH55,IF(A56&lt;'Données projet'!$A$244,$FW$205^A56,IF(A56='Données projet'!$A$244,'Données projet'!$B$244,FZ55+FY56-GH55)))</f>
        <v>243.99999999999989</v>
      </c>
      <c r="GA56" s="17">
        <f>FZ56*VLOOKUP('Données projet'!$B$17,Paramètres!$A$1:$I$89,3,0)*VLOOKUP('Données projet'!$B$17,Paramètres!$A$1:$I$89,5,0)</f>
        <v>232.19039999999987</v>
      </c>
      <c r="GB56" s="13">
        <f t="shared" si="49"/>
        <v>56.756035639094556</v>
      </c>
      <c r="GC56" s="20">
        <f t="shared" si="25"/>
        <v>503.24837540475619</v>
      </c>
      <c r="GD56" s="59">
        <f t="shared" si="26"/>
        <v>796.58170873808945</v>
      </c>
      <c r="GE56" s="59">
        <f ca="1">AVERAGE(OFFSET($GD$3,0,0,'Données projet'!$E$17+1,1))-AVERAGE(OFFSET($H$3,0,0,'Données projet'!$E$17+1,1))</f>
        <v>455.71329051283936</v>
      </c>
      <c r="GF56" s="59">
        <f t="shared" si="50"/>
        <v>479.3743231122258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45.522856627558056</v>
      </c>
      <c r="GM56" s="21">
        <f>EXP(-LN(2)/25)*GM55+(1-EXP(-LN(2)/25))/(LN(2)/25)*Calculateur!GH56*Calculateur!GJ56*VLOOKUP('Données projet'!$B$17,Paramètres!$A$1:$I$89,3,0)*0.475*44/12</f>
        <v>0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45.522856627558056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8.4</v>
      </c>
      <c r="GU56" s="12">
        <f>IF('Données projet'!$A$270&gt;35,GU55+GT56-HC55,IF(A56&lt;'Données projet'!$A$270,$GR$205^A56,IF(A56='Données projet'!$A$270,'Données projet'!$B$270,GU55+GT56-HC55)))</f>
        <v>307.19999999999987</v>
      </c>
      <c r="GV56" s="17">
        <f>GU56*VLOOKUP('Données projet'!$B$18,Paramètres!$A$1:$I$89,3,0)*VLOOKUP('Données projet'!$B$18,Paramètres!$A$1:$I$89,5,0)</f>
        <v>249.20063999999991</v>
      </c>
      <c r="GW56" s="13">
        <f t="shared" si="51"/>
        <v>60.414738047899995</v>
      </c>
      <c r="GX56" s="20">
        <f t="shared" si="28"/>
        <v>539.24678343342566</v>
      </c>
      <c r="GY56" s="59">
        <f t="shared" si="29"/>
        <v>832.58011676675892</v>
      </c>
      <c r="GZ56" s="59">
        <f ca="1">AVERAGE(OFFSET($GY$3,0,0,'Données projet'!$E$18+1,1))-AVERAGE(OFFSET($H$3,0,0,'Données projet'!$E$18+1,1))</f>
        <v>412.59676769258488</v>
      </c>
      <c r="HA56" s="59">
        <f t="shared" si="52"/>
        <v>399.90063795152133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39.449655293223657</v>
      </c>
      <c r="HH56" s="21">
        <f>EXP(-LN(2)/25)*HH55+(1-EXP(-LN(2)/25))/(LN(2)/25)*Calculateur!HC56*Calculateur!HE56*VLOOKUP('Données projet'!$B$18,Paramètres!$A$1:$I$89,3,0)*0.475*44/12</f>
        <v>0</v>
      </c>
      <c r="HI56" s="21">
        <f>EXP(-LN(2)/2)*HI55+(1-EXP(-LN(2)/2))/(LN(2)/2)*HC56*HF56*VLOOKUP('Données projet'!$B$18,Paramètres!$A$1:$I$89,3,0)*0.475*44/12</f>
        <v>0</v>
      </c>
      <c r="HJ56" s="22">
        <f t="shared" si="30"/>
        <v>39.449655293223657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10.199999999999999</v>
      </c>
      <c r="N57" s="13">
        <f>IF('Données projet'!$A$36&gt;35,N56+M57-V56,IF(A57&lt;'Données projet'!$A$36,$K$205^A57,IF(A57='Données projet'!$A$36,'Données projet'!$B$36,N56+M57-V56)))</f>
        <v>243.79999999999998</v>
      </c>
      <c r="O57" s="13">
        <f>N57*VLOOKUP('Données projet'!$B$9,Paramètres!$A$1:$I$89,3,0)*VLOOKUP('Données projet'!$B$9,Paramètres!$A$1:$I$89,5,0)</f>
        <v>220.59023999999997</v>
      </c>
      <c r="P57" s="13">
        <f t="shared" si="33"/>
        <v>54.24315145708789</v>
      </c>
      <c r="Q57" s="20">
        <f t="shared" si="53"/>
        <v>478.66815678776129</v>
      </c>
      <c r="R57" s="59">
        <f t="shared" si="0"/>
        <v>772.00149012109455</v>
      </c>
      <c r="S57" s="59">
        <f ca="1">AVERAGE(OFFSET($R$3,0,0,'Données projet'!$E$9+1,1))-AVERAGE(OFFSET($H$3,0,0,'Données projet'!$E$9+1,1))</f>
        <v>439.19854273764042</v>
      </c>
      <c r="T57" s="59">
        <f t="shared" si="34"/>
        <v>278.21741231699929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38.595270792971881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38.595270792971881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10.199999999999999</v>
      </c>
      <c r="AI57" s="13">
        <f>IF('Données projet'!$A$62&gt;35,AI56+AH57-AQ56,IF(A57&lt;'Données projet'!$A$62,$AF$205^A57,IF(A57='Données projet'!$A$62,'Données projet'!$B$62,AI56+AH57-AQ56)))</f>
        <v>243.79999999999998</v>
      </c>
      <c r="AJ57" s="13">
        <f>AI57*VLOOKUP('Données projet'!$B$10,Paramètres!$A$1:$I$89,3,0)*VLOOKUP('Données projet'!$B$10,Paramètres!$A$1:$I$89,5,0)</f>
        <v>247.2132</v>
      </c>
      <c r="AK57" s="13">
        <f t="shared" si="35"/>
        <v>59.988800807398761</v>
      </c>
      <c r="AL57" s="20">
        <f t="shared" si="4"/>
        <v>535.04348473955281</v>
      </c>
      <c r="AM57" s="59">
        <f t="shared" si="5"/>
        <v>828.37681807288618</v>
      </c>
      <c r="AN57" s="59">
        <f ca="1">AVERAGE(OFFSET($AM$3,0,0,'Données projet'!$E$10+1,1))-AVERAGE(OFFSET($H$3,0,0,'Données projet'!$E$10+1,1))</f>
        <v>487.18832528146936</v>
      </c>
      <c r="AO57" s="59">
        <f t="shared" si="36"/>
        <v>306.61893266146666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43.253320716261605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43.253320716261605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369.00000000000023</v>
      </c>
      <c r="BE57" s="13">
        <f>BD57*VLOOKUP('Données projet'!$B$11,Paramètres!$A$1:$I$89,3,0)*VLOOKUP('Données projet'!$B$11,Paramètres!$A$1:$I$89,5,0)</f>
        <v>333.87120000000021</v>
      </c>
      <c r="BF57" s="13">
        <f t="shared" si="37"/>
        <v>78.23236011137638</v>
      </c>
      <c r="BG57" s="20">
        <f t="shared" si="7"/>
        <v>717.74703386064755</v>
      </c>
      <c r="BH57" s="59">
        <f t="shared" si="8"/>
        <v>1011.0803671939809</v>
      </c>
      <c r="BI57" s="59">
        <f ca="1">AVERAGE(OFFSET($BH$3,0,0,'Données projet'!$E$11+1,1))-AVERAGE(OFFSET($H$3,0,0,'Données projet'!$E$11+1,1))</f>
        <v>436.23918637269577</v>
      </c>
      <c r="BJ57" s="59">
        <f t="shared" si="38"/>
        <v>611.43967996341894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6.5720866990469222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6.5720866990469222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8.6</v>
      </c>
      <c r="BY57" s="12">
        <f>IF('Données projet'!$A$114&gt;35,BY56+BX57-CG56,IF(A57&lt;'Données projet'!$A$114,$BV$205^A57,IF(A57='Données projet'!$A$114,'Données projet'!$B$114,BY56+BX57-CG56)))</f>
        <v>249.40000000000006</v>
      </c>
      <c r="BZ57" s="13">
        <f>BY57*VLOOKUP('Données projet'!$B$12,Paramètres!$A$1:$I$89,3,0)*VLOOKUP('Données projet'!$B$12,Paramètres!$A$1:$I$89,5,0)</f>
        <v>217.87584000000007</v>
      </c>
      <c r="CA57" s="13">
        <f t="shared" si="39"/>
        <v>53.652949670124926</v>
      </c>
      <c r="CB57" s="20">
        <f t="shared" si="10"/>
        <v>472.91264200880101</v>
      </c>
      <c r="CC57" s="59">
        <f t="shared" si="11"/>
        <v>766.24597534213433</v>
      </c>
      <c r="CD57" s="59">
        <f ca="1">AVERAGE(OFFSET($CC$3,0,0,'Données projet'!$E$12+1,1))-AVERAGE(OFFSET($H$3,0,0,'Données projet'!$E$12+1,1))</f>
        <v>304.32767345253382</v>
      </c>
      <c r="CE57" s="59">
        <f t="shared" si="40"/>
        <v>427.16091343339173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56.570372959351275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56.570372959351275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15.4</v>
      </c>
      <c r="CT57" s="12">
        <f>IF('Données projet'!$A$140&gt;35,CT56+CS57-DB56,IF(A57&lt;'Données projet'!$A$140,$CQ$205^A57,IF(A57='Données projet'!$A$140,'Données projet'!$B$140,CT56+CS57-DB56)))</f>
        <v>723.59999999999945</v>
      </c>
      <c r="CU57" s="17">
        <f>CT57*VLOOKUP('Données projet'!$B$13,Paramètres!$A$1:$I$89,3,0)*VLOOKUP('Données projet'!$B$13,Paramètres!$A$1:$I$89,5,0)</f>
        <v>404.49239999999969</v>
      </c>
      <c r="CV57" s="13">
        <f t="shared" si="41"/>
        <v>92.686837535548761</v>
      </c>
      <c r="CW57" s="20">
        <f t="shared" si="13"/>
        <v>865.92050537441344</v>
      </c>
      <c r="CX57" s="59">
        <f t="shared" si="14"/>
        <v>1159.2538387077468</v>
      </c>
      <c r="CY57" s="59">
        <f ca="1">AVERAGE(OFFSET($CX$3,0,0,'Données projet'!$E$13+1,1))-AVERAGE(OFFSET($H$3,0,0,'Données projet'!$E$13+1,1))</f>
        <v>555.15881087162279</v>
      </c>
      <c r="CZ57" s="59">
        <f t="shared" si="42"/>
        <v>668.20427590250733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89.159050080130655</v>
      </c>
      <c r="DG57" s="21">
        <f>EXP(-LN(2)/25)*DG56+(1-EXP(-LN(2)/25))/(LN(2)/25)*Calculateur!DB57*Calculateur!DD57*VLOOKUP('Données projet'!$B$13,Paramètres!$A$1:$I$89,3,0)*0.475*44/12</f>
        <v>29.703058691695833</v>
      </c>
      <c r="DH57" s="21">
        <f>EXP(-LN(2)/2)*DH56+(1-EXP(-LN(2)/2))/(LN(2)/2)*DB57*DE57*VLOOKUP('Données projet'!$B$13,Paramètres!$A$1:$I$89,3,0)*0.475*44/12</f>
        <v>2.0763754070773075E-4</v>
      </c>
      <c r="DI57" s="22">
        <f t="shared" si="15"/>
        <v>118.8623164093672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26</v>
      </c>
      <c r="DO57" s="12">
        <f>IF('Données projet'!$A$166&gt;35,DO56+DN57-DW56,IF(A57&lt;'Données projet'!$A$166,$DL$205^A57,IF(A57='Données projet'!$A$166,'Données projet'!$B$166,DO56+DN57-DW56)))</f>
        <v>721.99999999999955</v>
      </c>
      <c r="DP57" s="17">
        <f>DO57*VLOOKUP('Données projet'!$B$14,Paramètres!$A$1:$I$89,3,0)*VLOOKUP('Données projet'!$B$14,Paramètres!$A$1:$I$89,5,0)</f>
        <v>337.89599999999979</v>
      </c>
      <c r="DQ57" s="13">
        <f t="shared" si="43"/>
        <v>79.065089779515802</v>
      </c>
      <c r="DR57" s="20">
        <f t="shared" si="16"/>
        <v>726.20723136598963</v>
      </c>
      <c r="DS57" s="59">
        <f t="shared" si="17"/>
        <v>1019.5405646993229</v>
      </c>
      <c r="DT57" s="59">
        <f ca="1">AVERAGE(OFFSET($DS$3,0,0,'Données projet'!$E$14+1,1))-AVERAGE(OFFSET($H$3,0,0,'Données projet'!$E$14+1,1))</f>
        <v>523.79180230463714</v>
      </c>
      <c r="DU57" s="59">
        <f t="shared" si="44"/>
        <v>459.3547783500515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90.345717878186932</v>
      </c>
      <c r="EB57" s="21">
        <f>EXP(-LN(2)/25)*EB56+(1-EXP(-LN(2)/25))/(LN(2)/25)*Calculateur!DW57*Calculateur!DY57*VLOOKUP('Données projet'!$B$14,Paramètres!$A$1:$I$89,3,0)*0.475*44/12</f>
        <v>27.471570204994855</v>
      </c>
      <c r="EC57" s="21">
        <f>EXP(-LN(2)/2)*EC56+(1-EXP(-LN(2)/2))/(LN(2)/2)*DW57*DZ57*VLOOKUP('Données projet'!$B$14,Paramètres!$A$1:$I$89,3,0)*0.475*44/12</f>
        <v>2.9107436750375204E-4</v>
      </c>
      <c r="ED57" s="22">
        <f t="shared" si="18"/>
        <v>117.81757915754929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8.4</v>
      </c>
      <c r="EJ57" s="12">
        <f>IF('Données projet'!$A$192&gt;35,EJ56+EI57-ER56,IF(A57&lt;'Données projet'!$A$192,$EG$205^A57,IF(A57='Données projet'!$A$192,'Données projet'!$B$192,EJ56+EI57-ER56)))</f>
        <v>315.59999999999985</v>
      </c>
      <c r="EK57" s="17">
        <f>EJ57*VLOOKUP('Données projet'!$B$15,Paramètres!$A$1:$I$89,3,0)*VLOOKUP('Données projet'!$B$15,Paramètres!$A$1:$I$89,5,0)</f>
        <v>305.24831999999986</v>
      </c>
      <c r="EL57" s="13">
        <f t="shared" si="45"/>
        <v>72.275599918697424</v>
      </c>
      <c r="EM57" s="20">
        <f t="shared" si="19"/>
        <v>657.52082719173109</v>
      </c>
      <c r="EN57" s="59">
        <f t="shared" si="20"/>
        <v>950.85416052506434</v>
      </c>
      <c r="EO57" s="59">
        <f ca="1">AVERAGE(OFFSET($EN$3,0,0,'Données projet'!$E$15+1,1))-AVERAGE(OFFSET($H$3,0,0,'Données projet'!$E$15+1,1))</f>
        <v>484.41278617935654</v>
      </c>
      <c r="EP57" s="59">
        <f t="shared" si="46"/>
        <v>467.97490540700738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46.113777694613752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46.113777694613752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8.4</v>
      </c>
      <c r="FE57" s="12">
        <f>IF('Données projet'!$A$218&gt;35,FE56+FD57-FM56,IF(A57&lt;'Données projet'!$A$218,$FB$205^A57,IF(A57='Données projet'!$A$218,'Données projet'!$B$218,FE56+FD57-FM56)))</f>
        <v>315.59999999999985</v>
      </c>
      <c r="FF57" s="17">
        <f>FE57*VLOOKUP('Données projet'!$B$16,Paramètres!$A$1:$I$89,3,0)*VLOOKUP('Données projet'!$B$16,Paramètres!$A$1:$I$89,5,0)</f>
        <v>339.71183999999982</v>
      </c>
      <c r="FG57" s="13">
        <f t="shared" si="47"/>
        <v>79.440407803757992</v>
      </c>
      <c r="FH57" s="20">
        <f t="shared" si="22"/>
        <v>730.02349825821148</v>
      </c>
      <c r="FI57" s="59">
        <f t="shared" si="23"/>
        <v>1023.3568315915447</v>
      </c>
      <c r="FJ57" s="59">
        <f ca="1">AVERAGE(OFFSET($FI$3,0,0,'Données projet'!$E$16+1,1))-AVERAGE(OFFSET($H$3,0,0,'Données projet'!$E$16+1,1))</f>
        <v>534.54020133239135</v>
      </c>
      <c r="FK57" s="59">
        <f t="shared" si="48"/>
        <v>515.48696069008815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51.320171950457251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51.320171950457251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7</v>
      </c>
      <c r="FZ57" s="12">
        <f>IF('Données projet'!$A$244&gt;35,FZ56+FY57-GH56,IF(A57&lt;'Données projet'!$A$244,$FW$205^A57,IF(A57='Données projet'!$A$244,'Données projet'!$B$244,FZ56+FY57-GH56)))</f>
        <v>250.99999999999989</v>
      </c>
      <c r="GA57" s="17">
        <f>FZ57*VLOOKUP('Données projet'!$B$17,Paramètres!$A$1:$I$89,3,0)*VLOOKUP('Données projet'!$B$17,Paramètres!$A$1:$I$89,5,0)</f>
        <v>238.85159999999991</v>
      </c>
      <c r="GB57" s="13">
        <f t="shared" si="49"/>
        <v>58.192377695429009</v>
      </c>
      <c r="GC57" s="20">
        <f t="shared" si="25"/>
        <v>517.35159448620539</v>
      </c>
      <c r="GD57" s="59">
        <f t="shared" si="26"/>
        <v>810.68492781953864</v>
      </c>
      <c r="GE57" s="59">
        <f ca="1">AVERAGE(OFFSET($GD$3,0,0,'Données projet'!$E$17+1,1))-AVERAGE(OFFSET($H$3,0,0,'Données projet'!$E$17+1,1))</f>
        <v>455.71329051283936</v>
      </c>
      <c r="GF57" s="59">
        <f t="shared" si="50"/>
        <v>479.3743231122258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44.630181175292499</v>
      </c>
      <c r="GM57" s="21">
        <f>EXP(-LN(2)/25)*GM56+(1-EXP(-LN(2)/25))/(LN(2)/25)*Calculateur!GH57*Calculateur!GJ57*VLOOKUP('Données projet'!$B$17,Paramètres!$A$1:$I$89,3,0)*0.475*44/12</f>
        <v>0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44.630181175292499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8.4</v>
      </c>
      <c r="GU57" s="12">
        <f>IF('Données projet'!$A$270&gt;35,GU56+GT57-HC56,IF(A57&lt;'Données projet'!$A$270,$GR$205^A57,IF(A57='Données projet'!$A$270,'Données projet'!$B$270,GU56+GT57-HC56)))</f>
        <v>315.59999999999985</v>
      </c>
      <c r="GV57" s="17">
        <f>GU57*VLOOKUP('Données projet'!$B$18,Paramètres!$A$1:$I$89,3,0)*VLOOKUP('Données projet'!$B$18,Paramètres!$A$1:$I$89,5,0)</f>
        <v>256.0147199999999</v>
      </c>
      <c r="GW57" s="13">
        <f t="shared" si="51"/>
        <v>61.87211512017457</v>
      </c>
      <c r="GX57" s="20">
        <f t="shared" si="28"/>
        <v>553.65290450097052</v>
      </c>
      <c r="GY57" s="59">
        <f t="shared" si="29"/>
        <v>846.98623783430389</v>
      </c>
      <c r="GZ57" s="59">
        <f ca="1">AVERAGE(OFFSET($GY$3,0,0,'Données projet'!$E$18+1,1))-AVERAGE(OFFSET($H$3,0,0,'Données projet'!$E$18+1,1))</f>
        <v>412.59676769258488</v>
      </c>
      <c r="HA57" s="59">
        <f t="shared" si="52"/>
        <v>399.90063795152133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38.676071614837355</v>
      </c>
      <c r="HH57" s="21">
        <f>EXP(-LN(2)/25)*HH56+(1-EXP(-LN(2)/25))/(LN(2)/25)*Calculateur!HC57*Calculateur!HE57*VLOOKUP('Données projet'!$B$18,Paramètres!$A$1:$I$89,3,0)*0.475*44/12</f>
        <v>0</v>
      </c>
      <c r="HI57" s="21">
        <f>EXP(-LN(2)/2)*HI56+(1-EXP(-LN(2)/2))/(LN(2)/2)*HC57*HF57*VLOOKUP('Données projet'!$B$18,Paramètres!$A$1:$I$89,3,0)*0.475*44/12</f>
        <v>0</v>
      </c>
      <c r="HJ57" s="22">
        <f t="shared" si="30"/>
        <v>38.676071614837355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254</v>
      </c>
      <c r="L58" s="12">
        <f>VLOOKUP(A58,'Données projet'!$A$35:$I$55,9,0)</f>
        <v>10.199999999999999</v>
      </c>
      <c r="M58" s="12">
        <f t="array" ref="M58">INDEX(L:L,MIN(IF(ISNUMBER(L58:L254),ROW(L58:L254),"")))</f>
        <v>10.199999999999999</v>
      </c>
      <c r="N58" s="13">
        <f>IF('Données projet'!$A$36&gt;35,N57+M58-V57,IF(A58&lt;'Données projet'!$A$36,$K$205^A58,IF(A58='Données projet'!$A$36,'Données projet'!$B$36,N57+M58-V57)))</f>
        <v>253.99999999999997</v>
      </c>
      <c r="O58" s="13">
        <f>N58*VLOOKUP('Données projet'!$B$9,Paramètres!$A$1:$I$89,3,0)*VLOOKUP('Données projet'!$B$9,Paramètres!$A$1:$I$89,5,0)</f>
        <v>229.81919999999997</v>
      </c>
      <c r="P58" s="13">
        <f t="shared" si="33"/>
        <v>56.243586554989342</v>
      </c>
      <c r="Q58" s="20">
        <f t="shared" si="53"/>
        <v>498.22601991660639</v>
      </c>
      <c r="R58" s="59">
        <f t="shared" si="0"/>
        <v>791.5593532499397</v>
      </c>
      <c r="S58" s="59">
        <f ca="1">AVERAGE(OFFSET($R$3,0,0,'Données projet'!$E$9+1,1))-AVERAGE(OFFSET($H$3,0,0,'Données projet'!$E$9+1,1))</f>
        <v>439.19854273764042</v>
      </c>
      <c r="T58" s="59">
        <f t="shared" si="34"/>
        <v>278.21741231699929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28</v>
      </c>
      <c r="W58" s="16">
        <f>IF(ISNA(VLOOKUP(A58,'Données projet'!$A$35:$I$55,5,0)),0%,VLOOKUP(A58,'Données projet'!$A$35:$I$55,5,0)*VLOOKUP('Données projet'!$B$9,Paramètres!$A$1:$I$89,7,0))</f>
        <v>0.43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49.881205450305444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49.881205450305444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254</v>
      </c>
      <c r="AG58" s="12">
        <f>VLOOKUP(A58,'Données projet'!$A$61:$I$81,9,0)</f>
        <v>10.199999999999999</v>
      </c>
      <c r="AH58" s="12">
        <f t="array" ref="AH58">INDEX(AG:AG,MIN(IF(ISNUMBER(AG58:AG254),ROW(AG58:AG254),"")))</f>
        <v>10.199999999999999</v>
      </c>
      <c r="AI58" s="13">
        <f>IF('Données projet'!$A$62&gt;35,AI57+AH58-AQ57,IF(A58&lt;'Données projet'!$A$62,$AF$205^A58,IF(A58='Données projet'!$A$62,'Données projet'!$B$62,AI57+AH58-AQ57)))</f>
        <v>253.99999999999997</v>
      </c>
      <c r="AJ58" s="13">
        <f>AI58*VLOOKUP('Données projet'!$B$10,Paramètres!$A$1:$I$89,3,0)*VLOOKUP('Données projet'!$B$10,Paramètres!$A$1:$I$89,5,0)</f>
        <v>257.55599999999998</v>
      </c>
      <c r="AK58" s="13">
        <f t="shared" si="35"/>
        <v>62.201129910568184</v>
      </c>
      <c r="AL58" s="20">
        <f t="shared" si="4"/>
        <v>556.91033459423954</v>
      </c>
      <c r="AM58" s="59">
        <f t="shared" si="5"/>
        <v>850.24366792757291</v>
      </c>
      <c r="AN58" s="59">
        <f ca="1">AVERAGE(OFFSET($AM$3,0,0,'Données projet'!$E$10+1,1))-AVERAGE(OFFSET($H$3,0,0,'Données projet'!$E$10+1,1))</f>
        <v>487.18832528146936</v>
      </c>
      <c r="AO58" s="59">
        <f t="shared" si="36"/>
        <v>306.61893266146666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28</v>
      </c>
      <c r="AR58" s="16">
        <f>IF(ISNA(VLOOKUP(A58,'Données projet'!$A$61:$I$81,5,0)),0%,VLOOKUP(A58,'Données projet'!$A$61:$I$81,5,0)*VLOOKUP('Données projet'!$B$10,Paramètres!$A$1:$I$89,7,0))</f>
        <v>0.43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55.901350935687148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55.901350935687148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369.00000000000023</v>
      </c>
      <c r="BE58" s="13">
        <f>BD58*VLOOKUP('Données projet'!$B$11,Paramètres!$A$1:$I$89,3,0)*VLOOKUP('Données projet'!$B$11,Paramètres!$A$1:$I$89,5,0)</f>
        <v>333.87120000000021</v>
      </c>
      <c r="BF58" s="13">
        <f t="shared" si="37"/>
        <v>78.23236011137638</v>
      </c>
      <c r="BG58" s="20">
        <f t="shared" si="7"/>
        <v>717.74703386064755</v>
      </c>
      <c r="BH58" s="59">
        <f t="shared" si="8"/>
        <v>1011.0803671939809</v>
      </c>
      <c r="BI58" s="59">
        <f ca="1">AVERAGE(OFFSET($BH$3,0,0,'Données projet'!$E$11+1,1))-AVERAGE(OFFSET($H$3,0,0,'Données projet'!$E$11+1,1))</f>
        <v>436.23918637269577</v>
      </c>
      <c r="BJ58" s="59">
        <f t="shared" si="38"/>
        <v>611.43967996341894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6.4432120874556844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6.4432120874556844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258</v>
      </c>
      <c r="BW58" s="12">
        <f>VLOOKUP(A58,'Données projet'!$A$113:$I$133,9,0)</f>
        <v>8.6</v>
      </c>
      <c r="BX58" s="12">
        <f t="array" ref="BX58">INDEX(BW:BW,MIN(IF(ISNUMBER(BW58:BW254),ROW(BW58:BW254),"")))</f>
        <v>8.6</v>
      </c>
      <c r="BY58" s="12">
        <f>IF('Données projet'!$A$114&gt;35,BY57+BX58-CG57,IF(A58&lt;'Données projet'!$A$114,$BV$205^A58,IF(A58='Données projet'!$A$114,'Données projet'!$B$114,BY57+BX58-CG57)))</f>
        <v>258.00000000000006</v>
      </c>
      <c r="BZ58" s="13">
        <f>BY58*VLOOKUP('Données projet'!$B$12,Paramètres!$A$1:$I$89,3,0)*VLOOKUP('Données projet'!$B$12,Paramètres!$A$1:$I$89,5,0)</f>
        <v>225.38880000000009</v>
      </c>
      <c r="CA58" s="13">
        <f t="shared" si="39"/>
        <v>55.284460117161593</v>
      </c>
      <c r="CB58" s="20">
        <f t="shared" si="10"/>
        <v>488.83926137072331</v>
      </c>
      <c r="CC58" s="59">
        <f t="shared" si="11"/>
        <v>782.17259470405656</v>
      </c>
      <c r="CD58" s="59">
        <f ca="1">AVERAGE(OFFSET($CC$3,0,0,'Données projet'!$E$12+1,1))-AVERAGE(OFFSET($H$3,0,0,'Données projet'!$E$12+1,1))</f>
        <v>304.32767345253382</v>
      </c>
      <c r="CE58" s="59">
        <f t="shared" si="40"/>
        <v>427.16091343339173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34</v>
      </c>
      <c r="CH58" s="16">
        <f>IF(ISNA(VLOOKUP(A58,'Données projet'!$A$113:$I$133,5,0)),0%,VLOOKUP(A58,'Données projet'!$A$113:$I$133,5,0)*VLOOKUP('Données projet'!$B$12,Paramètres!$A$1:$I$89,7,0))</f>
        <v>0.43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69.58016551258585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69.58016551258585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739</v>
      </c>
      <c r="CR58" s="12">
        <f>VLOOKUP(A58,'Données projet'!$A$139:$I$159,9,0)</f>
        <v>15.4</v>
      </c>
      <c r="CS58" s="12">
        <f t="array" ref="CS58">INDEX(CR:CR,MIN(IF(ISNUMBER(CR58:CR254),ROW(CR58:CR254),"")))</f>
        <v>15.4</v>
      </c>
      <c r="CT58" s="12">
        <f>IF('Données projet'!$A$140&gt;35,CT57+CS58-DB57,IF(A58&lt;'Données projet'!$A$140,$CQ$205^A58,IF(A58='Données projet'!$A$140,'Données projet'!$B$140,CT57+CS58-DB57)))</f>
        <v>738.99999999999943</v>
      </c>
      <c r="CU58" s="17">
        <f>CT58*VLOOKUP('Données projet'!$B$13,Paramètres!$A$1:$I$89,3,0)*VLOOKUP('Données projet'!$B$13,Paramètres!$A$1:$I$89,5,0)</f>
        <v>413.10099999999971</v>
      </c>
      <c r="CV58" s="13">
        <f t="shared" si="41"/>
        <v>94.427689670462271</v>
      </c>
      <c r="CW58" s="20">
        <f t="shared" si="13"/>
        <v>883.94580117605472</v>
      </c>
      <c r="CX58" s="59">
        <f t="shared" si="14"/>
        <v>1177.2791345093881</v>
      </c>
      <c r="CY58" s="59">
        <f ca="1">AVERAGE(OFFSET($CX$3,0,0,'Données projet'!$E$13+1,1))-AVERAGE(OFFSET($H$3,0,0,'Données projet'!$E$13+1,1))</f>
        <v>555.15881087162279</v>
      </c>
      <c r="CZ58" s="59">
        <f t="shared" si="42"/>
        <v>668.20427590250733</v>
      </c>
      <c r="DA58" s="15">
        <f>IF(ISNA(VLOOKUP(A58,'Données projet'!$A$139:$I$159,3,0)),0,VLOOKUP(A58,'Données projet'!$A$139:$I$159,3,0))</f>
        <v>8</v>
      </c>
      <c r="DB58" s="15">
        <f>IF(ISNA(VLOOKUP(A58,'Données projet'!$A$139:$I$159,4,0)),0,VLOOKUP(A58,'Données projet'!$A$139:$I$159,4,0))</f>
        <v>46</v>
      </c>
      <c r="DC58" s="16">
        <f>IF(ISNA(VLOOKUP(A58,'Données projet'!$A$139:$I$159,5,0)),0%,VLOOKUP(A58,'Données projet'!$A$139:$I$159,5,0)*VLOOKUP('Données projet'!$B$13,Paramètres!$A$1:$I$89,7,0))</f>
        <v>0.55000000000000004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106.17189861365489</v>
      </c>
      <c r="DG58" s="21">
        <f>EXP(-LN(2)/25)*DG57+(1-EXP(-LN(2)/25))/(LN(2)/25)*Calculateur!DB58*Calculateur!DD58*VLOOKUP('Données projet'!$B$13,Paramètres!$A$1:$I$89,3,0)*0.475*44/12</f>
        <v>28.890826989755443</v>
      </c>
      <c r="DH58" s="21">
        <f>EXP(-LN(2)/2)*DH57+(1-EXP(-LN(2)/2))/(LN(2)/2)*DB58*DE58*VLOOKUP('Données projet'!$B$13,Paramètres!$A$1:$I$89,3,0)*0.475*44/12</f>
        <v>1.4682191306333422E-4</v>
      </c>
      <c r="DI58" s="22">
        <f t="shared" si="15"/>
        <v>135.06287242532341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748</v>
      </c>
      <c r="DM58" s="12">
        <f>VLOOKUP(A58,'Données projet'!$A$165:$I$185,9,0)</f>
        <v>26</v>
      </c>
      <c r="DN58" s="12">
        <f t="array" ref="DN58">INDEX(DM:DM,MIN(IF(ISNUMBER(DM58:DM254),ROW(DM58:DM254),"")))</f>
        <v>26</v>
      </c>
      <c r="DO58" s="12">
        <f>IF('Données projet'!$A$166&gt;35,DO57+DN58-DW57,IF(A58&lt;'Données projet'!$A$166,$DL$205^A58,IF(A58='Données projet'!$A$166,'Données projet'!$B$166,DO57+DN58-DW57)))</f>
        <v>747.99999999999955</v>
      </c>
      <c r="DP58" s="17">
        <f>DO58*VLOOKUP('Données projet'!$B$14,Paramètres!$A$1:$I$89,3,0)*VLOOKUP('Données projet'!$B$14,Paramètres!$A$1:$I$89,5,0)</f>
        <v>350.06399999999974</v>
      </c>
      <c r="DQ58" s="13">
        <f t="shared" si="43"/>
        <v>81.575689362490451</v>
      </c>
      <c r="DR58" s="20">
        <f t="shared" si="16"/>
        <v>751.77245897300372</v>
      </c>
      <c r="DS58" s="59">
        <f t="shared" si="17"/>
        <v>1045.105792306337</v>
      </c>
      <c r="DT58" s="59">
        <f ca="1">AVERAGE(OFFSET($DS$3,0,0,'Données projet'!$E$14+1,1))-AVERAGE(OFFSET($H$3,0,0,'Données projet'!$E$14+1,1))</f>
        <v>523.79180230463714</v>
      </c>
      <c r="DU58" s="59">
        <f t="shared" si="44"/>
        <v>459.3547783500515</v>
      </c>
      <c r="DV58" s="15">
        <f>IF(ISNA(VLOOKUP(A58,'Données projet'!$A$165:$I$185,3,0)),0,VLOOKUP(A58,'Données projet'!$A$165:$I$185,3,0))</f>
        <v>8</v>
      </c>
      <c r="DW58" s="15">
        <f>IF(ISNA(VLOOKUP(A58,'Données projet'!$A$165:$I$185,4,0)),0,VLOOKUP(A58,'Données projet'!$A$165:$I$185,4,0))</f>
        <v>70</v>
      </c>
      <c r="DX58" s="16">
        <f>IF(ISNA(VLOOKUP(A58,'Données projet'!$A$165:$I$185,5,0)),0%,VLOOKUP(A58,'Données projet'!$A$165:$I$185,5,0)*VLOOKUP('Données projet'!$B$14,Paramètres!$A$1:$I$89,7,0))</f>
        <v>0.55000000000000004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112.47613181415201</v>
      </c>
      <c r="EB58" s="21">
        <f>EXP(-LN(2)/25)*EB57+(1-EXP(-LN(2)/25))/(LN(2)/25)*Calculateur!DW58*Calculateur!DY58*VLOOKUP('Données projet'!$B$14,Paramètres!$A$1:$I$89,3,0)*0.475*44/12</f>
        <v>26.72035867307218</v>
      </c>
      <c r="EC58" s="21">
        <f>EXP(-LN(2)/2)*EC57+(1-EXP(-LN(2)/2))/(LN(2)/2)*DW58*DZ58*VLOOKUP('Données projet'!$B$14,Paramètres!$A$1:$I$89,3,0)*0.475*44/12</f>
        <v>2.0582065909148831E-4</v>
      </c>
      <c r="ED58" s="22">
        <f t="shared" si="18"/>
        <v>139.19669630788329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324</v>
      </c>
      <c r="EH58" s="12">
        <f>VLOOKUP(A58,'Données projet'!$A$191:$I$211,9,0)</f>
        <v>8.4</v>
      </c>
      <c r="EI58" s="12">
        <f t="array" ref="EI58">INDEX(EH:EH,MIN(IF(ISNUMBER(EH58:EH254),ROW(EH58:EH254),"")))</f>
        <v>8.4</v>
      </c>
      <c r="EJ58" s="12">
        <f>IF('Données projet'!$A$192&gt;35,EJ57+EI58-ER57,IF(A58&lt;'Données projet'!$A$192,$EG$205^A58,IF(A58='Données projet'!$A$192,'Données projet'!$B$192,EJ57+EI58-ER57)))</f>
        <v>323.99999999999983</v>
      </c>
      <c r="EK58" s="17">
        <f>EJ58*VLOOKUP('Données projet'!$B$15,Paramètres!$A$1:$I$89,3,0)*VLOOKUP('Données projet'!$B$15,Paramètres!$A$1:$I$89,5,0)</f>
        <v>313.37279999999981</v>
      </c>
      <c r="EL58" s="13">
        <f t="shared" si="45"/>
        <v>73.972760827003654</v>
      </c>
      <c r="EM58" s="20">
        <f t="shared" si="19"/>
        <v>674.62685177369769</v>
      </c>
      <c r="EN58" s="59">
        <f t="shared" si="20"/>
        <v>967.96018510703107</v>
      </c>
      <c r="EO58" s="59">
        <f ca="1">AVERAGE(OFFSET($EN$3,0,0,'Données projet'!$E$15+1,1))-AVERAGE(OFFSET($H$3,0,0,'Données projet'!$E$15+1,1))</f>
        <v>484.41278617935654</v>
      </c>
      <c r="EP58" s="59">
        <f t="shared" si="46"/>
        <v>467.97490540700738</v>
      </c>
      <c r="EQ58" s="15">
        <f>IF(ISNA(VLOOKUP(A58,'Données projet'!$A$191:$I$211,3,0)),0,VLOOKUP(A58,'Données projet'!$A$191:$I$211,3,0))</f>
        <v>10</v>
      </c>
      <c r="ER58" s="15">
        <f>IF(ISNA(VLOOKUP(A58,'Données projet'!$A$191:$I$211,4,0)),0,VLOOKUP(A58,'Données projet'!$A$191:$I$211,4,0))</f>
        <v>18</v>
      </c>
      <c r="ES58" s="16">
        <f>IF(ISNA(VLOOKUP(A58,'Données projet'!$A$191:$I$211,5,0)),0%,VLOOKUP(A58,'Données projet'!$A$191:$I$211,5,0)*VLOOKUP('Données projet'!$B$15,Paramètres!$A$1:$I$89,7,0))</f>
        <v>0.43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53.485207402041738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53.485207402041738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324</v>
      </c>
      <c r="FC58" s="12">
        <f>VLOOKUP(A58,'Données projet'!$A$217:$I$237,9,0)</f>
        <v>8.4</v>
      </c>
      <c r="FD58" s="12">
        <f t="array" ref="FD58">INDEX(FC:FC,MIN(IF(ISNUMBER(FC58:FC254),ROW(FC58:FC254),"")))</f>
        <v>8.4</v>
      </c>
      <c r="FE58" s="12">
        <f>IF('Données projet'!$A$218&gt;35,FE57+FD58-FM57,IF(A58&lt;'Données projet'!$A$218,$FB$205^A58,IF(A58='Données projet'!$A$218,'Données projet'!$B$218,FE57+FD58-FM57)))</f>
        <v>323.99999999999983</v>
      </c>
      <c r="FF58" s="17">
        <f>FE58*VLOOKUP('Données projet'!$B$16,Paramètres!$A$1:$I$89,3,0)*VLOOKUP('Données projet'!$B$16,Paramètres!$A$1:$I$89,5,0)</f>
        <v>348.75359999999978</v>
      </c>
      <c r="FG58" s="13">
        <f t="shared" si="47"/>
        <v>81.305811270710876</v>
      </c>
      <c r="FH58" s="20">
        <f t="shared" si="22"/>
        <v>749.02014129648762</v>
      </c>
      <c r="FI58" s="59">
        <f t="shared" si="23"/>
        <v>1042.353474629821</v>
      </c>
      <c r="FJ58" s="59">
        <f ca="1">AVERAGE(OFFSET($FI$3,0,0,'Données projet'!$E$16+1,1))-AVERAGE(OFFSET($H$3,0,0,'Données projet'!$E$16+1,1))</f>
        <v>534.54020133239135</v>
      </c>
      <c r="FK58" s="59">
        <f t="shared" si="48"/>
        <v>515.48696069008815</v>
      </c>
      <c r="FL58" s="15">
        <f>IF(ISNA(VLOOKUP(A58,'Données projet'!$A$217:$I$237,3,0)),0,VLOOKUP(A58,'Données projet'!$A$217:$I$237,3,0))</f>
        <v>10</v>
      </c>
      <c r="FM58" s="15">
        <f>IF(ISNA(VLOOKUP(A58,'Données projet'!$A$217:$I$237,4,0)),0,VLOOKUP(A58,'Données projet'!$A$217:$I$237,4,0))</f>
        <v>18</v>
      </c>
      <c r="FN58" s="16">
        <f>IF(ISNA(VLOOKUP(A58,'Données projet'!$A$217:$I$237,5,0)),0%,VLOOKUP(A58,'Données projet'!$A$217:$I$237,5,0)*VLOOKUP('Données projet'!$B$16,Paramètres!$A$1:$I$89,7,0))</f>
        <v>0.43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59.523859850659363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59.523859850659363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>
        <f>VLOOKUP(A58,'Données projet'!$A$243:$I$263,2,0)</f>
        <v>258</v>
      </c>
      <c r="FX58" s="12">
        <f>VLOOKUP(A58,'Données projet'!$A$243:$I$263,9,0)</f>
        <v>7</v>
      </c>
      <c r="FY58" s="12">
        <f t="array" ref="FY58">INDEX(FX:FX,MIN(IF(ISNUMBER(FX58:FX254),ROW(FX58:FX254),"")))</f>
        <v>7</v>
      </c>
      <c r="FZ58" s="12">
        <f>IF('Données projet'!$A$244&gt;35,FZ57+FY58-GH57,IF(A58&lt;'Données projet'!$A$244,$FW$205^A58,IF(A58='Données projet'!$A$244,'Données projet'!$B$244,FZ57+FY58-GH57)))</f>
        <v>257.99999999999989</v>
      </c>
      <c r="GA58" s="17">
        <f>FZ58*VLOOKUP('Données projet'!$B$17,Paramètres!$A$1:$I$89,3,0)*VLOOKUP('Données projet'!$B$17,Paramètres!$A$1:$I$89,5,0)</f>
        <v>245.51279999999991</v>
      </c>
      <c r="GB58" s="13">
        <f t="shared" si="49"/>
        <v>59.624063998553147</v>
      </c>
      <c r="GC58" s="20">
        <f t="shared" si="25"/>
        <v>531.44670479747981</v>
      </c>
      <c r="GD58" s="59">
        <f t="shared" si="26"/>
        <v>824.78003813081318</v>
      </c>
      <c r="GE58" s="59">
        <f ca="1">AVERAGE(OFFSET($GD$3,0,0,'Données projet'!$E$17+1,1))-AVERAGE(OFFSET($H$3,0,0,'Données projet'!$E$17+1,1))</f>
        <v>455.71329051283936</v>
      </c>
      <c r="GF58" s="59">
        <f t="shared" si="50"/>
        <v>479.3743231122258</v>
      </c>
      <c r="GG58" s="15">
        <f>IF(ISNA(VLOOKUP(A58,'Données projet'!$A$243:$I$263,3,0)),0,VLOOKUP(A58,'Données projet'!$A$243:$I$263,3,0))</f>
        <v>10</v>
      </c>
      <c r="GH58" s="15">
        <f>IF(ISNA(VLOOKUP(A58,'Données projet'!$A$243:$I$263,4,0)),0,VLOOKUP(A58,'Données projet'!$A$243:$I$263,4,0))</f>
        <v>30</v>
      </c>
      <c r="GI58" s="16">
        <f>IF(ISNA(VLOOKUP(A58,'Données projet'!$A$243:$I$263,5,0)),0%,VLOOKUP(A58,'Données projet'!$A$243:$I$263,5,0)*VLOOKUP('Données projet'!$B$17,Paramètres!$A$1:$I$89,7,0))</f>
        <v>0.43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57.325366953977472</v>
      </c>
      <c r="GM58" s="21">
        <f>EXP(-LN(2)/25)*GM57+(1-EXP(-LN(2)/25))/(LN(2)/25)*Calculateur!GH58*Calculateur!GJ58*VLOOKUP('Données projet'!$B$17,Paramètres!$A$1:$I$89,3,0)*0.475*44/12</f>
        <v>0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57.325366953977472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>
        <f>VLOOKUP(A58,'Données projet'!$A$269:$I$289,2,0)</f>
        <v>324</v>
      </c>
      <c r="GS58" s="12">
        <f>VLOOKUP(A58,'Données projet'!$A$269:$I$289,9,0)</f>
        <v>8.4</v>
      </c>
      <c r="GT58" s="12">
        <f t="array" ref="GT58">INDEX(GS:GS,MIN(IF(ISNUMBER(GS58:GS254),ROW(GS58:GS254),"")))</f>
        <v>8.4</v>
      </c>
      <c r="GU58" s="12">
        <f>IF('Données projet'!$A$270&gt;35,GU57+GT58-HC57,IF(A58&lt;'Données projet'!$A$270,$GR$205^A58,IF(A58='Données projet'!$A$270,'Données projet'!$B$270,GU57+GT58-HC57)))</f>
        <v>323.99999999999983</v>
      </c>
      <c r="GV58" s="17">
        <f>GU58*VLOOKUP('Données projet'!$B$18,Paramètres!$A$1:$I$89,3,0)*VLOOKUP('Données projet'!$B$18,Paramètres!$A$1:$I$89,5,0)</f>
        <v>262.82879999999989</v>
      </c>
      <c r="GW58" s="13">
        <f t="shared" si="51"/>
        <v>63.324983518559428</v>
      </c>
      <c r="GX58" s="20">
        <f t="shared" si="28"/>
        <v>568.05117296149081</v>
      </c>
      <c r="GY58" s="59">
        <f t="shared" si="29"/>
        <v>861.38450629482418</v>
      </c>
      <c r="GZ58" s="59">
        <f ca="1">AVERAGE(OFFSET($GY$3,0,0,'Données projet'!$E$18+1,1))-AVERAGE(OFFSET($H$3,0,0,'Données projet'!$E$18+1,1))</f>
        <v>412.59676769258488</v>
      </c>
      <c r="HA58" s="59">
        <f t="shared" si="52"/>
        <v>399.90063795152133</v>
      </c>
      <c r="HB58" s="15">
        <f>IF(ISNA(VLOOKUP(A58,'Données projet'!$A$269:$I$289,3,0)),0,VLOOKUP(A58,'Données projet'!$A$269:$I$289,3,0))</f>
        <v>10</v>
      </c>
      <c r="HC58" s="15">
        <f>IF(ISNA(VLOOKUP(A58,'Données projet'!$A$269:$I$289,4,0)),0,VLOOKUP(A58,'Données projet'!$A$269:$I$289,4,0))</f>
        <v>18</v>
      </c>
      <c r="HD58" s="16">
        <f>IF(ISNA(VLOOKUP(A58,'Données projet'!$A$269:$I$289,5,0)),0%,VLOOKUP(A58,'Données projet'!$A$269:$I$289,5,0)*VLOOKUP('Données projet'!$B$18,Paramètres!$A$1:$I$89,7,0))</f>
        <v>0.43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44.858561046873731</v>
      </c>
      <c r="HH58" s="21">
        <f>EXP(-LN(2)/25)*HH57+(1-EXP(-LN(2)/25))/(LN(2)/25)*Calculateur!HC58*Calculateur!HE58*VLOOKUP('Données projet'!$B$18,Paramètres!$A$1:$I$89,3,0)*0.475*44/12</f>
        <v>0</v>
      </c>
      <c r="HI58" s="21">
        <f>EXP(-LN(2)/2)*HI57+(1-EXP(-LN(2)/2))/(LN(2)/2)*HC58*HF58*VLOOKUP('Données projet'!$B$18,Paramètres!$A$1:$I$89,3,0)*0.475*44/12</f>
        <v>0</v>
      </c>
      <c r="HJ58" s="22">
        <f t="shared" si="30"/>
        <v>44.858561046873731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9.4</v>
      </c>
      <c r="N59" s="13">
        <f>IF('Données projet'!$A$36&gt;35,N58+M59-V58,IF(A59&lt;'Données projet'!$A$36,$K$205^A59,IF(A59='Données projet'!$A$36,'Données projet'!$B$36,N58+M59-V58)))</f>
        <v>235.39999999999998</v>
      </c>
      <c r="O59" s="13">
        <f>N59*VLOOKUP('Données projet'!$B$9,Paramètres!$A$1:$I$89,3,0)*VLOOKUP('Données projet'!$B$9,Paramètres!$A$1:$I$89,5,0)</f>
        <v>212.98991999999998</v>
      </c>
      <c r="P59" s="13">
        <f t="shared" si="33"/>
        <v>52.588419883221171</v>
      </c>
      <c r="Q59" s="20">
        <f t="shared" si="53"/>
        <v>462.54894196327677</v>
      </c>
      <c r="R59" s="59">
        <f t="shared" si="0"/>
        <v>755.88227529661003</v>
      </c>
      <c r="S59" s="59">
        <f ca="1">AVERAGE(OFFSET($R$3,0,0,'Données projet'!$E$9+1,1))-AVERAGE(OFFSET($H$3,0,0,'Données projet'!$E$9+1,1))</f>
        <v>439.19854273764042</v>
      </c>
      <c r="T59" s="59">
        <f t="shared" si="34"/>
        <v>278.21741231699929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48.903065435956108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48.903065435956108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9.4</v>
      </c>
      <c r="AI59" s="13">
        <f>IF('Données projet'!$A$62&gt;35,AI58+AH59-AQ58,IF(A59&lt;'Données projet'!$A$62,$AF$205^A59,IF(A59='Données projet'!$A$62,'Données projet'!$B$62,AI58+AH59-AQ58)))</f>
        <v>235.39999999999998</v>
      </c>
      <c r="AJ59" s="13">
        <f>AI59*VLOOKUP('Données projet'!$B$10,Paramètres!$A$1:$I$89,3,0)*VLOOKUP('Données projet'!$B$10,Paramètres!$A$1:$I$89,5,0)</f>
        <v>238.69559999999998</v>
      </c>
      <c r="AK59" s="13">
        <f t="shared" si="35"/>
        <v>58.158793514165929</v>
      </c>
      <c r="AL59" s="20">
        <f t="shared" si="4"/>
        <v>517.02140203717238</v>
      </c>
      <c r="AM59" s="59">
        <f t="shared" si="5"/>
        <v>810.35473537050575</v>
      </c>
      <c r="AN59" s="59">
        <f ca="1">AVERAGE(OFFSET($AM$3,0,0,'Données projet'!$E$10+1,1))-AVERAGE(OFFSET($H$3,0,0,'Données projet'!$E$10+1,1))</f>
        <v>487.18832528146936</v>
      </c>
      <c r="AO59" s="59">
        <f t="shared" si="36"/>
        <v>306.61893266146666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54.805159540295648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54.805159540295648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369.00000000000023</v>
      </c>
      <c r="BE59" s="13">
        <f>BD59*VLOOKUP('Données projet'!$B$11,Paramètres!$A$1:$I$89,3,0)*VLOOKUP('Données projet'!$B$11,Paramètres!$A$1:$I$89,5,0)</f>
        <v>333.87120000000021</v>
      </c>
      <c r="BF59" s="13">
        <f t="shared" si="37"/>
        <v>78.23236011137638</v>
      </c>
      <c r="BG59" s="20">
        <f t="shared" si="7"/>
        <v>717.74703386064755</v>
      </c>
      <c r="BH59" s="59">
        <f t="shared" si="8"/>
        <v>1011.0803671939809</v>
      </c>
      <c r="BI59" s="59">
        <f ca="1">AVERAGE(OFFSET($BH$3,0,0,'Données projet'!$E$11+1,1))-AVERAGE(OFFSET($H$3,0,0,'Données projet'!$E$11+1,1))</f>
        <v>436.23918637269577</v>
      </c>
      <c r="BJ59" s="59">
        <f t="shared" si="38"/>
        <v>611.43967996341894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6.3168646283919996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6.3168646283919996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224.00000000000006</v>
      </c>
      <c r="BZ59" s="13">
        <f>BY59*VLOOKUP('Données projet'!$B$12,Paramètres!$A$1:$I$89,3,0)*VLOOKUP('Données projet'!$B$12,Paramètres!$A$1:$I$89,5,0)</f>
        <v>195.68640000000008</v>
      </c>
      <c r="CA59" s="13">
        <f t="shared" si="39"/>
        <v>48.794969360985156</v>
      </c>
      <c r="CB59" s="20">
        <f t="shared" si="10"/>
        <v>425.8050516370493</v>
      </c>
      <c r="CC59" s="59">
        <f t="shared" si="11"/>
        <v>719.13838497038262</v>
      </c>
      <c r="CD59" s="59">
        <f ca="1">AVERAGE(OFFSET($CC$3,0,0,'Données projet'!$E$12+1,1))-AVERAGE(OFFSET($H$3,0,0,'Données projet'!$E$12+1,1))</f>
        <v>304.32767345253382</v>
      </c>
      <c r="CE59" s="59">
        <f t="shared" si="40"/>
        <v>427.16091343339173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68.215740906594434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68.215740906594434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12.2</v>
      </c>
      <c r="CT59" s="12">
        <f>IF('Données projet'!$A$140&gt;35,CT58+CS59-DB58,IF(A59&lt;'Données projet'!$A$140,$CQ$205^A59,IF(A59='Données projet'!$A$140,'Données projet'!$B$140,CT58+CS59-DB58)))</f>
        <v>705.19999999999948</v>
      </c>
      <c r="CU59" s="17">
        <f>CT59*VLOOKUP('Données projet'!$B$13,Paramètres!$A$1:$I$89,3,0)*VLOOKUP('Données projet'!$B$13,Paramètres!$A$1:$I$89,5,0)</f>
        <v>394.2067999999997</v>
      </c>
      <c r="CV59" s="13">
        <f t="shared" si="41"/>
        <v>90.601187466199292</v>
      </c>
      <c r="CW59" s="20">
        <f t="shared" si="13"/>
        <v>844.37391150362998</v>
      </c>
      <c r="CX59" s="59">
        <f t="shared" si="14"/>
        <v>1137.7072448369634</v>
      </c>
      <c r="CY59" s="59">
        <f ca="1">AVERAGE(OFFSET($CX$3,0,0,'Données projet'!$E$13+1,1))-AVERAGE(OFFSET($H$3,0,0,'Données projet'!$E$13+1,1))</f>
        <v>555.15881087162279</v>
      </c>
      <c r="CZ59" s="59">
        <f t="shared" si="42"/>
        <v>668.20427590250733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104.08993244030491</v>
      </c>
      <c r="DG59" s="21">
        <f>EXP(-LN(2)/25)*DG58+(1-EXP(-LN(2)/25))/(LN(2)/25)*Calculateur!DB59*Calculateur!DD59*VLOOKUP('Données projet'!$B$13,Paramètres!$A$1:$I$89,3,0)*0.475*44/12</f>
        <v>28.10080580641802</v>
      </c>
      <c r="DH59" s="21">
        <f>EXP(-LN(2)/2)*DH58+(1-EXP(-LN(2)/2))/(LN(2)/2)*DB59*DE59*VLOOKUP('Données projet'!$B$13,Paramètres!$A$1:$I$89,3,0)*0.475*44/12</f>
        <v>1.0381877035386538E-4</v>
      </c>
      <c r="DI59" s="22">
        <f t="shared" si="15"/>
        <v>132.19084206549329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24</v>
      </c>
      <c r="DO59" s="12">
        <f>IF('Données projet'!$A$166&gt;35,DO58+DN59-DW58,IF(A59&lt;'Données projet'!$A$166,$DL$205^A59,IF(A59='Données projet'!$A$166,'Données projet'!$B$166,DO58+DN59-DW58)))</f>
        <v>701.99999999999955</v>
      </c>
      <c r="DP59" s="17">
        <f>DO59*VLOOKUP('Données projet'!$B$14,Paramètres!$A$1:$I$89,3,0)*VLOOKUP('Données projet'!$B$14,Paramètres!$A$1:$I$89,5,0)</f>
        <v>328.53599999999977</v>
      </c>
      <c r="DQ59" s="13">
        <f t="shared" si="43"/>
        <v>77.126704121605556</v>
      </c>
      <c r="DR59" s="20">
        <f t="shared" si="16"/>
        <v>706.52920967846251</v>
      </c>
      <c r="DS59" s="59">
        <f t="shared" si="17"/>
        <v>999.86254301179588</v>
      </c>
      <c r="DT59" s="59">
        <f ca="1">AVERAGE(OFFSET($DS$3,0,0,'Données projet'!$E$14+1,1))-AVERAGE(OFFSET($H$3,0,0,'Données projet'!$E$14+1,1))</f>
        <v>523.79180230463714</v>
      </c>
      <c r="DU59" s="59">
        <f t="shared" si="44"/>
        <v>459.3547783500515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110.27054347294285</v>
      </c>
      <c r="EB59" s="21">
        <f>EXP(-LN(2)/25)*EB58+(1-EXP(-LN(2)/25))/(LN(2)/25)*Calculateur!DW59*Calculateur!DY59*VLOOKUP('Données projet'!$B$14,Paramètres!$A$1:$I$89,3,0)*0.475*44/12</f>
        <v>25.989689059994429</v>
      </c>
      <c r="EC59" s="21">
        <f>EXP(-LN(2)/2)*EC58+(1-EXP(-LN(2)/2))/(LN(2)/2)*DW59*DZ59*VLOOKUP('Données projet'!$B$14,Paramètres!$A$1:$I$89,3,0)*0.475*44/12</f>
        <v>1.4553718375187602E-4</v>
      </c>
      <c r="ED59" s="22">
        <f t="shared" si="18"/>
        <v>136.26037807012102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7.4</v>
      </c>
      <c r="EJ59" s="12">
        <f>IF('Données projet'!$A$192&gt;35,EJ58+EI59-ER58,IF(A59&lt;'Données projet'!$A$192,$EG$205^A59,IF(A59='Données projet'!$A$192,'Données projet'!$B$192,EJ58+EI59-ER58)))</f>
        <v>313.39999999999981</v>
      </c>
      <c r="EK59" s="17">
        <f>EJ59*VLOOKUP('Données projet'!$B$15,Paramètres!$A$1:$I$89,3,0)*VLOOKUP('Données projet'!$B$15,Paramètres!$A$1:$I$89,5,0)</f>
        <v>303.12047999999982</v>
      </c>
      <c r="EL59" s="13">
        <f t="shared" si="45"/>
        <v>71.830241448738988</v>
      </c>
      <c r="EM59" s="20">
        <f t="shared" si="19"/>
        <v>653.03917318988681</v>
      </c>
      <c r="EN59" s="59">
        <f t="shared" si="20"/>
        <v>946.37250652322018</v>
      </c>
      <c r="EO59" s="59">
        <f ca="1">AVERAGE(OFFSET($EN$3,0,0,'Données projet'!$E$15+1,1))-AVERAGE(OFFSET($H$3,0,0,'Données projet'!$E$15+1,1))</f>
        <v>484.41278617935654</v>
      </c>
      <c r="EP59" s="59">
        <f t="shared" si="46"/>
        <v>467.97490540700738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52.436395107642987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52.436395107642987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7.4</v>
      </c>
      <c r="FE59" s="12">
        <f>IF('Données projet'!$A$218&gt;35,FE58+FD59-FM58,IF(A59&lt;'Données projet'!$A$218,$FB$205^A59,IF(A59='Données projet'!$A$218,'Données projet'!$B$218,FE58+FD59-FM58)))</f>
        <v>313.39999999999981</v>
      </c>
      <c r="FF59" s="17">
        <f>FE59*VLOOKUP('Données projet'!$B$16,Paramètres!$A$1:$I$89,3,0)*VLOOKUP('Données projet'!$B$16,Paramètres!$A$1:$I$89,5,0)</f>
        <v>337.34375999999975</v>
      </c>
      <c r="FG59" s="13">
        <f t="shared" si="47"/>
        <v>78.950900162006761</v>
      </c>
      <c r="FH59" s="20">
        <f t="shared" si="22"/>
        <v>725.04653311549464</v>
      </c>
      <c r="FI59" s="59">
        <f t="shared" si="23"/>
        <v>1018.3798664488279</v>
      </c>
      <c r="FJ59" s="59">
        <f ca="1">AVERAGE(OFFSET($FI$3,0,0,'Données projet'!$E$16+1,1))-AVERAGE(OFFSET($H$3,0,0,'Données projet'!$E$16+1,1))</f>
        <v>534.54020133239135</v>
      </c>
      <c r="FK59" s="59">
        <f t="shared" si="48"/>
        <v>515.48696069008815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58.356633264957523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58.356633264957523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6.6</v>
      </c>
      <c r="FZ59" s="12">
        <f>IF('Données projet'!$A$244&gt;35,FZ58+FY59-GH58,IF(A59&lt;'Données projet'!$A$244,$FW$205^A59,IF(A59='Données projet'!$A$244,'Données projet'!$B$244,FZ58+FY59-GH58)))</f>
        <v>234.59999999999991</v>
      </c>
      <c r="GA59" s="17">
        <f>FZ59*VLOOKUP('Données projet'!$B$17,Paramètres!$A$1:$I$89,3,0)*VLOOKUP('Données projet'!$B$17,Paramètres!$A$1:$I$89,5,0)</f>
        <v>223.24535999999992</v>
      </c>
      <c r="GB59" s="13">
        <f t="shared" si="49"/>
        <v>54.819646394591118</v>
      </c>
      <c r="GC59" s="20">
        <f t="shared" si="25"/>
        <v>484.29655280391262</v>
      </c>
      <c r="GD59" s="59">
        <f t="shared" si="26"/>
        <v>777.62988613724588</v>
      </c>
      <c r="GE59" s="59">
        <f ca="1">AVERAGE(OFFSET($GD$3,0,0,'Données projet'!$E$17+1,1))-AVERAGE(OFFSET($H$3,0,0,'Données projet'!$E$17+1,1))</f>
        <v>455.71329051283936</v>
      </c>
      <c r="GF59" s="59">
        <f t="shared" si="50"/>
        <v>479.3743231122258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56.201251473031306</v>
      </c>
      <c r="GM59" s="21">
        <f>EXP(-LN(2)/25)*GM58+(1-EXP(-LN(2)/25))/(LN(2)/25)*Calculateur!GH59*Calculateur!GJ59*VLOOKUP('Données projet'!$B$17,Paramètres!$A$1:$I$89,3,0)*0.475*44/12</f>
        <v>0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56.201251473031306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7.4</v>
      </c>
      <c r="GU59" s="12">
        <f>IF('Données projet'!$A$270&gt;35,GU58+GT59-HC58,IF(A59&lt;'Données projet'!$A$270,$GR$205^A59,IF(A59='Données projet'!$A$270,'Données projet'!$B$270,GU58+GT59-HC58)))</f>
        <v>313.39999999999981</v>
      </c>
      <c r="GV59" s="17">
        <f>GU59*VLOOKUP('Données projet'!$B$18,Paramètres!$A$1:$I$89,3,0)*VLOOKUP('Données projet'!$B$18,Paramètres!$A$1:$I$89,5,0)</f>
        <v>254.23007999999987</v>
      </c>
      <c r="GW59" s="13">
        <f t="shared" si="51"/>
        <v>61.490862379913594</v>
      </c>
      <c r="GX59" s="20">
        <f t="shared" si="28"/>
        <v>549.88064131168267</v>
      </c>
      <c r="GY59" s="59">
        <f t="shared" si="29"/>
        <v>843.21397464501592</v>
      </c>
      <c r="GZ59" s="59">
        <f ca="1">AVERAGE(OFFSET($GY$3,0,0,'Données projet'!$E$18+1,1))-AVERAGE(OFFSET($H$3,0,0,'Données projet'!$E$18+1,1))</f>
        <v>412.59676769258488</v>
      </c>
      <c r="HA59" s="59">
        <f t="shared" si="52"/>
        <v>399.90063795152133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43.978912025765098</v>
      </c>
      <c r="HH59" s="21">
        <f>EXP(-LN(2)/25)*HH58+(1-EXP(-LN(2)/25))/(LN(2)/25)*Calculateur!HC59*Calculateur!HE59*VLOOKUP('Données projet'!$B$18,Paramètres!$A$1:$I$89,3,0)*0.475*44/12</f>
        <v>0</v>
      </c>
      <c r="HI59" s="21">
        <f>EXP(-LN(2)/2)*HI58+(1-EXP(-LN(2)/2))/(LN(2)/2)*HC59*HF59*VLOOKUP('Données projet'!$B$18,Paramètres!$A$1:$I$89,3,0)*0.475*44/12</f>
        <v>0</v>
      </c>
      <c r="HJ59" s="22">
        <f t="shared" si="30"/>
        <v>43.978912025765098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9.4</v>
      </c>
      <c r="N60" s="13">
        <f>IF('Données projet'!$A$36&gt;35,N59+M60-V59,IF(A60&lt;'Données projet'!$A$36,$K$205^A60,IF(A60='Données projet'!$A$36,'Données projet'!$B$36,N59+M60-V59)))</f>
        <v>244.79999999999998</v>
      </c>
      <c r="O60" s="13">
        <f>N60*VLOOKUP('Données projet'!$B$9,Paramètres!$A$1:$I$89,3,0)*VLOOKUP('Données projet'!$B$9,Paramètres!$A$1:$I$89,5,0)</f>
        <v>221.49503999999999</v>
      </c>
      <c r="P60" s="13">
        <f t="shared" si="33"/>
        <v>54.439697086174412</v>
      </c>
      <c r="Q60" s="20">
        <f t="shared" si="53"/>
        <v>480.58633375842032</v>
      </c>
      <c r="R60" s="59">
        <f t="shared" si="0"/>
        <v>773.91966709175358</v>
      </c>
      <c r="S60" s="59">
        <f ca="1">AVERAGE(OFFSET($R$3,0,0,'Données projet'!$E$9+1,1))-AVERAGE(OFFSET($H$3,0,0,'Données projet'!$E$9+1,1))</f>
        <v>439.19854273764042</v>
      </c>
      <c r="T60" s="59">
        <f t="shared" si="34"/>
        <v>278.21741231699929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47.944106150681662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47.944106150681662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9.4</v>
      </c>
      <c r="AI60" s="13">
        <f>IF('Données projet'!$A$62&gt;35,AI59+AH60-AQ59,IF(A60&lt;'Données projet'!$A$62,$AF$205^A60,IF(A60='Données projet'!$A$62,'Données projet'!$B$62,AI59+AH60-AQ59)))</f>
        <v>244.79999999999998</v>
      </c>
      <c r="AJ60" s="13">
        <f>AI60*VLOOKUP('Données projet'!$B$10,Paramètres!$A$1:$I$89,3,0)*VLOOKUP('Données projet'!$B$10,Paramètres!$A$1:$I$89,5,0)</f>
        <v>248.22720000000001</v>
      </c>
      <c r="AK60" s="13">
        <f t="shared" si="35"/>
        <v>60.20616532763993</v>
      </c>
      <c r="AL60" s="20">
        <f t="shared" si="4"/>
        <v>537.18811127897277</v>
      </c>
      <c r="AM60" s="59">
        <f t="shared" si="5"/>
        <v>830.52144461230614</v>
      </c>
      <c r="AN60" s="59">
        <f ca="1">AVERAGE(OFFSET($AM$3,0,0,'Données projet'!$E$10+1,1))-AVERAGE(OFFSET($H$3,0,0,'Données projet'!$E$10+1,1))</f>
        <v>487.18832528146936</v>
      </c>
      <c r="AO60" s="59">
        <f t="shared" si="36"/>
        <v>306.61893266146666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53.730463789557042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53.730463789557042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369.00000000000023</v>
      </c>
      <c r="BE60" s="13">
        <f>BD60*VLOOKUP('Données projet'!$B$11,Paramètres!$A$1:$I$89,3,0)*VLOOKUP('Données projet'!$B$11,Paramètres!$A$1:$I$89,5,0)</f>
        <v>333.87120000000021</v>
      </c>
      <c r="BF60" s="13">
        <f t="shared" si="37"/>
        <v>78.23236011137638</v>
      </c>
      <c r="BG60" s="20">
        <f t="shared" si="7"/>
        <v>717.74703386064755</v>
      </c>
      <c r="BH60" s="59">
        <f t="shared" si="8"/>
        <v>1011.0803671939809</v>
      </c>
      <c r="BI60" s="59">
        <f ca="1">AVERAGE(OFFSET($BH$3,0,0,'Données projet'!$E$11+1,1))-AVERAGE(OFFSET($H$3,0,0,'Données projet'!$E$11+1,1))</f>
        <v>436.23918637269577</v>
      </c>
      <c r="BJ60" s="59">
        <f t="shared" si="38"/>
        <v>611.43967996341894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6.1929947659362128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6.1929947659362128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224.00000000000006</v>
      </c>
      <c r="BZ60" s="13">
        <f>BY60*VLOOKUP('Données projet'!$B$12,Paramètres!$A$1:$I$89,3,0)*VLOOKUP('Données projet'!$B$12,Paramètres!$A$1:$I$89,5,0)</f>
        <v>195.68640000000008</v>
      </c>
      <c r="CA60" s="13">
        <f t="shared" si="39"/>
        <v>48.794969360985156</v>
      </c>
      <c r="CB60" s="20">
        <f t="shared" si="10"/>
        <v>425.8050516370493</v>
      </c>
      <c r="CC60" s="59">
        <f t="shared" si="11"/>
        <v>719.13838497038262</v>
      </c>
      <c r="CD60" s="59">
        <f ca="1">AVERAGE(OFFSET($CC$3,0,0,'Données projet'!$E$12+1,1))-AVERAGE(OFFSET($H$3,0,0,'Données projet'!$E$12+1,1))</f>
        <v>304.32767345253382</v>
      </c>
      <c r="CE60" s="59">
        <f t="shared" si="40"/>
        <v>427.16091343339173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66.878071834909676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66.878071834909676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12.2</v>
      </c>
      <c r="CT60" s="12">
        <f>IF('Données projet'!$A$140&gt;35,CT59+CS60-DB59,IF(A60&lt;'Données projet'!$A$140,$CQ$205^A60,IF(A60='Données projet'!$A$140,'Données projet'!$B$140,CT59+CS60-DB59)))</f>
        <v>717.39999999999952</v>
      </c>
      <c r="CU60" s="17">
        <f>CT60*VLOOKUP('Données projet'!$B$13,Paramètres!$A$1:$I$89,3,0)*VLOOKUP('Données projet'!$B$13,Paramètres!$A$1:$I$89,5,0)</f>
        <v>401.02659999999975</v>
      </c>
      <c r="CV60" s="13">
        <f t="shared" si="41"/>
        <v>91.984761558101539</v>
      </c>
      <c r="CW60" s="20">
        <f t="shared" si="13"/>
        <v>858.66145471369293</v>
      </c>
      <c r="CX60" s="59">
        <f t="shared" si="14"/>
        <v>1151.9947880470263</v>
      </c>
      <c r="CY60" s="59">
        <f ca="1">AVERAGE(OFFSET($CX$3,0,0,'Données projet'!$E$13+1,1))-AVERAGE(OFFSET($H$3,0,0,'Données projet'!$E$13+1,1))</f>
        <v>555.15881087162279</v>
      </c>
      <c r="CZ60" s="59">
        <f t="shared" si="42"/>
        <v>668.20427590250733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102.04879235374034</v>
      </c>
      <c r="DG60" s="21">
        <f>EXP(-LN(2)/25)*DG59+(1-EXP(-LN(2)/25))/(LN(2)/25)*Calculateur!DB60*Calculateur!DD60*VLOOKUP('Données projet'!$B$13,Paramètres!$A$1:$I$89,3,0)*0.475*44/12</f>
        <v>27.332387793884365</v>
      </c>
      <c r="DH60" s="21">
        <f>EXP(-LN(2)/2)*DH59+(1-EXP(-LN(2)/2))/(LN(2)/2)*DB60*DE60*VLOOKUP('Données projet'!$B$13,Paramètres!$A$1:$I$89,3,0)*0.475*44/12</f>
        <v>7.3410956531667109E-5</v>
      </c>
      <c r="DI60" s="22">
        <f t="shared" si="15"/>
        <v>129.38125355858125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24</v>
      </c>
      <c r="DO60" s="12">
        <f>IF('Données projet'!$A$166&gt;35,DO59+DN60-DW59,IF(A60&lt;'Données projet'!$A$166,$DL$205^A60,IF(A60='Données projet'!$A$166,'Données projet'!$B$166,DO59+DN60-DW59)))</f>
        <v>725.99999999999955</v>
      </c>
      <c r="DP60" s="17">
        <f>DO60*VLOOKUP('Données projet'!$B$14,Paramètres!$A$1:$I$89,3,0)*VLOOKUP('Données projet'!$B$14,Paramètres!$A$1:$I$89,5,0)</f>
        <v>339.7679999999998</v>
      </c>
      <c r="DQ60" s="13">
        <f t="shared" si="43"/>
        <v>79.452011848891914</v>
      </c>
      <c r="DR60" s="20">
        <f t="shared" si="16"/>
        <v>730.14152063681979</v>
      </c>
      <c r="DS60" s="59">
        <f t="shared" si="17"/>
        <v>1023.4748539701532</v>
      </c>
      <c r="DT60" s="59">
        <f ca="1">AVERAGE(OFFSET($DS$3,0,0,'Données projet'!$E$14+1,1))-AVERAGE(OFFSET($H$3,0,0,'Données projet'!$E$14+1,1))</f>
        <v>523.79180230463714</v>
      </c>
      <c r="DU60" s="59">
        <f t="shared" si="44"/>
        <v>459.3547783500515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108.10820537382874</v>
      </c>
      <c r="EB60" s="21">
        <f>EXP(-LN(2)/25)*EB59+(1-EXP(-LN(2)/25))/(LN(2)/25)*Calculateur!DW60*Calculateur!DY60*VLOOKUP('Données projet'!$B$14,Paramètres!$A$1:$I$89,3,0)*0.475*44/12</f>
        <v>25.278999645910535</v>
      </c>
      <c r="EC60" s="21">
        <f>EXP(-LN(2)/2)*EC59+(1-EXP(-LN(2)/2))/(LN(2)/2)*DW60*DZ60*VLOOKUP('Données projet'!$B$14,Paramètres!$A$1:$I$89,3,0)*0.475*44/12</f>
        <v>1.0291032954574416E-4</v>
      </c>
      <c r="ED60" s="22">
        <f t="shared" si="18"/>
        <v>133.38730793006883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7.4</v>
      </c>
      <c r="EJ60" s="12">
        <f>IF('Données projet'!$A$192&gt;35,EJ59+EI60-ER59,IF(A60&lt;'Données projet'!$A$192,$EG$205^A60,IF(A60='Données projet'!$A$192,'Données projet'!$B$192,EJ59+EI60-ER59)))</f>
        <v>320.79999999999978</v>
      </c>
      <c r="EK60" s="17">
        <f>EJ60*VLOOKUP('Données projet'!$B$15,Paramètres!$A$1:$I$89,3,0)*VLOOKUP('Données projet'!$B$15,Paramètres!$A$1:$I$89,5,0)</f>
        <v>310.27775999999983</v>
      </c>
      <c r="EL60" s="13">
        <f t="shared" si="45"/>
        <v>73.326834491020819</v>
      </c>
      <c r="EM60" s="20">
        <f t="shared" si="19"/>
        <v>668.11133540519415</v>
      </c>
      <c r="EN60" s="59">
        <f t="shared" si="20"/>
        <v>961.44466873852753</v>
      </c>
      <c r="EO60" s="59">
        <f ca="1">AVERAGE(OFFSET($EN$3,0,0,'Données projet'!$E$15+1,1))-AVERAGE(OFFSET($H$3,0,0,'Données projet'!$E$15+1,1))</f>
        <v>484.41278617935654</v>
      </c>
      <c r="EP60" s="59">
        <f t="shared" si="46"/>
        <v>467.97490540700738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51.408149382625062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51.408149382625062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7.4</v>
      </c>
      <c r="FE60" s="12">
        <f>IF('Données projet'!$A$218&gt;35,FE59+FD60-FM59,IF(A60&lt;'Données projet'!$A$218,$FB$205^A60,IF(A60='Données projet'!$A$218,'Données projet'!$B$218,FE59+FD60-FM59)))</f>
        <v>320.79999999999978</v>
      </c>
      <c r="FF60" s="17">
        <f>FE60*VLOOKUP('Données projet'!$B$16,Paramètres!$A$1:$I$89,3,0)*VLOOKUP('Données projet'!$B$16,Paramètres!$A$1:$I$89,5,0)</f>
        <v>345.30911999999978</v>
      </c>
      <c r="FG60" s="13">
        <f t="shared" si="47"/>
        <v>80.595853116100187</v>
      </c>
      <c r="FH60" s="20">
        <f t="shared" si="22"/>
        <v>741.78449484387409</v>
      </c>
      <c r="FI60" s="59">
        <f t="shared" si="23"/>
        <v>1035.1178281772075</v>
      </c>
      <c r="FJ60" s="59">
        <f ca="1">AVERAGE(OFFSET($FI$3,0,0,'Données projet'!$E$16+1,1))-AVERAGE(OFFSET($H$3,0,0,'Données projet'!$E$16+1,1))</f>
        <v>534.54020133239135</v>
      </c>
      <c r="FK60" s="59">
        <f t="shared" si="48"/>
        <v>515.48696069008815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57.212295280663376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57.212295280663376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6.6</v>
      </c>
      <c r="FZ60" s="12">
        <f>IF('Données projet'!$A$244&gt;35,FZ59+FY60-GH59,IF(A60&lt;'Données projet'!$A$244,$FW$205^A60,IF(A60='Données projet'!$A$244,'Données projet'!$B$244,FZ59+FY60-GH59)))</f>
        <v>241.1999999999999</v>
      </c>
      <c r="GA60" s="17">
        <f>FZ60*VLOOKUP('Données projet'!$B$17,Paramètres!$A$1:$I$89,3,0)*VLOOKUP('Données projet'!$B$17,Paramètres!$A$1:$I$89,5,0)</f>
        <v>229.52591999999993</v>
      </c>
      <c r="GB60" s="13">
        <f t="shared" si="49"/>
        <v>56.180162044652285</v>
      </c>
      <c r="GC60" s="20">
        <f t="shared" si="25"/>
        <v>497.60475956110258</v>
      </c>
      <c r="GD60" s="59">
        <f t="shared" si="26"/>
        <v>790.93809289443584</v>
      </c>
      <c r="GE60" s="59">
        <f ca="1">AVERAGE(OFFSET($GD$3,0,0,'Données projet'!$E$17+1,1))-AVERAGE(OFFSET($H$3,0,0,'Données projet'!$E$17+1,1))</f>
        <v>455.71329051283936</v>
      </c>
      <c r="GF60" s="59">
        <f t="shared" si="50"/>
        <v>479.3743231122258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55.099179211023753</v>
      </c>
      <c r="GM60" s="21">
        <f>EXP(-LN(2)/25)*GM59+(1-EXP(-LN(2)/25))/(LN(2)/25)*Calculateur!GH60*Calculateur!GJ60*VLOOKUP('Données projet'!$B$17,Paramètres!$A$1:$I$89,3,0)*0.475*44/12</f>
        <v>0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55.099179211023753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7.4</v>
      </c>
      <c r="GU60" s="12">
        <f>IF('Données projet'!$A$270&gt;35,GU59+GT60-HC59,IF(A60&lt;'Données projet'!$A$270,$GR$205^A60,IF(A60='Données projet'!$A$270,'Données projet'!$B$270,GU59+GT60-HC59)))</f>
        <v>320.79999999999978</v>
      </c>
      <c r="GV60" s="17">
        <f>GU60*VLOOKUP('Données projet'!$B$18,Paramètres!$A$1:$I$89,3,0)*VLOOKUP('Données projet'!$B$18,Paramètres!$A$1:$I$89,5,0)</f>
        <v>260.23295999999982</v>
      </c>
      <c r="GW60" s="13">
        <f t="shared" si="51"/>
        <v>62.772033025391018</v>
      </c>
      <c r="GX60" s="20">
        <f t="shared" si="28"/>
        <v>562.56702951922227</v>
      </c>
      <c r="GY60" s="59">
        <f t="shared" si="29"/>
        <v>855.90036285255565</v>
      </c>
      <c r="GZ60" s="59">
        <f ca="1">AVERAGE(OFFSET($GY$3,0,0,'Données projet'!$E$18+1,1))-AVERAGE(OFFSET($H$3,0,0,'Données projet'!$E$18+1,1))</f>
        <v>412.59676769258488</v>
      </c>
      <c r="HA60" s="59">
        <f t="shared" si="52"/>
        <v>399.90063795152133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43.116512385427484</v>
      </c>
      <c r="HH60" s="21">
        <f>EXP(-LN(2)/25)*HH59+(1-EXP(-LN(2)/25))/(LN(2)/25)*Calculateur!HC60*Calculateur!HE60*VLOOKUP('Données projet'!$B$18,Paramètres!$A$1:$I$89,3,0)*0.475*44/12</f>
        <v>0</v>
      </c>
      <c r="HI60" s="21">
        <f>EXP(-LN(2)/2)*HI59+(1-EXP(-LN(2)/2))/(LN(2)/2)*HC60*HF60*VLOOKUP('Données projet'!$B$18,Paramètres!$A$1:$I$89,3,0)*0.475*44/12</f>
        <v>0</v>
      </c>
      <c r="HJ60" s="22">
        <f t="shared" si="30"/>
        <v>43.116512385427484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9.4</v>
      </c>
      <c r="N61" s="13">
        <f>IF('Données projet'!$A$36&gt;35,N60+M61-V60,IF(A61&lt;'Données projet'!$A$36,$K$205^A61,IF(A61='Données projet'!$A$36,'Données projet'!$B$36,N60+M61-V60)))</f>
        <v>254.2</v>
      </c>
      <c r="O61" s="13">
        <f>N61*VLOOKUP('Données projet'!$B$9,Paramètres!$A$1:$I$89,3,0)*VLOOKUP('Données projet'!$B$9,Paramètres!$A$1:$I$89,5,0)</f>
        <v>230.00015999999997</v>
      </c>
      <c r="P61" s="13">
        <f t="shared" si="33"/>
        <v>56.282716126880423</v>
      </c>
      <c r="Q61" s="20">
        <f t="shared" si="53"/>
        <v>498.60934258765002</v>
      </c>
      <c r="R61" s="59">
        <f t="shared" si="0"/>
        <v>791.94267592098333</v>
      </c>
      <c r="S61" s="59">
        <f ca="1">AVERAGE(OFFSET($R$3,0,0,'Données projet'!$E$9+1,1))-AVERAGE(OFFSET($H$3,0,0,'Données projet'!$E$9+1,1))</f>
        <v>439.19854273764042</v>
      </c>
      <c r="T61" s="59">
        <f t="shared" si="34"/>
        <v>278.21741231699929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47.00395147208404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47.00395147208404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9.4</v>
      </c>
      <c r="AI61" s="13">
        <f>IF('Données projet'!$A$62&gt;35,AI60+AH61-AQ60,IF(A61&lt;'Données projet'!$A$62,$AF$205^A61,IF(A61='Données projet'!$A$62,'Données projet'!$B$62,AI60+AH61-AQ60)))</f>
        <v>254.2</v>
      </c>
      <c r="AJ61" s="13">
        <f>AI61*VLOOKUP('Données projet'!$B$10,Paramètres!$A$1:$I$89,3,0)*VLOOKUP('Données projet'!$B$10,Paramètres!$A$1:$I$89,5,0)</f>
        <v>257.75880000000001</v>
      </c>
      <c r="AK61" s="13">
        <f t="shared" si="35"/>
        <v>62.244404241627407</v>
      </c>
      <c r="AL61" s="20">
        <f t="shared" si="4"/>
        <v>557.33891405416773</v>
      </c>
      <c r="AM61" s="59">
        <f t="shared" si="5"/>
        <v>850.6722473875011</v>
      </c>
      <c r="AN61" s="59">
        <f ca="1">AVERAGE(OFFSET($AM$3,0,0,'Données projet'!$E$10+1,1))-AVERAGE(OFFSET($H$3,0,0,'Données projet'!$E$10+1,1))</f>
        <v>487.18832528146936</v>
      </c>
      <c r="AO61" s="59">
        <f t="shared" si="36"/>
        <v>306.61893266146666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52.676842166990738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52.676842166990738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369.00000000000023</v>
      </c>
      <c r="BE61" s="13">
        <f>BD61*VLOOKUP('Données projet'!$B$11,Paramètres!$A$1:$I$89,3,0)*VLOOKUP('Données projet'!$B$11,Paramètres!$A$1:$I$89,5,0)</f>
        <v>333.87120000000021</v>
      </c>
      <c r="BF61" s="13">
        <f t="shared" si="37"/>
        <v>78.23236011137638</v>
      </c>
      <c r="BG61" s="20">
        <f t="shared" si="7"/>
        <v>717.74703386064755</v>
      </c>
      <c r="BH61" s="59">
        <f t="shared" si="8"/>
        <v>1011.0803671939809</v>
      </c>
      <c r="BI61" s="59">
        <f ca="1">AVERAGE(OFFSET($BH$3,0,0,'Données projet'!$E$11+1,1))-AVERAGE(OFFSET($H$3,0,0,'Données projet'!$E$11+1,1))</f>
        <v>436.23918637269577</v>
      </c>
      <c r="BJ61" s="59">
        <f t="shared" si="38"/>
        <v>611.43967996341894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6.0715539159300285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6.0715539159300285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224.00000000000006</v>
      </c>
      <c r="BZ61" s="13">
        <f>BY61*VLOOKUP('Données projet'!$B$12,Paramètres!$A$1:$I$89,3,0)*VLOOKUP('Données projet'!$B$12,Paramètres!$A$1:$I$89,5,0)</f>
        <v>195.68640000000008</v>
      </c>
      <c r="CA61" s="13">
        <f t="shared" si="39"/>
        <v>48.794969360985156</v>
      </c>
      <c r="CB61" s="20">
        <f t="shared" si="10"/>
        <v>425.8050516370493</v>
      </c>
      <c r="CC61" s="59">
        <f t="shared" si="11"/>
        <v>719.13838497038262</v>
      </c>
      <c r="CD61" s="59">
        <f ca="1">AVERAGE(OFFSET($CC$3,0,0,'Données projet'!$E$12+1,1))-AVERAGE(OFFSET($H$3,0,0,'Données projet'!$E$12+1,1))</f>
        <v>304.32767345253382</v>
      </c>
      <c r="CE61" s="59">
        <f t="shared" si="40"/>
        <v>427.16091343339173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65.566633637823074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65.566633637823074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12.2</v>
      </c>
      <c r="CT61" s="12">
        <f>IF('Données projet'!$A$140&gt;35,CT60+CS61-DB60,IF(A61&lt;'Données projet'!$A$140,$CQ$205^A61,IF(A61='Données projet'!$A$140,'Données projet'!$B$140,CT60+CS61-DB60)))</f>
        <v>729.59999999999957</v>
      </c>
      <c r="CU61" s="17">
        <f>CT61*VLOOKUP('Données projet'!$B$13,Paramètres!$A$1:$I$89,3,0)*VLOOKUP('Données projet'!$B$13,Paramètres!$A$1:$I$89,5,0)</f>
        <v>407.84639999999973</v>
      </c>
      <c r="CV61" s="13">
        <f t="shared" si="41"/>
        <v>93.365599460181741</v>
      </c>
      <c r="CW61" s="20">
        <f t="shared" si="13"/>
        <v>872.94423239314926</v>
      </c>
      <c r="CX61" s="59">
        <f t="shared" si="14"/>
        <v>1166.2775657264826</v>
      </c>
      <c r="CY61" s="59">
        <f ca="1">AVERAGE(OFFSET($CX$3,0,0,'Données projet'!$E$13+1,1))-AVERAGE(OFFSET($H$3,0,0,'Données projet'!$E$13+1,1))</f>
        <v>555.15881087162279</v>
      </c>
      <c r="CZ61" s="59">
        <f t="shared" si="42"/>
        <v>668.20427590250733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100.04767777930078</v>
      </c>
      <c r="DG61" s="21">
        <f>EXP(-LN(2)/25)*DG60+(1-EXP(-LN(2)/25))/(LN(2)/25)*Calculateur!DB61*Calculateur!DD61*VLOOKUP('Données projet'!$B$13,Paramètres!$A$1:$I$89,3,0)*0.475*44/12</f>
        <v>26.584982212312791</v>
      </c>
      <c r="DH61" s="21">
        <f>EXP(-LN(2)/2)*DH60+(1-EXP(-LN(2)/2))/(LN(2)/2)*DB61*DE61*VLOOKUP('Données projet'!$B$13,Paramètres!$A$1:$I$89,3,0)*0.475*44/12</f>
        <v>5.1909385176932688E-5</v>
      </c>
      <c r="DI61" s="22">
        <f t="shared" si="15"/>
        <v>126.63271190099876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24</v>
      </c>
      <c r="DO61" s="12">
        <f>IF('Données projet'!$A$166&gt;35,DO60+DN61-DW60,IF(A61&lt;'Données projet'!$A$166,$DL$205^A61,IF(A61='Données projet'!$A$166,'Données projet'!$B$166,DO60+DN61-DW60)))</f>
        <v>749.99999999999955</v>
      </c>
      <c r="DP61" s="17">
        <f>DO61*VLOOKUP('Données projet'!$B$14,Paramètres!$A$1:$I$89,3,0)*VLOOKUP('Données projet'!$B$14,Paramètres!$A$1:$I$89,5,0)</f>
        <v>350.99999999999977</v>
      </c>
      <c r="DQ61" s="13">
        <f t="shared" si="43"/>
        <v>81.768387419963787</v>
      </c>
      <c r="DR61" s="20">
        <f t="shared" si="16"/>
        <v>753.73827475643657</v>
      </c>
      <c r="DS61" s="59">
        <f t="shared" si="17"/>
        <v>1047.0716080897698</v>
      </c>
      <c r="DT61" s="59">
        <f ca="1">AVERAGE(OFFSET($DS$3,0,0,'Données projet'!$E$14+1,1))-AVERAGE(OFFSET($H$3,0,0,'Données projet'!$E$14+1,1))</f>
        <v>523.79180230463714</v>
      </c>
      <c r="DU61" s="59">
        <f t="shared" si="44"/>
        <v>459.3547783500515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105.98826940594225</v>
      </c>
      <c r="EB61" s="21">
        <f>EXP(-LN(2)/25)*EB60+(1-EXP(-LN(2)/25))/(LN(2)/25)*Calculateur!DW61*Calculateur!DY61*VLOOKUP('Données projet'!$B$14,Paramètres!$A$1:$I$89,3,0)*0.475*44/12</f>
        <v>24.587744071228297</v>
      </c>
      <c r="EC61" s="21">
        <f>EXP(-LN(2)/2)*EC60+(1-EXP(-LN(2)/2))/(LN(2)/2)*DW61*DZ61*VLOOKUP('Données projet'!$B$14,Paramètres!$A$1:$I$89,3,0)*0.475*44/12</f>
        <v>7.2768591875938009E-5</v>
      </c>
      <c r="ED61" s="22">
        <f t="shared" si="18"/>
        <v>130.57608624576241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7.4</v>
      </c>
      <c r="EJ61" s="12">
        <f>IF('Données projet'!$A$192&gt;35,EJ60+EI61-ER60,IF(A61&lt;'Données projet'!$A$192,$EG$205^A61,IF(A61='Données projet'!$A$192,'Données projet'!$B$192,EJ60+EI61-ER60)))</f>
        <v>328.19999999999976</v>
      </c>
      <c r="EK61" s="17">
        <f>EJ61*VLOOKUP('Données projet'!$B$15,Paramètres!$A$1:$I$89,3,0)*VLOOKUP('Données projet'!$B$15,Paramètres!$A$1:$I$89,5,0)</f>
        <v>317.43503999999973</v>
      </c>
      <c r="EL61" s="13">
        <f t="shared" si="45"/>
        <v>74.819414138784737</v>
      </c>
      <c r="EM61" s="20">
        <f t="shared" si="19"/>
        <v>683.17650762504957</v>
      </c>
      <c r="EN61" s="59">
        <f t="shared" si="20"/>
        <v>976.50984095838294</v>
      </c>
      <c r="EO61" s="59">
        <f ca="1">AVERAGE(OFFSET($EN$3,0,0,'Données projet'!$E$15+1,1))-AVERAGE(OFFSET($H$3,0,0,'Données projet'!$E$15+1,1))</f>
        <v>484.41278617935654</v>
      </c>
      <c r="EP61" s="59">
        <f t="shared" si="46"/>
        <v>467.97490540700738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50.400066929106771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50.400066929106771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7.4</v>
      </c>
      <c r="FE61" s="12">
        <f>IF('Données projet'!$A$218&gt;35,FE60+FD61-FM60,IF(A61&lt;'Données projet'!$A$218,$FB$205^A61,IF(A61='Données projet'!$A$218,'Données projet'!$B$218,FE60+FD61-FM60)))</f>
        <v>328.19999999999976</v>
      </c>
      <c r="FF61" s="17">
        <f>FE61*VLOOKUP('Données projet'!$B$16,Paramètres!$A$1:$I$89,3,0)*VLOOKUP('Données projet'!$B$16,Paramètres!$A$1:$I$89,5,0)</f>
        <v>353.27447999999976</v>
      </c>
      <c r="FG61" s="13">
        <f t="shared" si="47"/>
        <v>82.236394820788007</v>
      </c>
      <c r="FH61" s="20">
        <f t="shared" si="22"/>
        <v>758.5147736462053</v>
      </c>
      <c r="FI61" s="59">
        <f t="shared" si="23"/>
        <v>1051.8481069795387</v>
      </c>
      <c r="FJ61" s="59">
        <f ca="1">AVERAGE(OFFSET($FI$3,0,0,'Données projet'!$E$16+1,1))-AVERAGE(OFFSET($H$3,0,0,'Données projet'!$E$16+1,1))</f>
        <v>534.54020133239135</v>
      </c>
      <c r="FK61" s="59">
        <f t="shared" si="48"/>
        <v>515.48696069008815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56.090397066263989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56.090397066263989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6.6</v>
      </c>
      <c r="FZ61" s="12">
        <f>IF('Données projet'!$A$244&gt;35,FZ60+FY61-GH60,IF(A61&lt;'Données projet'!$A$244,$FW$205^A61,IF(A61='Données projet'!$A$244,'Données projet'!$B$244,FZ60+FY61-GH60)))</f>
        <v>247.7999999999999</v>
      </c>
      <c r="GA61" s="17">
        <f>FZ61*VLOOKUP('Données projet'!$B$17,Paramètres!$A$1:$I$89,3,0)*VLOOKUP('Données projet'!$B$17,Paramètres!$A$1:$I$89,5,0)</f>
        <v>235.80647999999991</v>
      </c>
      <c r="GB61" s="13">
        <f t="shared" si="49"/>
        <v>57.5363506739358</v>
      </c>
      <c r="GC61" s="20">
        <f t="shared" si="25"/>
        <v>510.90543009043807</v>
      </c>
      <c r="GD61" s="59">
        <f t="shared" si="26"/>
        <v>804.23876342377139</v>
      </c>
      <c r="GE61" s="59">
        <f ca="1">AVERAGE(OFFSET($GD$3,0,0,'Données projet'!$E$17+1,1))-AVERAGE(OFFSET($H$3,0,0,'Données projet'!$E$17+1,1))</f>
        <v>455.71329051283936</v>
      </c>
      <c r="GF61" s="59">
        <f t="shared" si="50"/>
        <v>479.3743231122258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54.018717913876465</v>
      </c>
      <c r="GM61" s="21">
        <f>EXP(-LN(2)/25)*GM60+(1-EXP(-LN(2)/25))/(LN(2)/25)*Calculateur!GH61*Calculateur!GJ61*VLOOKUP('Données projet'!$B$17,Paramètres!$A$1:$I$89,3,0)*0.475*44/12</f>
        <v>0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54.018717913876465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7.4</v>
      </c>
      <c r="GU61" s="12">
        <f>IF('Données projet'!$A$270&gt;35,GU60+GT61-HC60,IF(A61&lt;'Données projet'!$A$270,$GR$205^A61,IF(A61='Données projet'!$A$270,'Données projet'!$B$270,GU60+GT61-HC60)))</f>
        <v>328.19999999999976</v>
      </c>
      <c r="GV61" s="17">
        <f>GU61*VLOOKUP('Données projet'!$B$18,Paramètres!$A$1:$I$89,3,0)*VLOOKUP('Données projet'!$B$18,Paramètres!$A$1:$I$89,5,0)</f>
        <v>266.23583999999983</v>
      </c>
      <c r="GW61" s="13">
        <f t="shared" si="51"/>
        <v>64.04976797185104</v>
      </c>
      <c r="GX61" s="20">
        <f t="shared" si="28"/>
        <v>575.24743388430682</v>
      </c>
      <c r="GY61" s="59">
        <f t="shared" si="29"/>
        <v>868.58076721764019</v>
      </c>
      <c r="GZ61" s="59">
        <f ca="1">AVERAGE(OFFSET($GY$3,0,0,'Données projet'!$E$18+1,1))-AVERAGE(OFFSET($H$3,0,0,'Données projet'!$E$18+1,1))</f>
        <v>412.59676769258488</v>
      </c>
      <c r="HA61" s="59">
        <f t="shared" si="52"/>
        <v>399.90063795152133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42.271023876025048</v>
      </c>
      <c r="HH61" s="21">
        <f>EXP(-LN(2)/25)*HH60+(1-EXP(-LN(2)/25))/(LN(2)/25)*Calculateur!HC61*Calculateur!HE61*VLOOKUP('Données projet'!$B$18,Paramètres!$A$1:$I$89,3,0)*0.475*44/12</f>
        <v>0</v>
      </c>
      <c r="HI61" s="21">
        <f>EXP(-LN(2)/2)*HI60+(1-EXP(-LN(2)/2))/(LN(2)/2)*HC61*HF61*VLOOKUP('Données projet'!$B$18,Paramètres!$A$1:$I$89,3,0)*0.475*44/12</f>
        <v>0</v>
      </c>
      <c r="HJ61" s="22">
        <f t="shared" si="30"/>
        <v>42.271023876025048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9.4</v>
      </c>
      <c r="N62" s="13">
        <f>IF('Données projet'!$A$36&gt;35,N61+M62-V61,IF(A62&lt;'Données projet'!$A$36,$K$205^A62,IF(A62='Données projet'!$A$36,'Données projet'!$B$36,N61+M62-V61)))</f>
        <v>263.59999999999997</v>
      </c>
      <c r="O62" s="13">
        <f>N62*VLOOKUP('Données projet'!$B$9,Paramètres!$A$1:$I$89,3,0)*VLOOKUP('Données projet'!$B$9,Paramètres!$A$1:$I$89,5,0)</f>
        <v>238.50527999999997</v>
      </c>
      <c r="P62" s="13">
        <f t="shared" si="33"/>
        <v>58.117817352909881</v>
      </c>
      <c r="Q62" s="20">
        <f t="shared" si="53"/>
        <v>516.61856122298457</v>
      </c>
      <c r="R62" s="59">
        <f t="shared" si="0"/>
        <v>809.95189455631794</v>
      </c>
      <c r="S62" s="59">
        <f ca="1">AVERAGE(OFFSET($R$3,0,0,'Données projet'!$E$9+1,1))-AVERAGE(OFFSET($H$3,0,0,'Données projet'!$E$9+1,1))</f>
        <v>439.19854273764042</v>
      </c>
      <c r="T62" s="59">
        <f t="shared" si="34"/>
        <v>278.21741231699929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46.082232653295982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46.082232653295982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9.4</v>
      </c>
      <c r="AI62" s="13">
        <f>IF('Données projet'!$A$62&gt;35,AI61+AH62-AQ61,IF(A62&lt;'Données projet'!$A$62,$AF$205^A62,IF(A62='Données projet'!$A$62,'Données projet'!$B$62,AI61+AH62-AQ61)))</f>
        <v>263.59999999999997</v>
      </c>
      <c r="AJ62" s="13">
        <f>AI62*VLOOKUP('Données projet'!$B$10,Paramètres!$A$1:$I$89,3,0)*VLOOKUP('Données projet'!$B$10,Paramètres!$A$1:$I$89,5,0)</f>
        <v>267.29039999999998</v>
      </c>
      <c r="AK62" s="13">
        <f t="shared" si="35"/>
        <v>64.273886654661325</v>
      </c>
      <c r="AL62" s="20">
        <f t="shared" si="4"/>
        <v>577.47446592353515</v>
      </c>
      <c r="AM62" s="59">
        <f t="shared" si="5"/>
        <v>870.80779925686852</v>
      </c>
      <c r="AN62" s="59">
        <f ca="1">AVERAGE(OFFSET($AM$3,0,0,'Données projet'!$E$10+1,1))-AVERAGE(OFFSET($H$3,0,0,'Données projet'!$E$10+1,1))</f>
        <v>487.18832528146936</v>
      </c>
      <c r="AO62" s="59">
        <f t="shared" si="36"/>
        <v>306.61893266146666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51.643881421797225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51.643881421797225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369.00000000000023</v>
      </c>
      <c r="BE62" s="13">
        <f>BD62*VLOOKUP('Données projet'!$B$11,Paramètres!$A$1:$I$89,3,0)*VLOOKUP('Données projet'!$B$11,Paramètres!$A$1:$I$89,5,0)</f>
        <v>333.87120000000021</v>
      </c>
      <c r="BF62" s="13">
        <f t="shared" si="37"/>
        <v>78.23236011137638</v>
      </c>
      <c r="BG62" s="20">
        <f t="shared" si="7"/>
        <v>717.74703386064755</v>
      </c>
      <c r="BH62" s="59">
        <f t="shared" si="8"/>
        <v>1011.0803671939809</v>
      </c>
      <c r="BI62" s="59">
        <f ca="1">AVERAGE(OFFSET($BH$3,0,0,'Données projet'!$E$11+1,1))-AVERAGE(OFFSET($H$3,0,0,'Données projet'!$E$11+1,1))</f>
        <v>436.23918637269577</v>
      </c>
      <c r="BJ62" s="59">
        <f t="shared" si="38"/>
        <v>611.43967996341894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5.9524944469208609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5.9524944469208609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224.00000000000006</v>
      </c>
      <c r="BZ62" s="13">
        <f>BY62*VLOOKUP('Données projet'!$B$12,Paramètres!$A$1:$I$89,3,0)*VLOOKUP('Données projet'!$B$12,Paramètres!$A$1:$I$89,5,0)</f>
        <v>195.68640000000008</v>
      </c>
      <c r="CA62" s="13">
        <f t="shared" si="39"/>
        <v>48.794969360985156</v>
      </c>
      <c r="CB62" s="20">
        <f t="shared" si="10"/>
        <v>425.8050516370493</v>
      </c>
      <c r="CC62" s="59">
        <f t="shared" si="11"/>
        <v>719.13838497038262</v>
      </c>
      <c r="CD62" s="59">
        <f ca="1">AVERAGE(OFFSET($CC$3,0,0,'Données projet'!$E$12+1,1))-AVERAGE(OFFSET($H$3,0,0,'Données projet'!$E$12+1,1))</f>
        <v>304.32767345253382</v>
      </c>
      <c r="CE62" s="59">
        <f t="shared" si="40"/>
        <v>427.16091343339173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64.280911943883027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64.280911943883027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12.2</v>
      </c>
      <c r="CT62" s="12">
        <f>IF('Données projet'!$A$140&gt;35,CT61+CS62-DB61,IF(A62&lt;'Données projet'!$A$140,$CQ$205^A62,IF(A62='Données projet'!$A$140,'Données projet'!$B$140,CT61+CS62-DB61)))</f>
        <v>741.79999999999961</v>
      </c>
      <c r="CU62" s="17">
        <f>CT62*VLOOKUP('Données projet'!$B$13,Paramètres!$A$1:$I$89,3,0)*VLOOKUP('Données projet'!$B$13,Paramètres!$A$1:$I$89,5,0)</f>
        <v>414.66619999999978</v>
      </c>
      <c r="CV62" s="13">
        <f t="shared" si="41"/>
        <v>94.743752206399009</v>
      </c>
      <c r="CW62" s="20">
        <f t="shared" si="13"/>
        <v>887.22233342614447</v>
      </c>
      <c r="CX62" s="59">
        <f t="shared" si="14"/>
        <v>1180.5556667594778</v>
      </c>
      <c r="CY62" s="59">
        <f ca="1">AVERAGE(OFFSET($CX$3,0,0,'Données projet'!$E$13+1,1))-AVERAGE(OFFSET($H$3,0,0,'Données projet'!$E$13+1,1))</f>
        <v>555.15881087162279</v>
      </c>
      <c r="CZ62" s="59">
        <f t="shared" si="42"/>
        <v>668.20427590250733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98.08580384110661</v>
      </c>
      <c r="DG62" s="21">
        <f>EXP(-LN(2)/25)*DG61+(1-EXP(-LN(2)/25))/(LN(2)/25)*Calculateur!DB62*Calculateur!DD62*VLOOKUP('Données projet'!$B$13,Paramètres!$A$1:$I$89,3,0)*0.475*44/12</f>
        <v>25.858014475673645</v>
      </c>
      <c r="DH62" s="21">
        <f>EXP(-LN(2)/2)*DH61+(1-EXP(-LN(2)/2))/(LN(2)/2)*DB62*DE62*VLOOKUP('Données projet'!$B$13,Paramètres!$A$1:$I$89,3,0)*0.475*44/12</f>
        <v>3.6705478265833555E-5</v>
      </c>
      <c r="DI62" s="22">
        <f t="shared" si="15"/>
        <v>123.94385502225852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24</v>
      </c>
      <c r="DO62" s="12">
        <f>IF('Données projet'!$A$166&gt;35,DO61+DN62-DW61,IF(A62&lt;'Données projet'!$A$166,$DL$205^A62,IF(A62='Données projet'!$A$166,'Données projet'!$B$166,DO61+DN62-DW61)))</f>
        <v>773.99999999999955</v>
      </c>
      <c r="DP62" s="17">
        <f>DO62*VLOOKUP('Données projet'!$B$14,Paramètres!$A$1:$I$89,3,0)*VLOOKUP('Données projet'!$B$14,Paramètres!$A$1:$I$89,5,0)</f>
        <v>362.2319999999998</v>
      </c>
      <c r="DQ62" s="13">
        <f t="shared" si="43"/>
        <v>84.076149451138846</v>
      </c>
      <c r="DR62" s="20">
        <f t="shared" si="16"/>
        <v>777.32002696073312</v>
      </c>
      <c r="DS62" s="59">
        <f t="shared" si="17"/>
        <v>1070.6533602940665</v>
      </c>
      <c r="DT62" s="59">
        <f ca="1">AVERAGE(OFFSET($DS$3,0,0,'Données projet'!$E$14+1,1))-AVERAGE(OFFSET($H$3,0,0,'Données projet'!$E$14+1,1))</f>
        <v>523.79180230463714</v>
      </c>
      <c r="DU62" s="59">
        <f t="shared" si="44"/>
        <v>459.3547783500515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103.90990408935275</v>
      </c>
      <c r="EB62" s="21">
        <f>EXP(-LN(2)/25)*EB61+(1-EXP(-LN(2)/25))/(LN(2)/25)*Calculateur!DW62*Calculateur!DY62*VLOOKUP('Données projet'!$B$14,Paramètres!$A$1:$I$89,3,0)*0.475*44/12</f>
        <v>23.915390916587295</v>
      </c>
      <c r="EC62" s="21">
        <f>EXP(-LN(2)/2)*EC61+(1-EXP(-LN(2)/2))/(LN(2)/2)*DW62*DZ62*VLOOKUP('Données projet'!$B$14,Paramètres!$A$1:$I$89,3,0)*0.475*44/12</f>
        <v>5.1455164772872078E-5</v>
      </c>
      <c r="ED62" s="22">
        <f t="shared" si="18"/>
        <v>127.82534646110483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7.4</v>
      </c>
      <c r="EJ62" s="12">
        <f>IF('Données projet'!$A$192&gt;35,EJ61+EI62-ER61,IF(A62&lt;'Données projet'!$A$192,$EG$205^A62,IF(A62='Données projet'!$A$192,'Données projet'!$B$192,EJ61+EI62-ER61)))</f>
        <v>335.59999999999974</v>
      </c>
      <c r="EK62" s="17">
        <f>EJ62*VLOOKUP('Données projet'!$B$15,Paramètres!$A$1:$I$89,3,0)*VLOOKUP('Données projet'!$B$15,Paramètres!$A$1:$I$89,5,0)</f>
        <v>324.59231999999975</v>
      </c>
      <c r="EL62" s="13">
        <f t="shared" si="45"/>
        <v>76.308081300915944</v>
      </c>
      <c r="EM62" s="20">
        <f t="shared" si="19"/>
        <v>698.23486559909486</v>
      </c>
      <c r="EN62" s="59">
        <f t="shared" si="20"/>
        <v>991.56819893242823</v>
      </c>
      <c r="EO62" s="59">
        <f ca="1">AVERAGE(OFFSET($EN$3,0,0,'Données projet'!$E$15+1,1))-AVERAGE(OFFSET($H$3,0,0,'Données projet'!$E$15+1,1))</f>
        <v>484.41278617935654</v>
      </c>
      <c r="EP62" s="59">
        <f t="shared" si="46"/>
        <v>467.97490540700738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49.411752357632395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49.411752357632395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7.4</v>
      </c>
      <c r="FE62" s="12">
        <f>IF('Données projet'!$A$218&gt;35,FE61+FD62-FM61,IF(A62&lt;'Données projet'!$A$218,$FB$205^A62,IF(A62='Données projet'!$A$218,'Données projet'!$B$218,FE61+FD62-FM61)))</f>
        <v>335.59999999999974</v>
      </c>
      <c r="FF62" s="17">
        <f>FE62*VLOOKUP('Données projet'!$B$16,Paramètres!$A$1:$I$89,3,0)*VLOOKUP('Données projet'!$B$16,Paramètres!$A$1:$I$89,5,0)</f>
        <v>361.23983999999967</v>
      </c>
      <c r="FG62" s="13">
        <f t="shared" si="47"/>
        <v>83.872636188231567</v>
      </c>
      <c r="FH62" s="20">
        <f t="shared" si="22"/>
        <v>775.23756269450269</v>
      </c>
      <c r="FI62" s="59">
        <f t="shared" si="23"/>
        <v>1068.5708960278359</v>
      </c>
      <c r="FJ62" s="59">
        <f ca="1">AVERAGE(OFFSET($FI$3,0,0,'Données projet'!$E$16+1,1))-AVERAGE(OFFSET($H$3,0,0,'Données projet'!$E$16+1,1))</f>
        <v>534.54020133239135</v>
      </c>
      <c r="FK62" s="59">
        <f t="shared" si="48"/>
        <v>515.48696069008815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54.990498591558634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54.990498591558634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6.6</v>
      </c>
      <c r="FZ62" s="12">
        <f>IF('Données projet'!$A$244&gt;35,FZ61+FY62-GH61,IF(A62&lt;'Données projet'!$A$244,$FW$205^A62,IF(A62='Données projet'!$A$244,'Données projet'!$B$244,FZ61+FY62-GH61)))</f>
        <v>254.39999999999989</v>
      </c>
      <c r="GA62" s="17">
        <f>FZ62*VLOOKUP('Données projet'!$B$17,Paramètres!$A$1:$I$89,3,0)*VLOOKUP('Données projet'!$B$17,Paramètres!$A$1:$I$89,5,0)</f>
        <v>242.08703999999992</v>
      </c>
      <c r="GB62" s="13">
        <f t="shared" si="49"/>
        <v>58.888340776301959</v>
      </c>
      <c r="GC62" s="20">
        <f t="shared" si="25"/>
        <v>524.19878818539246</v>
      </c>
      <c r="GD62" s="59">
        <f t="shared" si="26"/>
        <v>817.53212151872572</v>
      </c>
      <c r="GE62" s="59">
        <f ca="1">AVERAGE(OFFSET($GD$3,0,0,'Données projet'!$E$17+1,1))-AVERAGE(OFFSET($H$3,0,0,'Données projet'!$E$17+1,1))</f>
        <v>455.71329051283936</v>
      </c>
      <c r="GF62" s="59">
        <f t="shared" si="50"/>
        <v>479.3743231122258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52.959443803749913</v>
      </c>
      <c r="GM62" s="21">
        <f>EXP(-LN(2)/25)*GM61+(1-EXP(-LN(2)/25))/(LN(2)/25)*Calculateur!GH62*Calculateur!GJ62*VLOOKUP('Données projet'!$B$17,Paramètres!$A$1:$I$89,3,0)*0.475*44/12</f>
        <v>0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52.959443803749913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7.4</v>
      </c>
      <c r="GU62" s="12">
        <f>IF('Données projet'!$A$270&gt;35,GU61+GT62-HC61,IF(A62&lt;'Données projet'!$A$270,$GR$205^A62,IF(A62='Données projet'!$A$270,'Données projet'!$B$270,GU61+GT62-HC61)))</f>
        <v>335.59999999999974</v>
      </c>
      <c r="GV62" s="17">
        <f>GU62*VLOOKUP('Données projet'!$B$18,Paramètres!$A$1:$I$89,3,0)*VLOOKUP('Données projet'!$B$18,Paramètres!$A$1:$I$89,5,0)</f>
        <v>272.23871999999977</v>
      </c>
      <c r="GW62" s="13">
        <f t="shared" si="51"/>
        <v>65.324153603165357</v>
      </c>
      <c r="GX62" s="20">
        <f t="shared" si="28"/>
        <v>587.92200485884598</v>
      </c>
      <c r="GY62" s="59">
        <f t="shared" si="29"/>
        <v>881.25533819217935</v>
      </c>
      <c r="GZ62" s="59">
        <f ca="1">AVERAGE(OFFSET($GY$3,0,0,'Données projet'!$E$18+1,1))-AVERAGE(OFFSET($H$3,0,0,'Données projet'!$E$18+1,1))</f>
        <v>412.59676769258488</v>
      </c>
      <c r="HA62" s="59">
        <f t="shared" si="52"/>
        <v>399.90063795152133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41.442114880594922</v>
      </c>
      <c r="HH62" s="21">
        <f>EXP(-LN(2)/25)*HH61+(1-EXP(-LN(2)/25))/(LN(2)/25)*Calculateur!HC62*Calculateur!HE62*VLOOKUP('Données projet'!$B$18,Paramètres!$A$1:$I$89,3,0)*0.475*44/12</f>
        <v>0</v>
      </c>
      <c r="HI62" s="21">
        <f>EXP(-LN(2)/2)*HI61+(1-EXP(-LN(2)/2))/(LN(2)/2)*HC62*HF62*VLOOKUP('Données projet'!$B$18,Paramètres!$A$1:$I$89,3,0)*0.475*44/12</f>
        <v>0</v>
      </c>
      <c r="HJ62" s="22">
        <f t="shared" si="30"/>
        <v>41.442114880594922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273</v>
      </c>
      <c r="L63" s="12">
        <f>VLOOKUP(A63,'Données projet'!$A$35:$I$55,9,0)</f>
        <v>9.4</v>
      </c>
      <c r="M63" s="12">
        <f t="array" ref="M63">INDEX(L:L,MIN(IF(ISNUMBER(L63:L259),ROW(L63:L259),"")))</f>
        <v>9.4</v>
      </c>
      <c r="N63" s="13">
        <f>IF('Données projet'!$A$36&gt;35,N62+M63-V62,IF(A63&lt;'Données projet'!$A$36,$K$205^A63,IF(A63='Données projet'!$A$36,'Données projet'!$B$36,N62+M63-V62)))</f>
        <v>272.99999999999994</v>
      </c>
      <c r="O63" s="13">
        <f>N63*VLOOKUP('Données projet'!$B$9,Paramètres!$A$1:$I$89,3,0)*VLOOKUP('Données projet'!$B$9,Paramètres!$A$1:$I$89,5,0)</f>
        <v>247.01039999999992</v>
      </c>
      <c r="P63" s="13">
        <f t="shared" si="33"/>
        <v>59.945315462121812</v>
      </c>
      <c r="Q63" s="20">
        <f t="shared" si="53"/>
        <v>534.61453776319524</v>
      </c>
      <c r="R63" s="59">
        <f t="shared" si="0"/>
        <v>827.94787109652862</v>
      </c>
      <c r="S63" s="59">
        <f ca="1">AVERAGE(OFFSET($R$3,0,0,'Données projet'!$E$9+1,1))-AVERAGE(OFFSET($H$3,0,0,'Données projet'!$E$9+1,1))</f>
        <v>439.19854273764042</v>
      </c>
      <c r="T63" s="59">
        <f t="shared" si="34"/>
        <v>278.21741231699929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28</v>
      </c>
      <c r="W63" s="16">
        <f>IF(ISNA(VLOOKUP(A63,'Données projet'!$A$35:$I$55,5,0)),0%,VLOOKUP(A63,'Données projet'!$A$35:$I$55,5,0)*VLOOKUP('Données projet'!$B$9,Paramètres!$A$1:$I$89,7,0))</f>
        <v>0.43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57.221352555144406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57.221352555144406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273</v>
      </c>
      <c r="AG63" s="12">
        <f>VLOOKUP(A63,'Données projet'!$A$61:$I$81,9,0)</f>
        <v>9.4</v>
      </c>
      <c r="AH63" s="12">
        <f t="array" ref="AH63">INDEX(AG:AG,MIN(IF(ISNUMBER(AG63:AG259),ROW(AG63:AG259),"")))</f>
        <v>9.4</v>
      </c>
      <c r="AI63" s="13">
        <f>IF('Données projet'!$A$62&gt;35,AI62+AH63-AQ62,IF(A63&lt;'Données projet'!$A$62,$AF$205^A63,IF(A63='Données projet'!$A$62,'Données projet'!$B$62,AI62+AH63-AQ62)))</f>
        <v>272.99999999999994</v>
      </c>
      <c r="AJ63" s="13">
        <f>AI63*VLOOKUP('Données projet'!$B$10,Paramètres!$A$1:$I$89,3,0)*VLOOKUP('Données projet'!$B$10,Paramètres!$A$1:$I$89,5,0)</f>
        <v>276.82199999999995</v>
      </c>
      <c r="AK63" s="13">
        <f t="shared" si="35"/>
        <v>66.29496059864374</v>
      </c>
      <c r="AL63" s="20">
        <f t="shared" si="4"/>
        <v>597.59537304263779</v>
      </c>
      <c r="AM63" s="59">
        <f t="shared" si="5"/>
        <v>890.92870637597116</v>
      </c>
      <c r="AN63" s="59">
        <f ca="1">AVERAGE(OFFSET($AM$3,0,0,'Données projet'!$E$10+1,1))-AVERAGE(OFFSET($H$3,0,0,'Données projet'!$E$10+1,1))</f>
        <v>487.18832528146936</v>
      </c>
      <c r="AO63" s="59">
        <f t="shared" si="36"/>
        <v>306.61893266146666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28</v>
      </c>
      <c r="AR63" s="16">
        <f>IF(ISNA(VLOOKUP(A63,'Données projet'!$A$61:$I$81,5,0)),0%,VLOOKUP(A63,'Données projet'!$A$61:$I$81,5,0)*VLOOKUP('Données projet'!$B$10,Paramètres!$A$1:$I$89,7,0))</f>
        <v>0.43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64.127377863523904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64.127377863523904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369.00000000000023</v>
      </c>
      <c r="BE63" s="13">
        <f>BD63*VLOOKUP('Données projet'!$B$11,Paramètres!$A$1:$I$89,3,0)*VLOOKUP('Données projet'!$B$11,Paramètres!$A$1:$I$89,5,0)</f>
        <v>333.87120000000021</v>
      </c>
      <c r="BF63" s="13">
        <f t="shared" si="37"/>
        <v>78.23236011137638</v>
      </c>
      <c r="BG63" s="20">
        <f t="shared" si="7"/>
        <v>717.74703386064755</v>
      </c>
      <c r="BH63" s="59">
        <f t="shared" si="8"/>
        <v>1011.0803671939809</v>
      </c>
      <c r="BI63" s="59">
        <f ca="1">AVERAGE(OFFSET($BH$3,0,0,'Données projet'!$E$11+1,1))-AVERAGE(OFFSET($H$3,0,0,'Données projet'!$E$11+1,1))</f>
        <v>436.23918637269577</v>
      </c>
      <c r="BJ63" s="59">
        <f t="shared" si="38"/>
        <v>611.43967996341894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5.8357696614798575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5.8357696614798575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224.00000000000006</v>
      </c>
      <c r="BZ63" s="13">
        <f>BY63*VLOOKUP('Données projet'!$B$12,Paramètres!$A$1:$I$89,3,0)*VLOOKUP('Données projet'!$B$12,Paramètres!$A$1:$I$89,5,0)</f>
        <v>195.68640000000008</v>
      </c>
      <c r="CA63" s="13">
        <f t="shared" si="39"/>
        <v>48.794969360985156</v>
      </c>
      <c r="CB63" s="20">
        <f t="shared" si="10"/>
        <v>425.8050516370493</v>
      </c>
      <c r="CC63" s="59">
        <f t="shared" si="11"/>
        <v>719.13838497038262</v>
      </c>
      <c r="CD63" s="59">
        <f ca="1">AVERAGE(OFFSET($CC$3,0,0,'Données projet'!$E$12+1,1))-AVERAGE(OFFSET($H$3,0,0,'Données projet'!$E$12+1,1))</f>
        <v>304.32767345253382</v>
      </c>
      <c r="CE63" s="59">
        <f t="shared" si="40"/>
        <v>427.16091343339173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63.020402468148347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63.020402468148347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754</v>
      </c>
      <c r="CR63" s="12">
        <f>VLOOKUP(A63,'Données projet'!$A$139:$I$159,9,0)</f>
        <v>12.2</v>
      </c>
      <c r="CS63" s="12">
        <f t="array" ref="CS63">INDEX(CR:CR,MIN(IF(ISNUMBER(CR63:CR259),ROW(CR63:CR259),"")))</f>
        <v>12.2</v>
      </c>
      <c r="CT63" s="12">
        <f>IF('Données projet'!$A$140&gt;35,CT62+CS63-DB62,IF(A63&lt;'Données projet'!$A$140,$CQ$205^A63,IF(A63='Données projet'!$A$140,'Données projet'!$B$140,CT62+CS63-DB62)))</f>
        <v>753.99999999999966</v>
      </c>
      <c r="CU63" s="17">
        <f>CT63*VLOOKUP('Données projet'!$B$13,Paramètres!$A$1:$I$89,3,0)*VLOOKUP('Données projet'!$B$13,Paramètres!$A$1:$I$89,5,0)</f>
        <v>421.48599999999982</v>
      </c>
      <c r="CV63" s="13">
        <f t="shared" si="41"/>
        <v>96.119269055816147</v>
      </c>
      <c r="CW63" s="20">
        <f t="shared" si="13"/>
        <v>901.49584360554616</v>
      </c>
      <c r="CX63" s="59">
        <f t="shared" si="14"/>
        <v>1194.8291769388795</v>
      </c>
      <c r="CY63" s="59">
        <f ca="1">AVERAGE(OFFSET($CX$3,0,0,'Données projet'!$E$13+1,1))-AVERAGE(OFFSET($H$3,0,0,'Données projet'!$E$13+1,1))</f>
        <v>555.15881087162279</v>
      </c>
      <c r="CZ63" s="59">
        <f t="shared" si="42"/>
        <v>668.20427590250733</v>
      </c>
      <c r="DA63" s="15">
        <f>IF(ISNA(VLOOKUP(A63,'Données projet'!$A$139:$I$159,3,0)),0,VLOOKUP(A63,'Données projet'!$A$139:$I$159,3,0))</f>
        <v>9</v>
      </c>
      <c r="DB63" s="15">
        <f>IF(ISNA(VLOOKUP(A63,'Données projet'!$A$139:$I$159,4,0)),0,VLOOKUP(A63,'Données projet'!$A$139:$I$159,4,0))</f>
        <v>35</v>
      </c>
      <c r="DC63" s="16">
        <f>IF(ISNA(VLOOKUP(A63,'Données projet'!$A$139:$I$159,5,0)),0%,VLOOKUP(A63,'Données projet'!$A$139:$I$159,5,0)*VLOOKUP('Données projet'!$B$13,Paramètres!$A$1:$I$89,7,0))</f>
        <v>0.55000000000000004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110.43722951808651</v>
      </c>
      <c r="DG63" s="21">
        <f>EXP(-LN(2)/25)*DG62+(1-EXP(-LN(2)/25))/(LN(2)/25)*Calculateur!DB63*Calculateur!DD63*VLOOKUP('Données projet'!$B$13,Paramètres!$A$1:$I$89,3,0)*0.475*44/12</f>
        <v>25.150925710022467</v>
      </c>
      <c r="DH63" s="21">
        <f>EXP(-LN(2)/2)*DH62+(1-EXP(-LN(2)/2))/(LN(2)/2)*DB63*DE63*VLOOKUP('Données projet'!$B$13,Paramètres!$A$1:$I$89,3,0)*0.475*44/12</f>
        <v>2.5954692588466344E-5</v>
      </c>
      <c r="DI63" s="22">
        <f t="shared" si="15"/>
        <v>135.58818118280155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798</v>
      </c>
      <c r="DM63" s="12">
        <f>VLOOKUP(A63,'Données projet'!$A$165:$I$185,9,0)</f>
        <v>24</v>
      </c>
      <c r="DN63" s="12">
        <f t="array" ref="DN63">INDEX(DM:DM,MIN(IF(ISNUMBER(DM63:DM259),ROW(DM63:DM259),"")))</f>
        <v>24</v>
      </c>
      <c r="DO63" s="12">
        <f>IF('Données projet'!$A$166&gt;35,DO62+DN63-DW62,IF(A63&lt;'Données projet'!$A$166,$DL$205^A63,IF(A63='Données projet'!$A$166,'Données projet'!$B$166,DO62+DN63-DW62)))</f>
        <v>797.99999999999955</v>
      </c>
      <c r="DP63" s="17">
        <f>DO63*VLOOKUP('Données projet'!$B$14,Paramètres!$A$1:$I$89,3,0)*VLOOKUP('Données projet'!$B$14,Paramètres!$A$1:$I$89,5,0)</f>
        <v>373.46399999999977</v>
      </c>
      <c r="DQ63" s="13">
        <f t="shared" si="43"/>
        <v>86.375595677138463</v>
      </c>
      <c r="DR63" s="20">
        <f t="shared" si="16"/>
        <v>800.88729580434904</v>
      </c>
      <c r="DS63" s="59">
        <f t="shared" si="17"/>
        <v>1094.2206291376824</v>
      </c>
      <c r="DT63" s="59">
        <f ca="1">AVERAGE(OFFSET($DS$3,0,0,'Données projet'!$E$14+1,1))-AVERAGE(OFFSET($H$3,0,0,'Données projet'!$E$14+1,1))</f>
        <v>523.79180230463714</v>
      </c>
      <c r="DU63" s="59">
        <f t="shared" si="44"/>
        <v>459.3547783500515</v>
      </c>
      <c r="DV63" s="15">
        <f>IF(ISNA(VLOOKUP(A63,'Données projet'!$A$165:$I$185,3,0)),0,VLOOKUP(A63,'Données projet'!$A$165:$I$185,3,0))</f>
        <v>9</v>
      </c>
      <c r="DW63" s="15">
        <f>IF(ISNA(VLOOKUP(A63,'Données projet'!$A$165:$I$185,4,0)),0,VLOOKUP(A63,'Données projet'!$A$165:$I$185,4,0))</f>
        <v>64</v>
      </c>
      <c r="DX63" s="16">
        <f>IF(ISNA(VLOOKUP(A63,'Données projet'!$A$165:$I$185,5,0)),0%,VLOOKUP(A63,'Données projet'!$A$165:$I$185,5,0)*VLOOKUP('Données projet'!$B$14,Paramètres!$A$1:$I$89,7,0))</f>
        <v>0.55000000000000004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123.72558646207271</v>
      </c>
      <c r="EB63" s="21">
        <f>EXP(-LN(2)/25)*EB62+(1-EXP(-LN(2)/25))/(LN(2)/25)*Calculateur!DW63*Calculateur!DY63*VLOOKUP('Données projet'!$B$14,Paramètres!$A$1:$I$89,3,0)*0.475*44/12</f>
        <v>23.261423294317467</v>
      </c>
      <c r="EC63" s="21">
        <f>EXP(-LN(2)/2)*EC62+(1-EXP(-LN(2)/2))/(LN(2)/2)*DW63*DZ63*VLOOKUP('Données projet'!$B$14,Paramètres!$A$1:$I$89,3,0)*0.475*44/12</f>
        <v>3.6384295937969005E-5</v>
      </c>
      <c r="ED63" s="22">
        <f t="shared" si="18"/>
        <v>146.98704614068612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343</v>
      </c>
      <c r="EH63" s="12">
        <f>VLOOKUP(A63,'Données projet'!$A$191:$I$211,9,0)</f>
        <v>7.4</v>
      </c>
      <c r="EI63" s="12">
        <f t="array" ref="EI63">INDEX(EH:EH,MIN(IF(ISNUMBER(EH63:EH259),ROW(EH63:EH259),"")))</f>
        <v>7.4</v>
      </c>
      <c r="EJ63" s="12">
        <f>IF('Données projet'!$A$192&gt;35,EJ62+EI63-ER62,IF(A63&lt;'Données projet'!$A$192,$EG$205^A63,IF(A63='Données projet'!$A$192,'Données projet'!$B$192,EJ62+EI63-ER62)))</f>
        <v>342.99999999999972</v>
      </c>
      <c r="EK63" s="17">
        <f>EJ63*VLOOKUP('Données projet'!$B$15,Paramètres!$A$1:$I$89,3,0)*VLOOKUP('Données projet'!$B$15,Paramètres!$A$1:$I$89,5,0)</f>
        <v>331.74959999999976</v>
      </c>
      <c r="EL63" s="13">
        <f t="shared" si="45"/>
        <v>77.792932182102746</v>
      </c>
      <c r="EM63" s="20">
        <f t="shared" si="19"/>
        <v>713.28657688382839</v>
      </c>
      <c r="EN63" s="59">
        <f t="shared" si="20"/>
        <v>1006.6199102171618</v>
      </c>
      <c r="EO63" s="59">
        <f ca="1">AVERAGE(OFFSET($EN$3,0,0,'Données projet'!$E$15+1,1))-AVERAGE(OFFSET($H$3,0,0,'Données projet'!$E$15+1,1))</f>
        <v>484.41278617935654</v>
      </c>
      <c r="EP63" s="59">
        <f t="shared" si="46"/>
        <v>467.97490540700738</v>
      </c>
      <c r="EQ63" s="15">
        <f>IF(ISNA(VLOOKUP(A63,'Données projet'!$A$191:$I$211,3,0)),0,VLOOKUP(A63,'Données projet'!$A$191:$I$211,3,0))</f>
        <v>11</v>
      </c>
      <c r="ER63" s="15">
        <f>IF(ISNA(VLOOKUP(A63,'Données projet'!$A$191:$I$211,4,0)),0,VLOOKUP(A63,'Données projet'!$A$191:$I$211,4,0))</f>
        <v>17</v>
      </c>
      <c r="ES63" s="16">
        <f>IF(ISNA(VLOOKUP(A63,'Données projet'!$A$191:$I$211,5,0)),0%,VLOOKUP(A63,'Données projet'!$A$191:$I$211,5,0)*VLOOKUP('Données projet'!$B$15,Paramètres!$A$1:$I$89,7,0))</f>
        <v>0.43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56.258750084518269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56.258750084518269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343</v>
      </c>
      <c r="FC63" s="12">
        <f>VLOOKUP(A63,'Données projet'!$A$217:$I$237,9,0)</f>
        <v>7.4</v>
      </c>
      <c r="FD63" s="12">
        <f t="array" ref="FD63">INDEX(FC:FC,MIN(IF(ISNUMBER(FC63:FC259),ROW(FC63:FC259),"")))</f>
        <v>7.4</v>
      </c>
      <c r="FE63" s="12">
        <f>IF('Données projet'!$A$218&gt;35,FE62+FD63-FM62,IF(A63&lt;'Données projet'!$A$218,$FB$205^A63,IF(A63='Données projet'!$A$218,'Données projet'!$B$218,FE62+FD63-FM62)))</f>
        <v>342.99999999999972</v>
      </c>
      <c r="FF63" s="17">
        <f>FE63*VLOOKUP('Données projet'!$B$16,Paramètres!$A$1:$I$89,3,0)*VLOOKUP('Données projet'!$B$16,Paramètres!$A$1:$I$89,5,0)</f>
        <v>369.20519999999971</v>
      </c>
      <c r="FG63" s="13">
        <f t="shared" si="47"/>
        <v>85.504682960059569</v>
      </c>
      <c r="FH63" s="20">
        <f t="shared" si="22"/>
        <v>791.95304615543648</v>
      </c>
      <c r="FI63" s="59">
        <f t="shared" si="23"/>
        <v>1085.2863794887699</v>
      </c>
      <c r="FJ63" s="59">
        <f ca="1">AVERAGE(OFFSET($FI$3,0,0,'Données projet'!$E$16+1,1))-AVERAGE(OFFSET($H$3,0,0,'Données projet'!$E$16+1,1))</f>
        <v>534.54020133239135</v>
      </c>
      <c r="FK63" s="59">
        <f t="shared" si="48"/>
        <v>515.48696069008815</v>
      </c>
      <c r="FL63" s="15">
        <f>IF(ISNA(VLOOKUP(A63,'Données projet'!$A$217:$I$237,3,0)),0,VLOOKUP(A63,'Données projet'!$A$217:$I$237,3,0))</f>
        <v>11</v>
      </c>
      <c r="FM63" s="15">
        <f>IF(ISNA(VLOOKUP(A63,'Données projet'!$A$217:$I$237,4,0)),0,VLOOKUP(A63,'Données projet'!$A$217:$I$237,4,0))</f>
        <v>17</v>
      </c>
      <c r="FN63" s="16">
        <f>IF(ISNA(VLOOKUP(A63,'Données projet'!$A$217:$I$237,5,0)),0%,VLOOKUP(A63,'Données projet'!$A$217:$I$237,5,0)*VLOOKUP('Données projet'!$B$16,Paramètres!$A$1:$I$89,7,0))</f>
        <v>0.43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62.610544448899361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62.610544448899361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261</v>
      </c>
      <c r="FX63" s="12">
        <f>VLOOKUP(A63,'Données projet'!$A$243:$I$263,9,0)</f>
        <v>6.6</v>
      </c>
      <c r="FY63" s="12">
        <f t="array" ref="FY63">INDEX(FX:FX,MIN(IF(ISNUMBER(FX63:FX259),ROW(FX63:FX259),"")))</f>
        <v>6.6</v>
      </c>
      <c r="FZ63" s="12">
        <f>IF('Données projet'!$A$244&gt;35,FZ62+FY63-GH62,IF(A63&lt;'Données projet'!$A$244,$FW$205^A63,IF(A63='Données projet'!$A$244,'Données projet'!$B$244,FZ62+FY63-GH62)))</f>
        <v>260.99999999999989</v>
      </c>
      <c r="GA63" s="17">
        <f>FZ63*VLOOKUP('Données projet'!$B$17,Paramètres!$A$1:$I$89,3,0)*VLOOKUP('Données projet'!$B$17,Paramètres!$A$1:$I$89,5,0)</f>
        <v>248.3675999999999</v>
      </c>
      <c r="GB63" s="13">
        <f t="shared" si="49"/>
        <v>60.236253798706286</v>
      </c>
      <c r="GC63" s="20">
        <f t="shared" si="25"/>
        <v>537.48504536607982</v>
      </c>
      <c r="GD63" s="59">
        <f t="shared" si="26"/>
        <v>830.81837869941319</v>
      </c>
      <c r="GE63" s="59">
        <f ca="1">AVERAGE(OFFSET($GD$3,0,0,'Données projet'!$E$17+1,1))-AVERAGE(OFFSET($H$3,0,0,'Données projet'!$E$17+1,1))</f>
        <v>455.71329051283936</v>
      </c>
      <c r="GF63" s="59">
        <f t="shared" si="50"/>
        <v>479.3743231122258</v>
      </c>
      <c r="GG63" s="15">
        <f>IF(ISNA(VLOOKUP(A63,'Données projet'!$A$243:$I$263,3,0)),0,VLOOKUP(A63,'Données projet'!$A$243:$I$263,3,0))</f>
        <v>11</v>
      </c>
      <c r="GH63" s="15">
        <f>IF(ISNA(VLOOKUP(A63,'Données projet'!$A$243:$I$263,4,0)),0,VLOOKUP(A63,'Données projet'!$A$243:$I$263,4,0))</f>
        <v>30</v>
      </c>
      <c r="GI63" s="16">
        <f>IF(ISNA(VLOOKUP(A63,'Données projet'!$A$243:$I$263,5,0)),0%,VLOOKUP(A63,'Données projet'!$A$243:$I$263,5,0)*VLOOKUP('Données projet'!$B$17,Paramètres!$A$1:$I$89,7,0))</f>
        <v>0.43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65.491297822639396</v>
      </c>
      <c r="GM63" s="21">
        <f>EXP(-LN(2)/25)*GM62+(1-EXP(-LN(2)/25))/(LN(2)/25)*Calculateur!GH63*Calculateur!GJ63*VLOOKUP('Données projet'!$B$17,Paramètres!$A$1:$I$89,3,0)*0.475*44/12</f>
        <v>0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65.491297822639396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>
        <f>VLOOKUP(A63,'Données projet'!$A$269:$I$289,2,0)</f>
        <v>343</v>
      </c>
      <c r="GS63" s="12">
        <f>VLOOKUP(A63,'Données projet'!$A$269:$I$289,9,0)</f>
        <v>7.4</v>
      </c>
      <c r="GT63" s="12">
        <f t="array" ref="GT63">INDEX(GS:GS,MIN(IF(ISNUMBER(GS63:GS259),ROW(GS63:GS259),"")))</f>
        <v>7.4</v>
      </c>
      <c r="GU63" s="12">
        <f>IF('Données projet'!$A$270&gt;35,GU62+GT63-HC62,IF(A63&lt;'Données projet'!$A$270,$GR$205^A63,IF(A63='Données projet'!$A$270,'Données projet'!$B$270,GU62+GT63-HC62)))</f>
        <v>342.99999999999972</v>
      </c>
      <c r="GV63" s="17">
        <f>GU63*VLOOKUP('Données projet'!$B$18,Paramètres!$A$1:$I$89,3,0)*VLOOKUP('Données projet'!$B$18,Paramètres!$A$1:$I$89,5,0)</f>
        <v>278.24159999999983</v>
      </c>
      <c r="GW63" s="13">
        <f t="shared" si="51"/>
        <v>66.595272276139738</v>
      </c>
      <c r="GX63" s="20">
        <f t="shared" si="28"/>
        <v>600.59088588094301</v>
      </c>
      <c r="GY63" s="59">
        <f t="shared" si="29"/>
        <v>893.92421921427626</v>
      </c>
      <c r="GZ63" s="59">
        <f ca="1">AVERAGE(OFFSET($GY$3,0,0,'Données projet'!$E$18+1,1))-AVERAGE(OFFSET($H$3,0,0,'Données projet'!$E$18+1,1))</f>
        <v>412.59676769258488</v>
      </c>
      <c r="HA63" s="59">
        <f t="shared" si="52"/>
        <v>399.90063795152133</v>
      </c>
      <c r="HB63" s="15">
        <f>IF(ISNA(VLOOKUP(A63,'Données projet'!$A$269:$I$289,3,0)),0,VLOOKUP(A63,'Données projet'!$A$269:$I$289,3,0))</f>
        <v>11</v>
      </c>
      <c r="HC63" s="15">
        <f>IF(ISNA(VLOOKUP(A63,'Données projet'!$A$269:$I$289,4,0)),0,VLOOKUP(A63,'Données projet'!$A$269:$I$289,4,0))</f>
        <v>17</v>
      </c>
      <c r="HD63" s="16">
        <f>IF(ISNA(VLOOKUP(A63,'Données projet'!$A$269:$I$289,5,0)),0%,VLOOKUP(A63,'Données projet'!$A$269:$I$289,5,0)*VLOOKUP('Données projet'!$B$18,Paramètres!$A$1:$I$89,7,0))</f>
        <v>0.43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47.184758135402433</v>
      </c>
      <c r="HH63" s="21">
        <f>EXP(-LN(2)/25)*HH62+(1-EXP(-LN(2)/25))/(LN(2)/25)*Calculateur!HC63*Calculateur!HE63*VLOOKUP('Données projet'!$B$18,Paramètres!$A$1:$I$89,3,0)*0.475*44/12</f>
        <v>0</v>
      </c>
      <c r="HI63" s="21">
        <f>EXP(-LN(2)/2)*HI62+(1-EXP(-LN(2)/2))/(LN(2)/2)*HC63*HF63*VLOOKUP('Données projet'!$B$18,Paramètres!$A$1:$I$89,3,0)*0.475*44/12</f>
        <v>0</v>
      </c>
      <c r="HJ63" s="22">
        <f t="shared" si="30"/>
        <v>47.184758135402433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8.8000000000000007</v>
      </c>
      <c r="N64" s="13">
        <f>IF('Données projet'!$A$36&gt;35,N63+M64-V63,IF(A64&lt;'Données projet'!$A$36,$K$205^A64,IF(A64='Données projet'!$A$36,'Données projet'!$B$36,N63+M64-V63)))</f>
        <v>253.79999999999995</v>
      </c>
      <c r="O64" s="13">
        <f>N64*VLOOKUP('Données projet'!$B$9,Paramètres!$A$1:$I$89,3,0)*VLOOKUP('Données projet'!$B$9,Paramètres!$A$1:$I$89,5,0)</f>
        <v>229.63823999999994</v>
      </c>
      <c r="P64" s="13">
        <f t="shared" si="33"/>
        <v>56.204453396569633</v>
      </c>
      <c r="Q64" s="20">
        <f t="shared" si="53"/>
        <v>497.84269099902531</v>
      </c>
      <c r="R64" s="59">
        <f t="shared" si="0"/>
        <v>791.17602433235857</v>
      </c>
      <c r="S64" s="59">
        <f ca="1">AVERAGE(OFFSET($R$3,0,0,'Données projet'!$E$9+1,1))-AVERAGE(OFFSET($H$3,0,0,'Données projet'!$E$9+1,1))</f>
        <v>439.19854273764042</v>
      </c>
      <c r="T64" s="59">
        <f t="shared" si="34"/>
        <v>278.21741231699929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56.099276733116838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56.099276733116838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8.8000000000000007</v>
      </c>
      <c r="AI64" s="13">
        <f>IF('Données projet'!$A$62&gt;35,AI63+AH64-AQ63,IF(A64&lt;'Données projet'!$A$62,$AF$205^A64,IF(A64='Données projet'!$A$62,'Données projet'!$B$62,AI63+AH64-AQ63)))</f>
        <v>253.79999999999995</v>
      </c>
      <c r="AJ64" s="13">
        <f>AI64*VLOOKUP('Données projet'!$B$10,Paramètres!$A$1:$I$89,3,0)*VLOOKUP('Données projet'!$B$10,Paramètres!$A$1:$I$89,5,0)</f>
        <v>257.35319999999996</v>
      </c>
      <c r="AK64" s="13">
        <f t="shared" si="35"/>
        <v>62.157851613080908</v>
      </c>
      <c r="AL64" s="20">
        <f t="shared" si="4"/>
        <v>556.48174822611588</v>
      </c>
      <c r="AM64" s="59">
        <f t="shared" si="5"/>
        <v>849.81508155944925</v>
      </c>
      <c r="AN64" s="59">
        <f ca="1">AVERAGE(OFFSET($AM$3,0,0,'Données projet'!$E$10+1,1))-AVERAGE(OFFSET($H$3,0,0,'Données projet'!$E$10+1,1))</f>
        <v>487.18832528146936</v>
      </c>
      <c r="AO64" s="59">
        <f t="shared" si="36"/>
        <v>306.61893266146666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62.869879097458529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62.869879097458529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369.00000000000023</v>
      </c>
      <c r="BE64" s="13">
        <f>BD64*VLOOKUP('Données projet'!$B$11,Paramètres!$A$1:$I$89,3,0)*VLOOKUP('Données projet'!$B$11,Paramètres!$A$1:$I$89,5,0)</f>
        <v>333.87120000000021</v>
      </c>
      <c r="BF64" s="13">
        <f t="shared" si="37"/>
        <v>78.23236011137638</v>
      </c>
      <c r="BG64" s="20">
        <f t="shared" si="7"/>
        <v>717.74703386064755</v>
      </c>
      <c r="BH64" s="59">
        <f t="shared" si="8"/>
        <v>1011.0803671939809</v>
      </c>
      <c r="BI64" s="59">
        <f ca="1">AVERAGE(OFFSET($BH$3,0,0,'Données projet'!$E$11+1,1))-AVERAGE(OFFSET($H$3,0,0,'Données projet'!$E$11+1,1))</f>
        <v>436.23918637269577</v>
      </c>
      <c r="BJ64" s="59">
        <f t="shared" si="38"/>
        <v>611.43967996341894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5.7213337778862625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5.7213337778862625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224.00000000000006</v>
      </c>
      <c r="BZ64" s="13">
        <f>BY64*VLOOKUP('Données projet'!$B$12,Paramètres!$A$1:$I$89,3,0)*VLOOKUP('Données projet'!$B$12,Paramètres!$A$1:$I$89,5,0)</f>
        <v>195.68640000000008</v>
      </c>
      <c r="CA64" s="13">
        <f t="shared" si="39"/>
        <v>48.794969360985156</v>
      </c>
      <c r="CB64" s="20">
        <f t="shared" si="10"/>
        <v>425.8050516370493</v>
      </c>
      <c r="CC64" s="59">
        <f t="shared" si="11"/>
        <v>719.13838497038262</v>
      </c>
      <c r="CD64" s="59">
        <f ca="1">AVERAGE(OFFSET($CC$3,0,0,'Données projet'!$E$12+1,1))-AVERAGE(OFFSET($H$3,0,0,'Données projet'!$E$12+1,1))</f>
        <v>304.32767345253382</v>
      </c>
      <c r="CE64" s="59">
        <f t="shared" si="40"/>
        <v>427.16091343339173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61.784610814397965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61.784610814397965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10</v>
      </c>
      <c r="CT64" s="12">
        <f>IF('Données projet'!$A$140&gt;35,CT63+CS64-DB63,IF(A64&lt;'Données projet'!$A$140,$CQ$205^A64,IF(A64='Données projet'!$A$140,'Données projet'!$B$140,CT63+CS64-DB63)))</f>
        <v>728.99999999999966</v>
      </c>
      <c r="CU64" s="17">
        <f>CT64*VLOOKUP('Données projet'!$B$13,Paramètres!$A$1:$I$89,3,0)*VLOOKUP('Données projet'!$B$13,Paramètres!$A$1:$I$89,5,0)</f>
        <v>407.51099999999985</v>
      </c>
      <c r="CV64" s="13">
        <f t="shared" si="41"/>
        <v>93.297752590617137</v>
      </c>
      <c r="CW64" s="20">
        <f t="shared" si="13"/>
        <v>872.24191076199133</v>
      </c>
      <c r="CX64" s="59">
        <f t="shared" si="14"/>
        <v>1165.5752440953247</v>
      </c>
      <c r="CY64" s="59">
        <f ca="1">AVERAGE(OFFSET($CX$3,0,0,'Données projet'!$E$13+1,1))-AVERAGE(OFFSET($H$3,0,0,'Données projet'!$E$13+1,1))</f>
        <v>555.15881087162279</v>
      </c>
      <c r="CZ64" s="59">
        <f t="shared" si="42"/>
        <v>668.20427590250733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108.27162280729559</v>
      </c>
      <c r="DG64" s="21">
        <f>EXP(-LN(2)/25)*DG63+(1-EXP(-LN(2)/25))/(LN(2)/25)*Calculateur!DB64*Calculateur!DD64*VLOOKUP('Données projet'!$B$13,Paramètres!$A$1:$I$89,3,0)*0.475*44/12</f>
        <v>24.463172323852202</v>
      </c>
      <c r="DH64" s="21">
        <f>EXP(-LN(2)/2)*DH63+(1-EXP(-LN(2)/2))/(LN(2)/2)*DB64*DE64*VLOOKUP('Données projet'!$B$13,Paramètres!$A$1:$I$89,3,0)*0.475*44/12</f>
        <v>1.8352739132916777E-5</v>
      </c>
      <c r="DI64" s="22">
        <f t="shared" si="15"/>
        <v>132.73481348388694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22.4</v>
      </c>
      <c r="DO64" s="12">
        <f>IF('Données projet'!$A$166&gt;35,DO63+DN64-DW63,IF(A64&lt;'Données projet'!$A$166,$DL$205^A64,IF(A64='Données projet'!$A$166,'Données projet'!$B$166,DO63+DN64-DW63)))</f>
        <v>756.39999999999952</v>
      </c>
      <c r="DP64" s="17">
        <f>DO64*VLOOKUP('Données projet'!$B$14,Paramètres!$A$1:$I$89,3,0)*VLOOKUP('Données projet'!$B$14,Paramètres!$A$1:$I$89,5,0)</f>
        <v>353.99519999999978</v>
      </c>
      <c r="DQ64" s="13">
        <f t="shared" si="43"/>
        <v>82.384620192632227</v>
      </c>
      <c r="DR64" s="20">
        <f t="shared" si="16"/>
        <v>760.02818683550061</v>
      </c>
      <c r="DS64" s="59">
        <f t="shared" si="17"/>
        <v>1053.361520168834</v>
      </c>
      <c r="DT64" s="59">
        <f ca="1">AVERAGE(OFFSET($DS$3,0,0,'Données projet'!$E$14+1,1))-AVERAGE(OFFSET($H$3,0,0,'Données projet'!$E$14+1,1))</f>
        <v>523.79180230463714</v>
      </c>
      <c r="DU64" s="59">
        <f t="shared" si="44"/>
        <v>459.3547783500515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121.29940317670764</v>
      </c>
      <c r="EB64" s="21">
        <f>EXP(-LN(2)/25)*EB63+(1-EXP(-LN(2)/25))/(LN(2)/25)*Calculateur!DW64*Calculateur!DY64*VLOOKUP('Données projet'!$B$14,Paramètres!$A$1:$I$89,3,0)*0.475*44/12</f>
        <v>22.625338451069268</v>
      </c>
      <c r="EC64" s="21">
        <f>EXP(-LN(2)/2)*EC63+(1-EXP(-LN(2)/2))/(LN(2)/2)*DW64*DZ64*VLOOKUP('Données projet'!$B$14,Paramètres!$A$1:$I$89,3,0)*0.475*44/12</f>
        <v>2.5727582386436039E-5</v>
      </c>
      <c r="ED64" s="22">
        <f t="shared" si="18"/>
        <v>143.92476735535931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6</v>
      </c>
      <c r="EJ64" s="12">
        <f>IF('Données projet'!$A$192&gt;35,EJ63+EI64-ER63,IF(A64&lt;'Données projet'!$A$192,$EG$205^A64,IF(A64='Données projet'!$A$192,'Données projet'!$B$192,EJ63+EI64-ER63)))</f>
        <v>331.99999999999972</v>
      </c>
      <c r="EK64" s="17">
        <f>EJ64*VLOOKUP('Données projet'!$B$15,Paramètres!$A$1:$I$89,3,0)*VLOOKUP('Données projet'!$B$15,Paramètres!$A$1:$I$89,5,0)</f>
        <v>321.11039999999974</v>
      </c>
      <c r="EL64" s="13">
        <f t="shared" si="45"/>
        <v>75.584347378293245</v>
      </c>
      <c r="EM64" s="20">
        <f t="shared" si="19"/>
        <v>690.91001835052691</v>
      </c>
      <c r="EN64" s="59">
        <f t="shared" si="20"/>
        <v>984.24335168386028</v>
      </c>
      <c r="EO64" s="59">
        <f ca="1">AVERAGE(OFFSET($EN$3,0,0,'Données projet'!$E$15+1,1))-AVERAGE(OFFSET($H$3,0,0,'Données projet'!$E$15+1,1))</f>
        <v>484.41278617935654</v>
      </c>
      <c r="EP64" s="59">
        <f t="shared" si="46"/>
        <v>467.97490540700738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55.155550309810145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55.155550309810145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6</v>
      </c>
      <c r="FE64" s="12">
        <f>IF('Données projet'!$A$218&gt;35,FE63+FD64-FM63,IF(A64&lt;'Données projet'!$A$218,$FB$205^A64,IF(A64='Données projet'!$A$218,'Données projet'!$B$218,FE63+FD64-FM63)))</f>
        <v>331.99999999999972</v>
      </c>
      <c r="FF64" s="17">
        <f>FE64*VLOOKUP('Données projet'!$B$16,Paramètres!$A$1:$I$89,3,0)*VLOOKUP('Données projet'!$B$16,Paramètres!$A$1:$I$89,5,0)</f>
        <v>357.36479999999966</v>
      </c>
      <c r="FG64" s="13">
        <f t="shared" si="47"/>
        <v>83.077157243480698</v>
      </c>
      <c r="FH64" s="20">
        <f t="shared" si="22"/>
        <v>767.10307553239488</v>
      </c>
      <c r="FI64" s="59">
        <f t="shared" si="23"/>
        <v>1060.4364088657283</v>
      </c>
      <c r="FJ64" s="59">
        <f ca="1">AVERAGE(OFFSET($FI$3,0,0,'Données projet'!$E$16+1,1))-AVERAGE(OFFSET($H$3,0,0,'Données projet'!$E$16+1,1))</f>
        <v>534.54020133239135</v>
      </c>
      <c r="FK64" s="59">
        <f t="shared" si="48"/>
        <v>515.48696069008815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61.38278986091774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61.38278986091774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6.6</v>
      </c>
      <c r="FZ64" s="12">
        <f>IF('Données projet'!$A$244&gt;35,FZ63+FY64-GH63,IF(A64&lt;'Données projet'!$A$244,$FW$205^A64,IF(A64='Données projet'!$A$244,'Données projet'!$B$244,FZ63+FY64-GH63)))</f>
        <v>237.59999999999991</v>
      </c>
      <c r="GA64" s="17">
        <f>FZ64*VLOOKUP('Données projet'!$B$17,Paramètres!$A$1:$I$89,3,0)*VLOOKUP('Données projet'!$B$17,Paramètres!$A$1:$I$89,5,0)</f>
        <v>226.10015999999993</v>
      </c>
      <c r="GB64" s="13">
        <f t="shared" si="49"/>
        <v>55.438607516274878</v>
      </c>
      <c r="GC64" s="20">
        <f t="shared" si="25"/>
        <v>490.34668675751186</v>
      </c>
      <c r="GD64" s="59">
        <f t="shared" si="26"/>
        <v>783.68002009084512</v>
      </c>
      <c r="GE64" s="59">
        <f ca="1">AVERAGE(OFFSET($GD$3,0,0,'Données projet'!$E$17+1,1))-AVERAGE(OFFSET($H$3,0,0,'Données projet'!$E$17+1,1))</f>
        <v>455.71329051283936</v>
      </c>
      <c r="GF64" s="59">
        <f t="shared" si="50"/>
        <v>479.3743231122258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64.207053418084797</v>
      </c>
      <c r="GM64" s="21">
        <f>EXP(-LN(2)/25)*GM63+(1-EXP(-LN(2)/25))/(LN(2)/25)*Calculateur!GH64*Calculateur!GJ64*VLOOKUP('Données projet'!$B$17,Paramètres!$A$1:$I$89,3,0)*0.475*44/12</f>
        <v>0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64.207053418084797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6</v>
      </c>
      <c r="GU64" s="12">
        <f>IF('Données projet'!$A$270&gt;35,GU63+GT64-HC63,IF(A64&lt;'Données projet'!$A$270,$GR$205^A64,IF(A64='Données projet'!$A$270,'Données projet'!$B$270,GU63+GT64-HC63)))</f>
        <v>331.99999999999972</v>
      </c>
      <c r="GV64" s="17">
        <f>GU64*VLOOKUP('Données projet'!$B$18,Paramètres!$A$1:$I$89,3,0)*VLOOKUP('Données projet'!$B$18,Paramètres!$A$1:$I$89,5,0)</f>
        <v>269.31839999999977</v>
      </c>
      <c r="GW64" s="13">
        <f t="shared" si="51"/>
        <v>64.70459529265311</v>
      </c>
      <c r="GX64" s="20">
        <f t="shared" si="28"/>
        <v>581.75671680137043</v>
      </c>
      <c r="GY64" s="59">
        <f t="shared" si="29"/>
        <v>875.09005013470369</v>
      </c>
      <c r="GZ64" s="59">
        <f ca="1">AVERAGE(OFFSET($GY$3,0,0,'Données projet'!$E$18+1,1))-AVERAGE(OFFSET($H$3,0,0,'Données projet'!$E$18+1,1))</f>
        <v>412.59676769258488</v>
      </c>
      <c r="HA64" s="59">
        <f t="shared" si="52"/>
        <v>399.90063795152133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46.25949380822788</v>
      </c>
      <c r="HH64" s="21">
        <f>EXP(-LN(2)/25)*HH63+(1-EXP(-LN(2)/25))/(LN(2)/25)*Calculateur!HC64*Calculateur!HE64*VLOOKUP('Données projet'!$B$18,Paramètres!$A$1:$I$89,3,0)*0.475*44/12</f>
        <v>0</v>
      </c>
      <c r="HI64" s="21">
        <f>EXP(-LN(2)/2)*HI63+(1-EXP(-LN(2)/2))/(LN(2)/2)*HC64*HF64*VLOOKUP('Données projet'!$B$18,Paramètres!$A$1:$I$89,3,0)*0.475*44/12</f>
        <v>0</v>
      </c>
      <c r="HJ64" s="22">
        <f t="shared" si="30"/>
        <v>46.25949380822788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8.8000000000000007</v>
      </c>
      <c r="N65" s="13">
        <f>IF('Données projet'!$A$36&gt;35,N64+M65-V64,IF(A65&lt;'Données projet'!$A$36,$K$205^A65,IF(A65='Données projet'!$A$36,'Données projet'!$B$36,N64+M65-V64)))</f>
        <v>262.59999999999997</v>
      </c>
      <c r="O65" s="13">
        <f>N65*VLOOKUP('Données projet'!$B$9,Paramètres!$A$1:$I$89,3,0)*VLOOKUP('Données projet'!$B$9,Paramètres!$A$1:$I$89,5,0)</f>
        <v>237.60047999999995</v>
      </c>
      <c r="P65" s="13">
        <f t="shared" si="33"/>
        <v>57.922960533442058</v>
      </c>
      <c r="Q65" s="20">
        <f t="shared" si="53"/>
        <v>514.70332559574479</v>
      </c>
      <c r="R65" s="59">
        <f t="shared" si="0"/>
        <v>808.03665892907816</v>
      </c>
      <c r="S65" s="59">
        <f ca="1">AVERAGE(OFFSET($R$3,0,0,'Données projet'!$E$9+1,1))-AVERAGE(OFFSET($H$3,0,0,'Données projet'!$E$9+1,1))</f>
        <v>439.19854273764042</v>
      </c>
      <c r="T65" s="59">
        <f t="shared" si="34"/>
        <v>278.21741231699929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54.999204133560561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54.999204133560561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8.8000000000000007</v>
      </c>
      <c r="AI65" s="13">
        <f>IF('Données projet'!$A$62&gt;35,AI64+AH65-AQ64,IF(A65&lt;'Données projet'!$A$62,$AF$205^A65,IF(A65='Données projet'!$A$62,'Données projet'!$B$62,AI64+AH65-AQ64)))</f>
        <v>262.59999999999997</v>
      </c>
      <c r="AJ65" s="13">
        <f>AI65*VLOOKUP('Données projet'!$B$10,Paramètres!$A$1:$I$89,3,0)*VLOOKUP('Données projet'!$B$10,Paramètres!$A$1:$I$89,5,0)</f>
        <v>266.27640000000002</v>
      </c>
      <c r="AK65" s="13">
        <f t="shared" si="35"/>
        <v>64.058389829439747</v>
      </c>
      <c r="AL65" s="20">
        <f t="shared" si="4"/>
        <v>575.33309228627434</v>
      </c>
      <c r="AM65" s="59">
        <f t="shared" si="5"/>
        <v>868.66642561960771</v>
      </c>
      <c r="AN65" s="59">
        <f ca="1">AVERAGE(OFFSET($AM$3,0,0,'Données projet'!$E$10+1,1))-AVERAGE(OFFSET($H$3,0,0,'Données projet'!$E$10+1,1))</f>
        <v>487.18832528146936</v>
      </c>
      <c r="AO65" s="59">
        <f t="shared" si="36"/>
        <v>306.61893266146666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61.637039115197183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61.637039115197183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369.00000000000023</v>
      </c>
      <c r="BE65" s="13">
        <f>BD65*VLOOKUP('Données projet'!$B$11,Paramètres!$A$1:$I$89,3,0)*VLOOKUP('Données projet'!$B$11,Paramètres!$A$1:$I$89,5,0)</f>
        <v>333.87120000000021</v>
      </c>
      <c r="BF65" s="13">
        <f t="shared" si="37"/>
        <v>78.23236011137638</v>
      </c>
      <c r="BG65" s="20">
        <f t="shared" si="7"/>
        <v>717.74703386064755</v>
      </c>
      <c r="BH65" s="59">
        <f t="shared" si="8"/>
        <v>1011.0803671939809</v>
      </c>
      <c r="BI65" s="59">
        <f ca="1">AVERAGE(OFFSET($BH$3,0,0,'Données projet'!$E$11+1,1))-AVERAGE(OFFSET($H$3,0,0,'Données projet'!$E$11+1,1))</f>
        <v>436.23918637269577</v>
      </c>
      <c r="BJ65" s="59">
        <f t="shared" si="38"/>
        <v>611.43967996341894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5.6091419121709416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5.6091419121709416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224.00000000000006</v>
      </c>
      <c r="BZ65" s="13">
        <f>BY65*VLOOKUP('Données projet'!$B$12,Paramètres!$A$1:$I$89,3,0)*VLOOKUP('Données projet'!$B$12,Paramètres!$A$1:$I$89,5,0)</f>
        <v>195.68640000000008</v>
      </c>
      <c r="CA65" s="13">
        <f t="shared" si="39"/>
        <v>48.794969360985156</v>
      </c>
      <c r="CB65" s="20">
        <f t="shared" si="10"/>
        <v>425.8050516370493</v>
      </c>
      <c r="CC65" s="59">
        <f t="shared" si="11"/>
        <v>719.13838497038262</v>
      </c>
      <c r="CD65" s="59">
        <f ca="1">AVERAGE(OFFSET($CC$3,0,0,'Données projet'!$E$12+1,1))-AVERAGE(OFFSET($H$3,0,0,'Données projet'!$E$12+1,1))</f>
        <v>304.32767345253382</v>
      </c>
      <c r="CE65" s="59">
        <f t="shared" si="40"/>
        <v>427.16091343339173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60.573052281219141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60.573052281219141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10</v>
      </c>
      <c r="CT65" s="12">
        <f>IF('Données projet'!$A$140&gt;35,CT64+CS65-DB64,IF(A65&lt;'Données projet'!$A$140,$CQ$205^A65,IF(A65='Données projet'!$A$140,'Données projet'!$B$140,CT64+CS65-DB64)))</f>
        <v>738.99999999999966</v>
      </c>
      <c r="CU65" s="17">
        <f>CT65*VLOOKUP('Données projet'!$B$13,Paramètres!$A$1:$I$89,3,0)*VLOOKUP('Données projet'!$B$13,Paramètres!$A$1:$I$89,5,0)</f>
        <v>413.10099999999983</v>
      </c>
      <c r="CV65" s="13">
        <f t="shared" si="41"/>
        <v>94.427689670462357</v>
      </c>
      <c r="CW65" s="20">
        <f t="shared" si="13"/>
        <v>883.94580117605494</v>
      </c>
      <c r="CX65" s="59">
        <f t="shared" si="14"/>
        <v>1177.2791345093883</v>
      </c>
      <c r="CY65" s="59">
        <f ca="1">AVERAGE(OFFSET($CX$3,0,0,'Données projet'!$E$13+1,1))-AVERAGE(OFFSET($H$3,0,0,'Données projet'!$E$13+1,1))</f>
        <v>555.15881087162279</v>
      </c>
      <c r="CZ65" s="59">
        <f t="shared" si="42"/>
        <v>668.20427590250733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106.1484823232136</v>
      </c>
      <c r="DG65" s="21">
        <f>EXP(-LN(2)/25)*DG64+(1-EXP(-LN(2)/25))/(LN(2)/25)*Calculateur!DB65*Calculateur!DD65*VLOOKUP('Données projet'!$B$13,Paramètres!$A$1:$I$89,3,0)*0.475*44/12</f>
        <v>23.794225590194142</v>
      </c>
      <c r="DH65" s="21">
        <f>EXP(-LN(2)/2)*DH64+(1-EXP(-LN(2)/2))/(LN(2)/2)*DB65*DE65*VLOOKUP('Données projet'!$B$13,Paramètres!$A$1:$I$89,3,0)*0.475*44/12</f>
        <v>1.2977346294233172E-5</v>
      </c>
      <c r="DI65" s="22">
        <f t="shared" si="15"/>
        <v>129.94272089075403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22.4</v>
      </c>
      <c r="DO65" s="12">
        <f>IF('Données projet'!$A$166&gt;35,DO64+DN65-DW64,IF(A65&lt;'Données projet'!$A$166,$DL$205^A65,IF(A65='Données projet'!$A$166,'Données projet'!$B$166,DO64+DN65-DW64)))</f>
        <v>778.7999999999995</v>
      </c>
      <c r="DP65" s="17">
        <f>DO65*VLOOKUP('Données projet'!$B$14,Paramètres!$A$1:$I$89,3,0)*VLOOKUP('Données projet'!$B$14,Paramètres!$A$1:$I$89,5,0)</f>
        <v>364.47839999999979</v>
      </c>
      <c r="DQ65" s="13">
        <f t="shared" si="43"/>
        <v>84.536694777894141</v>
      </c>
      <c r="DR65" s="20">
        <f t="shared" si="16"/>
        <v>782.0346234048319</v>
      </c>
      <c r="DS65" s="59">
        <f t="shared" si="17"/>
        <v>1075.3679567381653</v>
      </c>
      <c r="DT65" s="59">
        <f ca="1">AVERAGE(OFFSET($DS$3,0,0,'Données projet'!$E$14+1,1))-AVERAGE(OFFSET($H$3,0,0,'Données projet'!$E$14+1,1))</f>
        <v>523.79180230463714</v>
      </c>
      <c r="DU65" s="59">
        <f t="shared" si="44"/>
        <v>459.3547783500515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118.9207958657429</v>
      </c>
      <c r="EB65" s="21">
        <f>EXP(-LN(2)/25)*EB64+(1-EXP(-LN(2)/25))/(LN(2)/25)*Calculateur!DW65*Calculateur!DY65*VLOOKUP('Données projet'!$B$14,Paramètres!$A$1:$I$89,3,0)*0.475*44/12</f>
        <v>22.006647381309939</v>
      </c>
      <c r="EC65" s="21">
        <f>EXP(-LN(2)/2)*EC64+(1-EXP(-LN(2)/2))/(LN(2)/2)*DW65*DZ65*VLOOKUP('Données projet'!$B$14,Paramètres!$A$1:$I$89,3,0)*0.475*44/12</f>
        <v>1.8192147968984502E-5</v>
      </c>
      <c r="ED65" s="22">
        <f t="shared" si="18"/>
        <v>140.92746143920081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6</v>
      </c>
      <c r="EJ65" s="12">
        <f>IF('Données projet'!$A$192&gt;35,EJ64+EI65-ER64,IF(A65&lt;'Données projet'!$A$192,$EG$205^A65,IF(A65='Données projet'!$A$192,'Données projet'!$B$192,EJ64+EI65-ER64)))</f>
        <v>337.99999999999972</v>
      </c>
      <c r="EK65" s="17">
        <f>EJ65*VLOOKUP('Données projet'!$B$15,Paramètres!$A$1:$I$89,3,0)*VLOOKUP('Données projet'!$B$15,Paramètres!$A$1:$I$89,5,0)</f>
        <v>326.91359999999975</v>
      </c>
      <c r="EL65" s="13">
        <f t="shared" si="45"/>
        <v>76.790068178778256</v>
      </c>
      <c r="EM65" s="20">
        <f t="shared" si="19"/>
        <v>703.11722207803825</v>
      </c>
      <c r="EN65" s="59">
        <f t="shared" si="20"/>
        <v>996.45055541137162</v>
      </c>
      <c r="EO65" s="59">
        <f ca="1">AVERAGE(OFFSET($EN$3,0,0,'Données projet'!$E$15+1,1))-AVERAGE(OFFSET($H$3,0,0,'Données projet'!$E$15+1,1))</f>
        <v>484.41278617935654</v>
      </c>
      <c r="EP65" s="59">
        <f t="shared" si="46"/>
        <v>467.97490540700738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54.073983609798631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54.073983609798631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6</v>
      </c>
      <c r="FE65" s="12">
        <f>IF('Données projet'!$A$218&gt;35,FE64+FD65-FM64,IF(A65&lt;'Données projet'!$A$218,$FB$205^A65,IF(A65='Données projet'!$A$218,'Données projet'!$B$218,FE64+FD65-FM64)))</f>
        <v>337.99999999999972</v>
      </c>
      <c r="FF65" s="17">
        <f>FE65*VLOOKUP('Données projet'!$B$16,Paramètres!$A$1:$I$89,3,0)*VLOOKUP('Données projet'!$B$16,Paramètres!$A$1:$I$89,5,0)</f>
        <v>363.8231999999997</v>
      </c>
      <c r="FG65" s="13">
        <f t="shared" si="47"/>
        <v>84.402403276661317</v>
      </c>
      <c r="FH65" s="20">
        <f t="shared" si="22"/>
        <v>780.65959237351797</v>
      </c>
      <c r="FI65" s="59">
        <f t="shared" si="23"/>
        <v>1073.9929257068513</v>
      </c>
      <c r="FJ65" s="59">
        <f ca="1">AVERAGE(OFFSET($FI$3,0,0,'Données projet'!$E$16+1,1))-AVERAGE(OFFSET($H$3,0,0,'Données projet'!$E$16+1,1))</f>
        <v>534.54020133239135</v>
      </c>
      <c r="FK65" s="59">
        <f t="shared" si="48"/>
        <v>515.48696069008815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60.179110791550087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60.179110791550087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6.6</v>
      </c>
      <c r="FZ65" s="12">
        <f>IF('Données projet'!$A$244&gt;35,FZ64+FY65-GH64,IF(A65&lt;'Données projet'!$A$244,$FW$205^A65,IF(A65='Données projet'!$A$244,'Données projet'!$B$244,FZ64+FY65-GH64)))</f>
        <v>244.1999999999999</v>
      </c>
      <c r="GA65" s="17">
        <f>FZ65*VLOOKUP('Données projet'!$B$17,Paramètres!$A$1:$I$89,3,0)*VLOOKUP('Données projet'!$B$17,Paramètres!$A$1:$I$89,5,0)</f>
        <v>232.38071999999991</v>
      </c>
      <c r="GB65" s="13">
        <f t="shared" si="49"/>
        <v>56.79713993535362</v>
      </c>
      <c r="GC65" s="20">
        <f t="shared" si="25"/>
        <v>503.65143938740738</v>
      </c>
      <c r="GD65" s="59">
        <f t="shared" si="26"/>
        <v>796.98477272074069</v>
      </c>
      <c r="GE65" s="59">
        <f ca="1">AVERAGE(OFFSET($GD$3,0,0,'Données projet'!$E$17+1,1))-AVERAGE(OFFSET($H$3,0,0,'Données projet'!$E$17+1,1))</f>
        <v>455.71329051283936</v>
      </c>
      <c r="GF65" s="59">
        <f t="shared" si="50"/>
        <v>479.3743231122258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62.947992262991768</v>
      </c>
      <c r="GM65" s="21">
        <f>EXP(-LN(2)/25)*GM64+(1-EXP(-LN(2)/25))/(LN(2)/25)*Calculateur!GH65*Calculateur!GJ65*VLOOKUP('Données projet'!$B$17,Paramètres!$A$1:$I$89,3,0)*0.475*44/12</f>
        <v>0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62.947992262991768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6</v>
      </c>
      <c r="GU65" s="12">
        <f>IF('Données projet'!$A$270&gt;35,GU64+GT65-HC64,IF(A65&lt;'Données projet'!$A$270,$GR$205^A65,IF(A65='Données projet'!$A$270,'Données projet'!$B$270,GU64+GT65-HC64)))</f>
        <v>337.99999999999972</v>
      </c>
      <c r="GV65" s="17">
        <f>GU65*VLOOKUP('Données projet'!$B$18,Paramètres!$A$1:$I$89,3,0)*VLOOKUP('Données projet'!$B$18,Paramètres!$A$1:$I$89,5,0)</f>
        <v>274.18559999999979</v>
      </c>
      <c r="GW65" s="13">
        <f t="shared" si="51"/>
        <v>65.736762389907383</v>
      </c>
      <c r="GX65" s="20">
        <f t="shared" si="28"/>
        <v>592.03144782908828</v>
      </c>
      <c r="GY65" s="59">
        <f t="shared" si="29"/>
        <v>885.36478116242165</v>
      </c>
      <c r="GZ65" s="59">
        <f ca="1">AVERAGE(OFFSET($GY$3,0,0,'Données projet'!$E$18+1,1))-AVERAGE(OFFSET($H$3,0,0,'Données projet'!$E$18+1,1))</f>
        <v>412.59676769258488</v>
      </c>
      <c r="HA65" s="59">
        <f t="shared" si="52"/>
        <v>399.90063795152133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45.352373350153705</v>
      </c>
      <c r="HH65" s="21">
        <f>EXP(-LN(2)/25)*HH64+(1-EXP(-LN(2)/25))/(LN(2)/25)*Calculateur!HC65*Calculateur!HE65*VLOOKUP('Données projet'!$B$18,Paramètres!$A$1:$I$89,3,0)*0.475*44/12</f>
        <v>0</v>
      </c>
      <c r="HI65" s="21">
        <f>EXP(-LN(2)/2)*HI64+(1-EXP(-LN(2)/2))/(LN(2)/2)*HC65*HF65*VLOOKUP('Données projet'!$B$18,Paramètres!$A$1:$I$89,3,0)*0.475*44/12</f>
        <v>0</v>
      </c>
      <c r="HJ65" s="22">
        <f t="shared" si="30"/>
        <v>45.352373350153705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8.8000000000000007</v>
      </c>
      <c r="N66" s="13">
        <f>IF('Données projet'!$A$36&gt;35,N65+M66-V65,IF(A66&lt;'Données projet'!$A$36,$K$205^A66,IF(A66='Données projet'!$A$36,'Données projet'!$B$36,N65+M66-V65)))</f>
        <v>271.39999999999998</v>
      </c>
      <c r="O66" s="13">
        <f>N66*VLOOKUP('Données projet'!$B$9,Paramètres!$A$1:$I$89,3,0)*VLOOKUP('Données projet'!$B$9,Paramètres!$A$1:$I$89,5,0)</f>
        <v>245.56271999999998</v>
      </c>
      <c r="P66" s="13">
        <f t="shared" si="33"/>
        <v>59.634776048276898</v>
      </c>
      <c r="Q66" s="20">
        <f t="shared" si="53"/>
        <v>531.55230561741564</v>
      </c>
      <c r="R66" s="59">
        <f t="shared" si="0"/>
        <v>824.8856389507489</v>
      </c>
      <c r="S66" s="59">
        <f ca="1">AVERAGE(OFFSET($R$3,0,0,'Données projet'!$E$9+1,1))-AVERAGE(OFFSET($H$3,0,0,'Données projet'!$E$9+1,1))</f>
        <v>439.19854273764042</v>
      </c>
      <c r="T66" s="59">
        <f t="shared" si="34"/>
        <v>278.21741231699929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53.920703286703549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53.920703286703549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8.8000000000000007</v>
      </c>
      <c r="AI66" s="13">
        <f>IF('Données projet'!$A$62&gt;35,AI65+AH66-AQ65,IF(A66&lt;'Données projet'!$A$62,$AF$205^A66,IF(A66='Données projet'!$A$62,'Données projet'!$B$62,AI65+AH66-AQ65)))</f>
        <v>271.39999999999998</v>
      </c>
      <c r="AJ66" s="13">
        <f>AI66*VLOOKUP('Données projet'!$B$10,Paramètres!$A$1:$I$89,3,0)*VLOOKUP('Données projet'!$B$10,Paramètres!$A$1:$I$89,5,0)</f>
        <v>275.19960000000003</v>
      </c>
      <c r="AK66" s="13">
        <f t="shared" si="35"/>
        <v>65.951527620662617</v>
      </c>
      <c r="AL66" s="20">
        <f t="shared" si="4"/>
        <v>594.17154727265404</v>
      </c>
      <c r="AM66" s="59">
        <f t="shared" si="5"/>
        <v>887.50488060598741</v>
      </c>
      <c r="AN66" s="59">
        <f ca="1">AVERAGE(OFFSET($AM$3,0,0,'Données projet'!$E$10+1,1))-AVERAGE(OFFSET($H$3,0,0,'Données projet'!$E$10+1,1))</f>
        <v>487.18832528146936</v>
      </c>
      <c r="AO66" s="59">
        <f t="shared" si="36"/>
        <v>306.61893266146666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60.42837437302984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60.42837437302984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369.00000000000023</v>
      </c>
      <c r="BE66" s="13">
        <f>BD66*VLOOKUP('Données projet'!$B$11,Paramètres!$A$1:$I$89,3,0)*VLOOKUP('Données projet'!$B$11,Paramètres!$A$1:$I$89,5,0)</f>
        <v>333.87120000000021</v>
      </c>
      <c r="BF66" s="13">
        <f t="shared" si="37"/>
        <v>78.23236011137638</v>
      </c>
      <c r="BG66" s="20">
        <f t="shared" si="7"/>
        <v>717.74703386064755</v>
      </c>
      <c r="BH66" s="59">
        <f t="shared" si="8"/>
        <v>1011.0803671939809</v>
      </c>
      <c r="BI66" s="59">
        <f ca="1">AVERAGE(OFFSET($BH$3,0,0,'Données projet'!$E$11+1,1))-AVERAGE(OFFSET($H$3,0,0,'Données projet'!$E$11+1,1))</f>
        <v>436.23918637269577</v>
      </c>
      <c r="BJ66" s="59">
        <f t="shared" si="38"/>
        <v>611.43967996341894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5.4991500605120169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5.4991500605120169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224.00000000000006</v>
      </c>
      <c r="BZ66" s="13">
        <f>BY66*VLOOKUP('Données projet'!$B$12,Paramètres!$A$1:$I$89,3,0)*VLOOKUP('Données projet'!$B$12,Paramètres!$A$1:$I$89,5,0)</f>
        <v>195.68640000000008</v>
      </c>
      <c r="CA66" s="13">
        <f t="shared" si="39"/>
        <v>48.794969360985156</v>
      </c>
      <c r="CB66" s="20">
        <f t="shared" si="10"/>
        <v>425.8050516370493</v>
      </c>
      <c r="CC66" s="59">
        <f t="shared" si="11"/>
        <v>719.13838497038262</v>
      </c>
      <c r="CD66" s="59">
        <f ca="1">AVERAGE(OFFSET($CC$3,0,0,'Données projet'!$E$12+1,1))-AVERAGE(OFFSET($H$3,0,0,'Données projet'!$E$12+1,1))</f>
        <v>304.32767345253382</v>
      </c>
      <c r="CE66" s="59">
        <f t="shared" si="40"/>
        <v>427.16091343339173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59.385251671898217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59.385251671898217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10</v>
      </c>
      <c r="CT66" s="12">
        <f>IF('Données projet'!$A$140&gt;35,CT65+CS66-DB65,IF(A66&lt;'Données projet'!$A$140,$CQ$205^A66,IF(A66='Données projet'!$A$140,'Données projet'!$B$140,CT65+CS66-DB65)))</f>
        <v>748.99999999999966</v>
      </c>
      <c r="CU66" s="17">
        <f>CT66*VLOOKUP('Données projet'!$B$13,Paramètres!$A$1:$I$89,3,0)*VLOOKUP('Données projet'!$B$13,Paramètres!$A$1:$I$89,5,0)</f>
        <v>418.6909999999998</v>
      </c>
      <c r="CV66" s="13">
        <f t="shared" si="41"/>
        <v>95.555848328260851</v>
      </c>
      <c r="CW66" s="20">
        <f t="shared" si="13"/>
        <v>895.64659417172061</v>
      </c>
      <c r="CX66" s="59">
        <f t="shared" si="14"/>
        <v>1188.9799275050539</v>
      </c>
      <c r="CY66" s="59">
        <f ca="1">AVERAGE(OFFSET($CX$3,0,0,'Données projet'!$E$13+1,1))-AVERAGE(OFFSET($H$3,0,0,'Données projet'!$E$13+1,1))</f>
        <v>555.15881087162279</v>
      </c>
      <c r="CZ66" s="59">
        <f t="shared" si="42"/>
        <v>668.20427590250733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104.06697532903664</v>
      </c>
      <c r="DG66" s="21">
        <f>EXP(-LN(2)/25)*DG65+(1-EXP(-LN(2)/25))/(LN(2)/25)*Calculateur!DB66*Calculateur!DD66*VLOOKUP('Données projet'!$B$13,Paramètres!$A$1:$I$89,3,0)*0.475*44/12</f>
        <v>23.14357124014634</v>
      </c>
      <c r="DH66" s="21">
        <f>EXP(-LN(2)/2)*DH65+(1-EXP(-LN(2)/2))/(LN(2)/2)*DB66*DE66*VLOOKUP('Données projet'!$B$13,Paramètres!$A$1:$I$89,3,0)*0.475*44/12</f>
        <v>9.1763695664583887E-6</v>
      </c>
      <c r="DI66" s="22">
        <f t="shared" si="15"/>
        <v>127.21055574555255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22.4</v>
      </c>
      <c r="DO66" s="12">
        <f>IF('Données projet'!$A$166&gt;35,DO65+DN66-DW65,IF(A66&lt;'Données projet'!$A$166,$DL$205^A66,IF(A66='Données projet'!$A$166,'Données projet'!$B$166,DO65+DN66-DW65)))</f>
        <v>801.19999999999948</v>
      </c>
      <c r="DP66" s="17">
        <f>DO66*VLOOKUP('Données projet'!$B$14,Paramètres!$A$1:$I$89,3,0)*VLOOKUP('Données projet'!$B$14,Paramètres!$A$1:$I$89,5,0)</f>
        <v>374.96159999999975</v>
      </c>
      <c r="DQ66" s="13">
        <f t="shared" si="43"/>
        <v>86.681575389196297</v>
      </c>
      <c r="DR66" s="20">
        <f t="shared" si="16"/>
        <v>804.02853046951634</v>
      </c>
      <c r="DS66" s="59">
        <f t="shared" si="17"/>
        <v>1097.3618638028497</v>
      </c>
      <c r="DT66" s="59">
        <f ca="1">AVERAGE(OFFSET($DS$3,0,0,'Données projet'!$E$14+1,1))-AVERAGE(OFFSET($H$3,0,0,'Données projet'!$E$14+1,1))</f>
        <v>523.79180230463714</v>
      </c>
      <c r="DU66" s="59">
        <f t="shared" si="44"/>
        <v>459.3547783500515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116.58883159333898</v>
      </c>
      <c r="EB66" s="21">
        <f>EXP(-LN(2)/25)*EB65+(1-EXP(-LN(2)/25))/(LN(2)/25)*Calculateur!DW66*Calculateur!DY66*VLOOKUP('Données projet'!$B$14,Paramètres!$A$1:$I$89,3,0)*0.475*44/12</f>
        <v>21.404874451388729</v>
      </c>
      <c r="EC66" s="21">
        <f>EXP(-LN(2)/2)*EC65+(1-EXP(-LN(2)/2))/(LN(2)/2)*DW66*DZ66*VLOOKUP('Données projet'!$B$14,Paramètres!$A$1:$I$89,3,0)*0.475*44/12</f>
        <v>1.286379119321802E-5</v>
      </c>
      <c r="ED66" s="22">
        <f t="shared" si="18"/>
        <v>137.9937189085189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6</v>
      </c>
      <c r="EJ66" s="12">
        <f>IF('Données projet'!$A$192&gt;35,EJ65+EI66-ER65,IF(A66&lt;'Données projet'!$A$192,$EG$205^A66,IF(A66='Données projet'!$A$192,'Données projet'!$B$192,EJ65+EI66-ER65)))</f>
        <v>343.99999999999972</v>
      </c>
      <c r="EK66" s="17">
        <f>EJ66*VLOOKUP('Données projet'!$B$15,Paramètres!$A$1:$I$89,3,0)*VLOOKUP('Données projet'!$B$15,Paramètres!$A$1:$I$89,5,0)</f>
        <v>332.71679999999975</v>
      </c>
      <c r="EL66" s="13">
        <f t="shared" si="45"/>
        <v>77.993300065843115</v>
      </c>
      <c r="EM66" s="20">
        <f t="shared" si="19"/>
        <v>715.32009094800969</v>
      </c>
      <c r="EN66" s="59">
        <f t="shared" si="20"/>
        <v>1008.653424281343</v>
      </c>
      <c r="EO66" s="59">
        <f ca="1">AVERAGE(OFFSET($EN$3,0,0,'Données projet'!$E$15+1,1))-AVERAGE(OFFSET($H$3,0,0,'Données projet'!$E$15+1,1))</f>
        <v>484.41278617935654</v>
      </c>
      <c r="EP66" s="59">
        <f t="shared" si="46"/>
        <v>467.97490540700738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53.013625773083795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53.013625773083795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6</v>
      </c>
      <c r="FE66" s="12">
        <f>IF('Données projet'!$A$218&gt;35,FE65+FD66-FM65,IF(A66&lt;'Données projet'!$A$218,$FB$205^A66,IF(A66='Données projet'!$A$218,'Données projet'!$B$218,FE65+FD66-FM65)))</f>
        <v>343.99999999999972</v>
      </c>
      <c r="FF66" s="17">
        <f>FE66*VLOOKUP('Données projet'!$B$16,Paramètres!$A$1:$I$89,3,0)*VLOOKUP('Données projet'!$B$16,Paramètres!$A$1:$I$89,5,0)</f>
        <v>370.28159999999968</v>
      </c>
      <c r="FG66" s="13">
        <f t="shared" si="47"/>
        <v>85.72491366603802</v>
      </c>
      <c r="FH66" s="20">
        <f t="shared" si="22"/>
        <v>794.21134463501573</v>
      </c>
      <c r="FI66" s="59">
        <f t="shared" si="23"/>
        <v>1087.5446779683491</v>
      </c>
      <c r="FJ66" s="59">
        <f ca="1">AVERAGE(OFFSET($FI$3,0,0,'Données projet'!$E$16+1,1))-AVERAGE(OFFSET($H$3,0,0,'Données projet'!$E$16+1,1))</f>
        <v>534.54020133239135</v>
      </c>
      <c r="FK66" s="59">
        <f t="shared" si="48"/>
        <v>515.48696069008815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58.999035134560991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58.999035134560991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6.6</v>
      </c>
      <c r="FZ66" s="12">
        <f>IF('Données projet'!$A$244&gt;35,FZ65+FY66-GH65,IF(A66&lt;'Données projet'!$A$244,$FW$205^A66,IF(A66='Données projet'!$A$244,'Données projet'!$B$244,FZ65+FY66-GH65)))</f>
        <v>250.7999999999999</v>
      </c>
      <c r="GA66" s="17">
        <f>FZ66*VLOOKUP('Données projet'!$B$17,Paramètres!$A$1:$I$89,3,0)*VLOOKUP('Données projet'!$B$17,Paramètres!$A$1:$I$89,5,0)</f>
        <v>238.66127999999992</v>
      </c>
      <c r="GB66" s="13">
        <f t="shared" si="49"/>
        <v>58.151404651477137</v>
      </c>
      <c r="GC66" s="20">
        <f t="shared" si="25"/>
        <v>516.94875910132259</v>
      </c>
      <c r="GD66" s="59">
        <f t="shared" si="26"/>
        <v>810.28209243465585</v>
      </c>
      <c r="GE66" s="59">
        <f ca="1">AVERAGE(OFFSET($GD$3,0,0,'Données projet'!$E$17+1,1))-AVERAGE(OFFSET($H$3,0,0,'Données projet'!$E$17+1,1))</f>
        <v>455.71329051283936</v>
      </c>
      <c r="GF66" s="59">
        <f t="shared" si="50"/>
        <v>479.3743231122258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61.713620529198643</v>
      </c>
      <c r="GM66" s="21">
        <f>EXP(-LN(2)/25)*GM65+(1-EXP(-LN(2)/25))/(LN(2)/25)*Calculateur!GH66*Calculateur!GJ66*VLOOKUP('Données projet'!$B$17,Paramètres!$A$1:$I$89,3,0)*0.475*44/12</f>
        <v>0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61.713620529198643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6</v>
      </c>
      <c r="GU66" s="12">
        <f>IF('Données projet'!$A$270&gt;35,GU65+GT66-HC65,IF(A66&lt;'Données projet'!$A$270,$GR$205^A66,IF(A66='Données projet'!$A$270,'Données projet'!$B$270,GU65+GT66-HC65)))</f>
        <v>343.99999999999972</v>
      </c>
      <c r="GV66" s="17">
        <f>GU66*VLOOKUP('Données projet'!$B$18,Paramètres!$A$1:$I$89,3,0)*VLOOKUP('Données projet'!$B$18,Paramètres!$A$1:$I$89,5,0)</f>
        <v>279.05279999999976</v>
      </c>
      <c r="GW66" s="13">
        <f t="shared" si="51"/>
        <v>66.766798832586332</v>
      </c>
      <c r="GX66" s="20">
        <f t="shared" si="28"/>
        <v>602.30246796675408</v>
      </c>
      <c r="GY66" s="59">
        <f t="shared" si="29"/>
        <v>895.63580130008745</v>
      </c>
      <c r="GZ66" s="59">
        <f ca="1">AVERAGE(OFFSET($GY$3,0,0,'Données projet'!$E$18+1,1))-AVERAGE(OFFSET($H$3,0,0,'Données projet'!$E$18+1,1))</f>
        <v>412.59676769258488</v>
      </c>
      <c r="HA66" s="59">
        <f t="shared" si="52"/>
        <v>399.90063795152133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44.463040970973516</v>
      </c>
      <c r="HH66" s="21">
        <f>EXP(-LN(2)/25)*HH65+(1-EXP(-LN(2)/25))/(LN(2)/25)*Calculateur!HC66*Calculateur!HE66*VLOOKUP('Données projet'!$B$18,Paramètres!$A$1:$I$89,3,0)*0.475*44/12</f>
        <v>0</v>
      </c>
      <c r="HI66" s="21">
        <f>EXP(-LN(2)/2)*HI65+(1-EXP(-LN(2)/2))/(LN(2)/2)*HC66*HF66*VLOOKUP('Données projet'!$B$18,Paramètres!$A$1:$I$89,3,0)*0.475*44/12</f>
        <v>0</v>
      </c>
      <c r="HJ66" s="22">
        <f t="shared" si="30"/>
        <v>44.463040970973516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8.8000000000000007</v>
      </c>
      <c r="N67" s="13">
        <f>IF('Données projet'!$A$36&gt;35,N66+M67-V66,IF(A67&lt;'Données projet'!$A$36,$K$205^A67,IF(A67='Données projet'!$A$36,'Données projet'!$B$36,N66+M67-V66)))</f>
        <v>280.2</v>
      </c>
      <c r="O67" s="13">
        <f>N67*VLOOKUP('Données projet'!$B$9,Paramètres!$A$1:$I$89,3,0)*VLOOKUP('Données projet'!$B$9,Paramètres!$A$1:$I$89,5,0)</f>
        <v>253.52495999999999</v>
      </c>
      <c r="P67" s="13">
        <f t="shared" si="33"/>
        <v>61.340141798422209</v>
      </c>
      <c r="Q67" s="20">
        <f t="shared" ref="Q67:Q98" si="54">(O67+P67)*0.475*44/12</f>
        <v>548.39005229891859</v>
      </c>
      <c r="R67" s="59">
        <f t="shared" ref="R67:R130" si="55">Q67+(I67+J67)*44/12</f>
        <v>841.72338563225185</v>
      </c>
      <c r="S67" s="59">
        <f ca="1">AVERAGE(OFFSET($R$3,0,0,'Données projet'!$E$9+1,1))-AVERAGE(OFFSET($H$3,0,0,'Données projet'!$E$9+1,1))</f>
        <v>439.19854273764042</v>
      </c>
      <c r="T67" s="59">
        <f t="shared" si="34"/>
        <v>278.21741231699929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52.863351183632837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52.863351183632837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8.8000000000000007</v>
      </c>
      <c r="AI67" s="13">
        <f>IF('Données projet'!$A$62&gt;35,AI66+AH67-AQ66,IF(A67&lt;'Données projet'!$A$62,$AF$205^A67,IF(A67='Données projet'!$A$62,'Données projet'!$B$62,AI66+AH67-AQ66)))</f>
        <v>280.2</v>
      </c>
      <c r="AJ67" s="13">
        <f>AI67*VLOOKUP('Données projet'!$B$10,Paramètres!$A$1:$I$89,3,0)*VLOOKUP('Données projet'!$B$10,Paramètres!$A$1:$I$89,5,0)</f>
        <v>284.12279999999998</v>
      </c>
      <c r="AK67" s="13">
        <f t="shared" si="35"/>
        <v>67.837532462585557</v>
      </c>
      <c r="AL67" s="20">
        <f t="shared" si="4"/>
        <v>612.99757903900309</v>
      </c>
      <c r="AM67" s="59">
        <f t="shared" si="5"/>
        <v>906.33091237233634</v>
      </c>
      <c r="AN67" s="59">
        <f ca="1">AVERAGE(OFFSET($AM$3,0,0,'Données projet'!$E$10+1,1))-AVERAGE(OFFSET($H$3,0,0,'Données projet'!$E$10+1,1))</f>
        <v>487.18832528146936</v>
      </c>
      <c r="AO67" s="59">
        <f t="shared" si="36"/>
        <v>306.61893266146666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59.243410809243699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59.243410809243699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369.00000000000023</v>
      </c>
      <c r="BE67" s="13">
        <f>BD67*VLOOKUP('Données projet'!$B$11,Paramètres!$A$1:$I$89,3,0)*VLOOKUP('Données projet'!$B$11,Paramètres!$A$1:$I$89,5,0)</f>
        <v>333.87120000000021</v>
      </c>
      <c r="BF67" s="13">
        <f t="shared" si="37"/>
        <v>78.23236011137638</v>
      </c>
      <c r="BG67" s="20">
        <f t="shared" si="7"/>
        <v>717.74703386064755</v>
      </c>
      <c r="BH67" s="59">
        <f t="shared" si="8"/>
        <v>1011.0803671939809</v>
      </c>
      <c r="BI67" s="59">
        <f ca="1">AVERAGE(OFFSET($BH$3,0,0,'Données projet'!$E$11+1,1))-AVERAGE(OFFSET($H$3,0,0,'Données projet'!$E$11+1,1))</f>
        <v>436.23918637269577</v>
      </c>
      <c r="BJ67" s="59">
        <f t="shared" si="38"/>
        <v>611.43967996341894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5.3913150819757183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5.3913150819757183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224.00000000000006</v>
      </c>
      <c r="BZ67" s="13">
        <f>BY67*VLOOKUP('Données projet'!$B$12,Paramètres!$A$1:$I$89,3,0)*VLOOKUP('Données projet'!$B$12,Paramètres!$A$1:$I$89,5,0)</f>
        <v>195.68640000000008</v>
      </c>
      <c r="CA67" s="13">
        <f t="shared" si="39"/>
        <v>48.794969360985156</v>
      </c>
      <c r="CB67" s="20">
        <f t="shared" si="10"/>
        <v>425.8050516370493</v>
      </c>
      <c r="CC67" s="59">
        <f t="shared" si="11"/>
        <v>719.13838497038262</v>
      </c>
      <c r="CD67" s="59">
        <f ca="1">AVERAGE(OFFSET($CC$3,0,0,'Données projet'!$E$12+1,1))-AVERAGE(OFFSET($H$3,0,0,'Données projet'!$E$12+1,1))</f>
        <v>304.32767345253382</v>
      </c>
      <c r="CE67" s="59">
        <f t="shared" si="40"/>
        <v>427.16091343339173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58.220743108039244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58.220743108039244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10</v>
      </c>
      <c r="CT67" s="12">
        <f>IF('Données projet'!$A$140&gt;35,CT66+CS67-DB66,IF(A67&lt;'Données projet'!$A$140,$CQ$205^A67,IF(A67='Données projet'!$A$140,'Données projet'!$B$140,CT66+CS67-DB66)))</f>
        <v>758.99999999999966</v>
      </c>
      <c r="CU67" s="17">
        <f>CT67*VLOOKUP('Données projet'!$B$13,Paramètres!$A$1:$I$89,3,0)*VLOOKUP('Données projet'!$B$13,Paramètres!$A$1:$I$89,5,0)</f>
        <v>424.28099999999978</v>
      </c>
      <c r="CV67" s="13">
        <f t="shared" si="41"/>
        <v>96.682255052757768</v>
      </c>
      <c r="CW67" s="20">
        <f t="shared" si="13"/>
        <v>907.34433588355262</v>
      </c>
      <c r="CX67" s="59">
        <f t="shared" si="14"/>
        <v>1200.677669216886</v>
      </c>
      <c r="CY67" s="59">
        <f ca="1">AVERAGE(OFFSET($CX$3,0,0,'Données projet'!$E$13+1,1))-AVERAGE(OFFSET($H$3,0,0,'Données projet'!$E$13+1,1))</f>
        <v>555.15881087162279</v>
      </c>
      <c r="CZ67" s="59">
        <f t="shared" si="42"/>
        <v>668.20427590250733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102.02628541742159</v>
      </c>
      <c r="DG67" s="21">
        <f>EXP(-LN(2)/25)*DG66+(1-EXP(-LN(2)/25))/(LN(2)/25)*Calculateur!DB67*Calculateur!DD67*VLOOKUP('Données projet'!$B$13,Paramètres!$A$1:$I$89,3,0)*0.475*44/12</f>
        <v>22.510709067517023</v>
      </c>
      <c r="DH67" s="21">
        <f>EXP(-LN(2)/2)*DH66+(1-EXP(-LN(2)/2))/(LN(2)/2)*DB67*DE67*VLOOKUP('Données projet'!$B$13,Paramètres!$A$1:$I$89,3,0)*0.475*44/12</f>
        <v>6.488673147116586E-6</v>
      </c>
      <c r="DI67" s="22">
        <f t="shared" si="15"/>
        <v>124.53700097361177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22.4</v>
      </c>
      <c r="DO67" s="12">
        <f>IF('Données projet'!$A$166&gt;35,DO66+DN67-DW66,IF(A67&lt;'Données projet'!$A$166,$DL$205^A67,IF(A67='Données projet'!$A$166,'Données projet'!$B$166,DO66+DN67-DW66)))</f>
        <v>823.59999999999945</v>
      </c>
      <c r="DP67" s="17">
        <f>DO67*VLOOKUP('Données projet'!$B$14,Paramètres!$A$1:$I$89,3,0)*VLOOKUP('Données projet'!$B$14,Paramètres!$A$1:$I$89,5,0)</f>
        <v>385.44479999999976</v>
      </c>
      <c r="DQ67" s="13">
        <f t="shared" si="43"/>
        <v>88.819486261810454</v>
      </c>
      <c r="DR67" s="20">
        <f t="shared" si="16"/>
        <v>826.01029857265269</v>
      </c>
      <c r="DS67" s="59">
        <f t="shared" si="17"/>
        <v>1119.3436319059861</v>
      </c>
      <c r="DT67" s="59">
        <f ca="1">AVERAGE(OFFSET($DS$3,0,0,'Données projet'!$E$14+1,1))-AVERAGE(OFFSET($H$3,0,0,'Données projet'!$E$14+1,1))</f>
        <v>523.79180230463714</v>
      </c>
      <c r="DU67" s="59">
        <f t="shared" si="44"/>
        <v>459.3547783500515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114.30259571795914</v>
      </c>
      <c r="EB67" s="21">
        <f>EXP(-LN(2)/25)*EB66+(1-EXP(-LN(2)/25))/(LN(2)/25)*Calculateur!DW67*Calculateur!DY67*VLOOKUP('Données projet'!$B$14,Paramètres!$A$1:$I$89,3,0)*0.475*44/12</f>
        <v>20.819557033882077</v>
      </c>
      <c r="EC67" s="21">
        <f>EXP(-LN(2)/2)*EC66+(1-EXP(-LN(2)/2))/(LN(2)/2)*DW67*DZ67*VLOOKUP('Données projet'!$B$14,Paramètres!$A$1:$I$89,3,0)*0.475*44/12</f>
        <v>9.0960739844922512E-6</v>
      </c>
      <c r="ED67" s="22">
        <f t="shared" si="18"/>
        <v>135.12216184791521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6</v>
      </c>
      <c r="EJ67" s="12">
        <f>IF('Données projet'!$A$192&gt;35,EJ66+EI67-ER66,IF(A67&lt;'Données projet'!$A$192,$EG$205^A67,IF(A67='Données projet'!$A$192,'Données projet'!$B$192,EJ66+EI67-ER66)))</f>
        <v>349.99999999999972</v>
      </c>
      <c r="EK67" s="17">
        <f>EJ67*VLOOKUP('Données projet'!$B$15,Paramètres!$A$1:$I$89,3,0)*VLOOKUP('Données projet'!$B$15,Paramètres!$A$1:$I$89,5,0)</f>
        <v>338.51999999999975</v>
      </c>
      <c r="EL67" s="13">
        <f t="shared" si="45"/>
        <v>79.194091459626705</v>
      </c>
      <c r="EM67" s="20">
        <f t="shared" si="19"/>
        <v>727.51870929218273</v>
      </c>
      <c r="EN67" s="59">
        <f t="shared" si="20"/>
        <v>1020.8520426255161</v>
      </c>
      <c r="EO67" s="59">
        <f ca="1">AVERAGE(OFFSET($EN$3,0,0,'Données projet'!$E$15+1,1))-AVERAGE(OFFSET($H$3,0,0,'Données projet'!$E$15+1,1))</f>
        <v>484.41278617935654</v>
      </c>
      <c r="EP67" s="59">
        <f t="shared" si="46"/>
        <v>467.97490540700738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51.974060906792516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51.974060906792516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6</v>
      </c>
      <c r="FE67" s="12">
        <f>IF('Données projet'!$A$218&gt;35,FE66+FD67-FM66,IF(A67&lt;'Données projet'!$A$218,$FB$205^A67,IF(A67='Données projet'!$A$218,'Données projet'!$B$218,FE66+FD67-FM66)))</f>
        <v>349.99999999999972</v>
      </c>
      <c r="FF67" s="17">
        <f>FE67*VLOOKUP('Données projet'!$B$16,Paramètres!$A$1:$I$89,3,0)*VLOOKUP('Données projet'!$B$16,Paramètres!$A$1:$I$89,5,0)</f>
        <v>376.73999999999967</v>
      </c>
      <c r="FG67" s="13">
        <f t="shared" si="47"/>
        <v>87.044741631723767</v>
      </c>
      <c r="FH67" s="20">
        <f t="shared" si="22"/>
        <v>807.75842500858482</v>
      </c>
      <c r="FI67" s="59">
        <f t="shared" si="23"/>
        <v>1101.0917583419182</v>
      </c>
      <c r="FJ67" s="59">
        <f ca="1">AVERAGE(OFFSET($FI$3,0,0,'Données projet'!$E$16+1,1))-AVERAGE(OFFSET($H$3,0,0,'Données projet'!$E$16+1,1))</f>
        <v>534.54020133239135</v>
      </c>
      <c r="FK67" s="59">
        <f t="shared" si="48"/>
        <v>515.48696069008815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57.842100041430371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57.842100041430371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6.6</v>
      </c>
      <c r="FZ67" s="12">
        <f>IF('Données projet'!$A$244&gt;35,FZ66+FY67-GH66,IF(A67&lt;'Données projet'!$A$244,$FW$205^A67,IF(A67='Données projet'!$A$244,'Données projet'!$B$244,FZ66+FY67-GH66)))</f>
        <v>257.39999999999992</v>
      </c>
      <c r="GA67" s="17">
        <f>FZ67*VLOOKUP('Données projet'!$B$17,Paramètres!$A$1:$I$89,3,0)*VLOOKUP('Données projet'!$B$17,Paramètres!$A$1:$I$89,5,0)</f>
        <v>244.94183999999993</v>
      </c>
      <c r="GB67" s="13">
        <f t="shared" si="49"/>
        <v>59.501526882688026</v>
      </c>
      <c r="GC67" s="20">
        <f t="shared" si="25"/>
        <v>530.23886398734817</v>
      </c>
      <c r="GD67" s="59">
        <f t="shared" si="26"/>
        <v>823.57219732068143</v>
      </c>
      <c r="GE67" s="59">
        <f ca="1">AVERAGE(OFFSET($GD$3,0,0,'Données projet'!$E$17+1,1))-AVERAGE(OFFSET($H$3,0,0,'Données projet'!$E$17+1,1))</f>
        <v>455.71329051283936</v>
      </c>
      <c r="GF67" s="59">
        <f t="shared" si="50"/>
        <v>479.3743231122258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60.503454072212783</v>
      </c>
      <c r="GM67" s="21">
        <f>EXP(-LN(2)/25)*GM66+(1-EXP(-LN(2)/25))/(LN(2)/25)*Calculateur!GH67*Calculateur!GJ67*VLOOKUP('Données projet'!$B$17,Paramètres!$A$1:$I$89,3,0)*0.475*44/12</f>
        <v>0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60.503454072212783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6</v>
      </c>
      <c r="GU67" s="12">
        <f>IF('Données projet'!$A$270&gt;35,GU66+GT67-HC66,IF(A67&lt;'Données projet'!$A$270,$GR$205^A67,IF(A67='Données projet'!$A$270,'Données projet'!$B$270,GU66+GT67-HC66)))</f>
        <v>349.99999999999972</v>
      </c>
      <c r="GV67" s="17">
        <f>GU67*VLOOKUP('Données projet'!$B$18,Paramètres!$A$1:$I$89,3,0)*VLOOKUP('Données projet'!$B$18,Paramètres!$A$1:$I$89,5,0)</f>
        <v>283.91999999999979</v>
      </c>
      <c r="GW67" s="13">
        <f t="shared" si="51"/>
        <v>67.794746071143578</v>
      </c>
      <c r="GX67" s="20">
        <f t="shared" si="28"/>
        <v>612.56984940724135</v>
      </c>
      <c r="GY67" s="59">
        <f t="shared" si="29"/>
        <v>905.90318274057472</v>
      </c>
      <c r="GZ67" s="59">
        <f ca="1">AVERAGE(OFFSET($GY$3,0,0,'Données projet'!$E$18+1,1))-AVERAGE(OFFSET($H$3,0,0,'Données projet'!$E$18+1,1))</f>
        <v>412.59676769258488</v>
      </c>
      <c r="HA67" s="59">
        <f t="shared" si="52"/>
        <v>399.90063795152133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43.591147857309863</v>
      </c>
      <c r="HH67" s="21">
        <f>EXP(-LN(2)/25)*HH66+(1-EXP(-LN(2)/25))/(LN(2)/25)*Calculateur!HC67*Calculateur!HE67*VLOOKUP('Données projet'!$B$18,Paramètres!$A$1:$I$89,3,0)*0.475*44/12</f>
        <v>0</v>
      </c>
      <c r="HI67" s="21">
        <f>EXP(-LN(2)/2)*HI66+(1-EXP(-LN(2)/2))/(LN(2)/2)*HC67*HF67*VLOOKUP('Données projet'!$B$18,Paramètres!$A$1:$I$89,3,0)*0.475*44/12</f>
        <v>0</v>
      </c>
      <c r="HJ67" s="22">
        <f t="shared" si="30"/>
        <v>43.591147857309863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289</v>
      </c>
      <c r="L68" s="12">
        <f>VLOOKUP(A68,'Données projet'!$A$35:$I$55,9,0)</f>
        <v>8.8000000000000007</v>
      </c>
      <c r="M68" s="12">
        <f t="array" ref="M68">INDEX(L:L,MIN(IF(ISNUMBER(L68:L264),ROW(L68:L264),"")))</f>
        <v>8.8000000000000007</v>
      </c>
      <c r="N68" s="13">
        <f>IF('Données projet'!$A$36&gt;35,N67+M68-V67,IF(A68&lt;'Données projet'!$A$36,$K$205^A68,IF(A68='Données projet'!$A$36,'Données projet'!$B$36,N67+M68-V67)))</f>
        <v>289</v>
      </c>
      <c r="O68" s="13">
        <f>N68*VLOOKUP('Données projet'!$B$9,Paramètres!$A$1:$I$89,3,0)*VLOOKUP('Données projet'!$B$9,Paramètres!$A$1:$I$89,5,0)</f>
        <v>261.48719999999997</v>
      </c>
      <c r="P68" s="13">
        <f t="shared" si="33"/>
        <v>63.039283586802391</v>
      </c>
      <c r="Q68" s="20">
        <f t="shared" si="54"/>
        <v>565.21695891368086</v>
      </c>
      <c r="R68" s="59">
        <f t="shared" si="55"/>
        <v>858.55029224701411</v>
      </c>
      <c r="S68" s="59">
        <f ca="1">AVERAGE(OFFSET($R$3,0,0,'Données projet'!$E$9+1,1))-AVERAGE(OFFSET($H$3,0,0,'Données projet'!$E$9+1,1))</f>
        <v>439.19854273764042</v>
      </c>
      <c r="T68" s="59">
        <f t="shared" si="34"/>
        <v>278.21741231699929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28</v>
      </c>
      <c r="W68" s="16">
        <f>IF(ISNA(VLOOKUP(A68,'Données projet'!$A$35:$I$55,5,0)),0%,VLOOKUP(A68,'Données projet'!$A$35:$I$55,5,0)*VLOOKUP('Données projet'!$B$9,Paramètres!$A$1:$I$89,7,0))</f>
        <v>0.43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63.869497487175259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63.869497487175259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289</v>
      </c>
      <c r="AG68" s="12">
        <f>VLOOKUP(A68,'Données projet'!$A$61:$I$81,9,0)</f>
        <v>8.8000000000000007</v>
      </c>
      <c r="AH68" s="12">
        <f t="array" ref="AH68">INDEX(AG:AG,MIN(IF(ISNUMBER(AG68:AG264),ROW(AG68:AG264),"")))</f>
        <v>8.8000000000000007</v>
      </c>
      <c r="AI68" s="13">
        <f>IF('Données projet'!$A$62&gt;35,AI67+AH68-AQ67,IF(A68&lt;'Données projet'!$A$62,$AF$205^A68,IF(A68='Données projet'!$A$62,'Données projet'!$B$62,AI67+AH68-AQ67)))</f>
        <v>289</v>
      </c>
      <c r="AJ68" s="13">
        <f>AI68*VLOOKUP('Données projet'!$B$10,Paramètres!$A$1:$I$89,3,0)*VLOOKUP('Données projet'!$B$10,Paramètres!$A$1:$I$89,5,0)</f>
        <v>293.04599999999999</v>
      </c>
      <c r="AK68" s="13">
        <f t="shared" si="35"/>
        <v>69.716654076072615</v>
      </c>
      <c r="AL68" s="20">
        <f t="shared" ref="AL68:AL131" si="58">(AJ68+AK68)*0.475*44/12</f>
        <v>631.81162251582646</v>
      </c>
      <c r="AM68" s="59">
        <f t="shared" ref="AM68:AM131" si="59">AL68+(AD68+AE68)*44/12</f>
        <v>925.14495584915971</v>
      </c>
      <c r="AN68" s="59">
        <f ca="1">AVERAGE(OFFSET($AM$3,0,0,'Données projet'!$E$10+1,1))-AVERAGE(OFFSET($H$3,0,0,'Données projet'!$E$10+1,1))</f>
        <v>487.18832528146936</v>
      </c>
      <c r="AO68" s="59">
        <f t="shared" si="36"/>
        <v>306.61893266146666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28</v>
      </c>
      <c r="AR68" s="16">
        <f>IF(ISNA(VLOOKUP(A68,'Données projet'!$A$61:$I$81,5,0)),0%,VLOOKUP(A68,'Données projet'!$A$61:$I$81,5,0)*VLOOKUP('Données projet'!$B$10,Paramètres!$A$1:$I$89,7,0))</f>
        <v>0.43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71.577885114937786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71.577885114937786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369.00000000000023</v>
      </c>
      <c r="BE68" s="13">
        <f>BD68*VLOOKUP('Données projet'!$B$11,Paramètres!$A$1:$I$89,3,0)*VLOOKUP('Données projet'!$B$11,Paramètres!$A$1:$I$89,5,0)</f>
        <v>333.87120000000021</v>
      </c>
      <c r="BF68" s="13">
        <f t="shared" si="37"/>
        <v>78.23236011137638</v>
      </c>
      <c r="BG68" s="20">
        <f t="shared" ref="BG68:BG131" si="61">(BE68+BF68)*0.475*44/12</f>
        <v>717.74703386064755</v>
      </c>
      <c r="BH68" s="59">
        <f t="shared" ref="BH68:BH131" si="62">BG68+(AY68+AZ68)*44/12</f>
        <v>1011.0803671939809</v>
      </c>
      <c r="BI68" s="59">
        <f ca="1">AVERAGE(OFFSET($BH$3,0,0,'Données projet'!$E$11+1,1))-AVERAGE(OFFSET($H$3,0,0,'Données projet'!$E$11+1,1))</f>
        <v>436.23918637269577</v>
      </c>
      <c r="BJ68" s="59">
        <f t="shared" si="38"/>
        <v>611.43967996341894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5.2855946815956738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5.2855946815956738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224.00000000000006</v>
      </c>
      <c r="BZ68" s="13">
        <f>BY68*VLOOKUP('Données projet'!$B$12,Paramètres!$A$1:$I$89,3,0)*VLOOKUP('Données projet'!$B$12,Paramètres!$A$1:$I$89,5,0)</f>
        <v>195.68640000000008</v>
      </c>
      <c r="CA68" s="13">
        <f t="shared" si="39"/>
        <v>48.794969360985156</v>
      </c>
      <c r="CB68" s="20">
        <f t="shared" ref="CB68:CB131" si="64">(BZ68+CA68)*0.475*44/12</f>
        <v>425.8050516370493</v>
      </c>
      <c r="CC68" s="59">
        <f t="shared" ref="CC68:CC131" si="65">CB68+(BT68+BU68)*44/12</f>
        <v>719.13838497038262</v>
      </c>
      <c r="CD68" s="59">
        <f ca="1">AVERAGE(OFFSET($CC$3,0,0,'Données projet'!$E$12+1,1))-AVERAGE(OFFSET($H$3,0,0,'Données projet'!$E$12+1,1))</f>
        <v>304.32767345253382</v>
      </c>
      <c r="CE68" s="59">
        <f t="shared" si="40"/>
        <v>427.16091343339173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57.079069846837456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57.079069846837456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769</v>
      </c>
      <c r="CR68" s="12">
        <f>VLOOKUP(A68,'Données projet'!$A$139:$I$159,9,0)</f>
        <v>10</v>
      </c>
      <c r="CS68" s="12">
        <f t="array" ref="CS68">INDEX(CR:CR,MIN(IF(ISNUMBER(CR68:CR264),ROW(CR68:CR264),"")))</f>
        <v>10</v>
      </c>
      <c r="CT68" s="12">
        <f>IF('Données projet'!$A$140&gt;35,CT67+CS68-DB67,IF(A68&lt;'Données projet'!$A$140,$CQ$205^A68,IF(A68='Données projet'!$A$140,'Données projet'!$B$140,CT67+CS68-DB67)))</f>
        <v>768.99999999999966</v>
      </c>
      <c r="CU68" s="17">
        <f>CT68*VLOOKUP('Données projet'!$B$13,Paramètres!$A$1:$I$89,3,0)*VLOOKUP('Données projet'!$B$13,Paramètres!$A$1:$I$89,5,0)</f>
        <v>429.87099999999981</v>
      </c>
      <c r="CV68" s="13">
        <f t="shared" si="41"/>
        <v>97.806935594587088</v>
      </c>
      <c r="CW68" s="20">
        <f t="shared" ref="CW68:CW131" si="67">(CU68+CV68)*0.475*44/12</f>
        <v>919.03907116057201</v>
      </c>
      <c r="CX68" s="59">
        <f t="shared" ref="CX68:CX131" si="68">CW68+(CO68+CP68)*44/12</f>
        <v>1212.3724044939054</v>
      </c>
      <c r="CY68" s="59">
        <f ca="1">AVERAGE(OFFSET($CX$3,0,0,'Données projet'!$E$13+1,1))-AVERAGE(OFFSET($H$3,0,0,'Données projet'!$E$13+1,1))</f>
        <v>555.15881087162279</v>
      </c>
      <c r="CZ68" s="59">
        <f t="shared" si="42"/>
        <v>668.20427590250733</v>
      </c>
      <c r="DA68" s="15">
        <f>IF(ISNA(VLOOKUP(A68,'Données projet'!$A$139:$I$159,3,0)),0,VLOOKUP(A68,'Données projet'!$A$139:$I$159,3,0))</f>
        <v>10</v>
      </c>
      <c r="DB68" s="15">
        <f>IF(ISNA(VLOOKUP(A68,'Données projet'!$A$139:$I$159,4,0)),0,VLOOKUP(A68,'Données projet'!$A$139:$I$159,4,0))</f>
        <v>29</v>
      </c>
      <c r="DC68" s="16">
        <f>IF(ISNA(VLOOKUP(A68,'Données projet'!$A$139:$I$159,5,0)),0%,VLOOKUP(A68,'Données projet'!$A$139:$I$159,5,0)*VLOOKUP('Données projet'!$B$13,Paramètres!$A$1:$I$89,7,0))</f>
        <v>0.55000000000000004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111.85332720319708</v>
      </c>
      <c r="DG68" s="21">
        <f>EXP(-LN(2)/25)*DG67+(1-EXP(-LN(2)/25))/(LN(2)/25)*Calculateur!DB68*Calculateur!DD68*VLOOKUP('Données projet'!$B$13,Paramètres!$A$1:$I$89,3,0)*0.475*44/12</f>
        <v>21.895152544279028</v>
      </c>
      <c r="DH68" s="21">
        <f>EXP(-LN(2)/2)*DH67+(1-EXP(-LN(2)/2))/(LN(2)/2)*DB68*DE68*VLOOKUP('Données projet'!$B$13,Paramètres!$A$1:$I$89,3,0)*0.475*44/12</f>
        <v>4.5881847832291943E-6</v>
      </c>
      <c r="DI68" s="22">
        <f t="shared" ref="DI68:DI131" si="69">SUM(DF68:DH68)</f>
        <v>133.74848433566089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846</v>
      </c>
      <c r="DM68" s="12">
        <f>VLOOKUP(A68,'Données projet'!$A$165:$I$185,9,0)</f>
        <v>22.4</v>
      </c>
      <c r="DN68" s="12">
        <f t="array" ref="DN68">INDEX(DM:DM,MIN(IF(ISNUMBER(DM68:DM264),ROW(DM68:DM264),"")))</f>
        <v>22.4</v>
      </c>
      <c r="DO68" s="12">
        <f>IF('Données projet'!$A$166&gt;35,DO67+DN68-DW67,IF(A68&lt;'Données projet'!$A$166,$DL$205^A68,IF(A68='Données projet'!$A$166,'Données projet'!$B$166,DO67+DN68-DW67)))</f>
        <v>845.99999999999943</v>
      </c>
      <c r="DP68" s="17">
        <f>DO68*VLOOKUP('Données projet'!$B$14,Paramètres!$A$1:$I$89,3,0)*VLOOKUP('Données projet'!$B$14,Paramètres!$A$1:$I$89,5,0)</f>
        <v>395.92799999999971</v>
      </c>
      <c r="DQ68" s="13">
        <f t="shared" si="43"/>
        <v>90.950638739376544</v>
      </c>
      <c r="DR68" s="20">
        <f t="shared" ref="DR68:DR131" si="70">(DP68+DQ68)*0.475*44/12</f>
        <v>847.98029580441369</v>
      </c>
      <c r="DS68" s="59">
        <f t="shared" ref="DS68:DS131" si="71">DR68+(DJ68+DK68)*44/12</f>
        <v>1141.3136291377471</v>
      </c>
      <c r="DT68" s="59">
        <f ca="1">AVERAGE(OFFSET($DS$3,0,0,'Données projet'!$E$14+1,1))-AVERAGE(OFFSET($H$3,0,0,'Données projet'!$E$14+1,1))</f>
        <v>523.79180230463714</v>
      </c>
      <c r="DU68" s="59">
        <f t="shared" si="44"/>
        <v>459.3547783500515</v>
      </c>
      <c r="DV68" s="15">
        <f>IF(ISNA(VLOOKUP(A68,'Données projet'!$A$165:$I$185,3,0)),0,VLOOKUP(A68,'Données projet'!$A$165:$I$185,3,0))</f>
        <v>10</v>
      </c>
      <c r="DW68" s="15">
        <f>IF(ISNA(VLOOKUP(A68,'Données projet'!$A$165:$I$185,4,0)),0,VLOOKUP(A68,'Données projet'!$A$165:$I$185,4,0))</f>
        <v>60</v>
      </c>
      <c r="DX68" s="16">
        <f>IF(ISNA(VLOOKUP(A68,'Données projet'!$A$165:$I$185,5,0)),0%,VLOOKUP(A68,'Données projet'!$A$165:$I$185,5,0)*VLOOKUP('Données projet'!$B$14,Paramètres!$A$1:$I$89,7,0))</f>
        <v>0.55000000000000004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132.54865298343756</v>
      </c>
      <c r="EB68" s="21">
        <f>EXP(-LN(2)/25)*EB67+(1-EXP(-LN(2)/25))/(LN(2)/25)*Calculateur!DW68*Calculateur!DY68*VLOOKUP('Données projet'!$B$14,Paramètres!$A$1:$I$89,3,0)*0.475*44/12</f>
        <v>20.250245151937651</v>
      </c>
      <c r="EC68" s="21">
        <f>EXP(-LN(2)/2)*EC67+(1-EXP(-LN(2)/2))/(LN(2)/2)*DW68*DZ68*VLOOKUP('Données projet'!$B$14,Paramètres!$A$1:$I$89,3,0)*0.475*44/12</f>
        <v>6.4318955966090098E-6</v>
      </c>
      <c r="ED68" s="22">
        <f t="shared" ref="ED68:ED131" si="72">SUM(EA68:EC68)</f>
        <v>152.79890456727082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356</v>
      </c>
      <c r="EH68" s="12">
        <f>VLOOKUP(A68,'Données projet'!$A$191:$I$211,9,0)</f>
        <v>6</v>
      </c>
      <c r="EI68" s="12">
        <f t="array" ref="EI68">INDEX(EH:EH,MIN(IF(ISNUMBER(EH68:EH264),ROW(EH68:EH264),"")))</f>
        <v>6</v>
      </c>
      <c r="EJ68" s="12">
        <f>IF('Données projet'!$A$192&gt;35,EJ67+EI68-ER67,IF(A68&lt;'Données projet'!$A$192,$EG$205^A68,IF(A68='Données projet'!$A$192,'Données projet'!$B$192,EJ67+EI68-ER67)))</f>
        <v>355.99999999999972</v>
      </c>
      <c r="EK68" s="17">
        <f>EJ68*VLOOKUP('Données projet'!$B$15,Paramètres!$A$1:$I$89,3,0)*VLOOKUP('Données projet'!$B$15,Paramètres!$A$1:$I$89,5,0)</f>
        <v>344.32319999999976</v>
      </c>
      <c r="EL68" s="13">
        <f t="shared" si="45"/>
        <v>80.39248902502446</v>
      </c>
      <c r="EM68" s="20">
        <f t="shared" ref="EM68:EM131" si="73">(EK68+EL68)*0.475*44/12</f>
        <v>739.71315838525049</v>
      </c>
      <c r="EN68" s="59">
        <f t="shared" ref="EN68:EN131" si="74">EM68+(EE68+EF68)*44/12</f>
        <v>1033.0464917185839</v>
      </c>
      <c r="EO68" s="59">
        <f ca="1">AVERAGE(OFFSET($EN$3,0,0,'Données projet'!$E$15+1,1))-AVERAGE(OFFSET($H$3,0,0,'Données projet'!$E$15+1,1))</f>
        <v>484.41278617935654</v>
      </c>
      <c r="EP68" s="59">
        <f t="shared" si="46"/>
        <v>467.97490540700738</v>
      </c>
      <c r="EQ68" s="15">
        <f>IF(ISNA(VLOOKUP(A68,'Données projet'!$A$191:$I$211,3,0)),0,VLOOKUP(A68,'Données projet'!$A$191:$I$211,3,0))</f>
        <v>12</v>
      </c>
      <c r="ER68" s="15">
        <f>IF(ISNA(VLOOKUP(A68,'Données projet'!$A$191:$I$211,4,0)),0,VLOOKUP(A68,'Données projet'!$A$191:$I$211,4,0))</f>
        <v>16</v>
      </c>
      <c r="ES68" s="16">
        <f>IF(ISNA(VLOOKUP(A68,'Données projet'!$A$191:$I$211,5,0)),0%,VLOOKUP(A68,'Données projet'!$A$191:$I$211,5,0)*VLOOKUP('Données projet'!$B$15,Paramètres!$A$1:$I$89,7,0))</f>
        <v>0.43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58.311052616917017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58.311052616917017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356</v>
      </c>
      <c r="FC68" s="12">
        <f>VLOOKUP(A68,'Données projet'!$A$217:$I$237,9,0)</f>
        <v>6</v>
      </c>
      <c r="FD68" s="12">
        <f t="array" ref="FD68">INDEX(FC:FC,MIN(IF(ISNUMBER(FC68:FC264),ROW(FC68:FC264),"")))</f>
        <v>6</v>
      </c>
      <c r="FE68" s="12">
        <f>IF('Données projet'!$A$218&gt;35,FE67+FD68-FM67,IF(A68&lt;'Données projet'!$A$218,$FB$205^A68,IF(A68='Données projet'!$A$218,'Données projet'!$B$218,FE67+FD68-FM67)))</f>
        <v>355.99999999999972</v>
      </c>
      <c r="FF68" s="17">
        <f>FE68*VLOOKUP('Données projet'!$B$16,Paramètres!$A$1:$I$89,3,0)*VLOOKUP('Données projet'!$B$16,Paramètres!$A$1:$I$89,5,0)</f>
        <v>383.19839999999971</v>
      </c>
      <c r="FG68" s="13">
        <f t="shared" si="47"/>
        <v>88.361938464587496</v>
      </c>
      <c r="FH68" s="20">
        <f t="shared" ref="FH68:FH131" si="76">(FF68+FG68)*0.475*44/12</f>
        <v>821.30092282582257</v>
      </c>
      <c r="FI68" s="59">
        <f t="shared" ref="FI68:FI131" si="77">FH68+(EZ68+FA68)*44/12</f>
        <v>1114.6342561591559</v>
      </c>
      <c r="FJ68" s="59">
        <f ca="1">AVERAGE(OFFSET($FI$3,0,0,'Données projet'!$E$16+1,1))-AVERAGE(OFFSET($H$3,0,0,'Données projet'!$E$16+1,1))</f>
        <v>534.54020133239135</v>
      </c>
      <c r="FK68" s="59">
        <f t="shared" si="48"/>
        <v>515.48696069008815</v>
      </c>
      <c r="FL68" s="15">
        <f>IF(ISNA(VLOOKUP(A68,'Données projet'!$A$217:$I$237,3,0)),0,VLOOKUP(A68,'Données projet'!$A$217:$I$237,3,0))</f>
        <v>12</v>
      </c>
      <c r="FM68" s="15">
        <f>IF(ISNA(VLOOKUP(A68,'Données projet'!$A$217:$I$237,4,0)),0,VLOOKUP(A68,'Données projet'!$A$217:$I$237,4,0))</f>
        <v>16</v>
      </c>
      <c r="FN68" s="16">
        <f>IF(ISNA(VLOOKUP(A68,'Données projet'!$A$217:$I$237,5,0)),0%,VLOOKUP(A68,'Données projet'!$A$217:$I$237,5,0)*VLOOKUP('Données projet'!$B$16,Paramètres!$A$1:$I$89,7,0))</f>
        <v>0.43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64.894558557536683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64.894558557536683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>
        <f>VLOOKUP(A68,'Données projet'!$A$243:$I$263,2,0)</f>
        <v>264</v>
      </c>
      <c r="FX68" s="12">
        <f>VLOOKUP(A68,'Données projet'!$A$243:$I$263,9,0)</f>
        <v>6.6</v>
      </c>
      <c r="FY68" s="12">
        <f t="array" ref="FY68">INDEX(FX:FX,MIN(IF(ISNUMBER(FX68:FX264),ROW(FX68:FX264),"")))</f>
        <v>6.6</v>
      </c>
      <c r="FZ68" s="12">
        <f>IF('Données projet'!$A$244&gt;35,FZ67+FY68-GH67,IF(A68&lt;'Données projet'!$A$244,$FW$205^A68,IF(A68='Données projet'!$A$244,'Données projet'!$B$244,FZ67+FY68-GH67)))</f>
        <v>263.99999999999994</v>
      </c>
      <c r="GA68" s="17">
        <f>FZ68*VLOOKUP('Données projet'!$B$17,Paramètres!$A$1:$I$89,3,0)*VLOOKUP('Données projet'!$B$17,Paramètres!$A$1:$I$89,5,0)</f>
        <v>251.22239999999996</v>
      </c>
      <c r="GB68" s="13">
        <f t="shared" si="49"/>
        <v>60.847625059749809</v>
      </c>
      <c r="GC68" s="20">
        <f t="shared" ref="GC68:GC131" si="79">(GA68+GB68)*0.475*44/12</f>
        <v>543.52196031239748</v>
      </c>
      <c r="GD68" s="59">
        <f t="shared" ref="GD68:GD131" si="80">GC68+(FU68+FV68)*44/12</f>
        <v>836.85529364573085</v>
      </c>
      <c r="GE68" s="59">
        <f ca="1">AVERAGE(OFFSET($GD$3,0,0,'Données projet'!$E$17+1,1))-AVERAGE(OFFSET($H$3,0,0,'Données projet'!$E$17+1,1))</f>
        <v>455.71329051283936</v>
      </c>
      <c r="GF68" s="59">
        <f t="shared" si="50"/>
        <v>479.3743231122258</v>
      </c>
      <c r="GG68" s="15">
        <f>IF(ISNA(VLOOKUP(A68,'Données projet'!$A$243:$I$263,3,0)),0,VLOOKUP(A68,'Données projet'!$A$243:$I$263,3,0))</f>
        <v>12</v>
      </c>
      <c r="GH68" s="15">
        <f>IF(ISNA(VLOOKUP(A68,'Données projet'!$A$243:$I$263,4,0)),0,VLOOKUP(A68,'Données projet'!$A$243:$I$263,4,0))</f>
        <v>29</v>
      </c>
      <c r="GI68" s="16">
        <f>IF(ISNA(VLOOKUP(A68,'Données projet'!$A$243:$I$263,5,0)),0%,VLOOKUP(A68,'Données projet'!$A$243:$I$263,5,0)*VLOOKUP('Données projet'!$B$17,Paramètres!$A$1:$I$89,7,0))</f>
        <v>0.43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72.435029437469296</v>
      </c>
      <c r="GM68" s="21">
        <f>EXP(-LN(2)/25)*GM67+(1-EXP(-LN(2)/25))/(LN(2)/25)*Calculateur!GH68*Calculateur!GJ68*VLOOKUP('Données projet'!$B$17,Paramètres!$A$1:$I$89,3,0)*0.475*44/12</f>
        <v>0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81">SUM(GL68:GN68)</f>
        <v>72.435029437469296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>
        <f>VLOOKUP(A68,'Données projet'!$A$269:$I$289,2,0)</f>
        <v>356</v>
      </c>
      <c r="GS68" s="12">
        <f>VLOOKUP(A68,'Données projet'!$A$269:$I$289,9,0)</f>
        <v>6</v>
      </c>
      <c r="GT68" s="12">
        <f t="array" ref="GT68">INDEX(GS:GS,MIN(IF(ISNUMBER(GS68:GS264),ROW(GS68:GS264),"")))</f>
        <v>6</v>
      </c>
      <c r="GU68" s="12">
        <f>IF('Données projet'!$A$270&gt;35,GU67+GT68-HC67,IF(A68&lt;'Données projet'!$A$270,$GR$205^A68,IF(A68='Données projet'!$A$270,'Données projet'!$B$270,GU67+GT68-HC67)))</f>
        <v>355.99999999999972</v>
      </c>
      <c r="GV68" s="17">
        <f>GU68*VLOOKUP('Données projet'!$B$18,Paramètres!$A$1:$I$89,3,0)*VLOOKUP('Données projet'!$B$18,Paramètres!$A$1:$I$89,5,0)</f>
        <v>288.78719999999981</v>
      </c>
      <c r="GW68" s="13">
        <f t="shared" si="51"/>
        <v>68.820644053442436</v>
      </c>
      <c r="GX68" s="20">
        <f t="shared" ref="GX68:GX131" si="82">(GV68+GW68)*0.475*44/12</f>
        <v>622.83366172641195</v>
      </c>
      <c r="GY68" s="59">
        <f t="shared" ref="GY68:GY131" si="83">GX68+(GP68+GQ68)*44/12</f>
        <v>916.1669950597452</v>
      </c>
      <c r="GZ68" s="59">
        <f ca="1">AVERAGE(OFFSET($GY$3,0,0,'Données projet'!$E$18+1,1))-AVERAGE(OFFSET($H$3,0,0,'Données projet'!$E$18+1,1))</f>
        <v>412.59676769258488</v>
      </c>
      <c r="HA68" s="59">
        <f t="shared" si="52"/>
        <v>399.90063795152133</v>
      </c>
      <c r="HB68" s="15">
        <f>IF(ISNA(VLOOKUP(A68,'Données projet'!$A$269:$I$289,3,0)),0,VLOOKUP(A68,'Données projet'!$A$269:$I$289,3,0))</f>
        <v>12</v>
      </c>
      <c r="HC68" s="15">
        <f>IF(ISNA(VLOOKUP(A68,'Données projet'!$A$269:$I$289,4,0)),0,VLOOKUP(A68,'Données projet'!$A$269:$I$289,4,0))</f>
        <v>16</v>
      </c>
      <c r="HD68" s="16">
        <f>IF(ISNA(VLOOKUP(A68,'Données projet'!$A$269:$I$289,5,0)),0%,VLOOKUP(A68,'Données projet'!$A$269:$I$289,5,0)*VLOOKUP('Données projet'!$B$18,Paramètres!$A$1:$I$89,7,0))</f>
        <v>0.43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48.906044130317511</v>
      </c>
      <c r="HH68" s="21">
        <f>EXP(-LN(2)/25)*HH67+(1-EXP(-LN(2)/25))/(LN(2)/25)*Calculateur!HC68*Calculateur!HE68*VLOOKUP('Données projet'!$B$18,Paramètres!$A$1:$I$89,3,0)*0.475*44/12</f>
        <v>0</v>
      </c>
      <c r="HI68" s="21">
        <f>EXP(-LN(2)/2)*HI67+(1-EXP(-LN(2)/2))/(LN(2)/2)*HC68*HF68*VLOOKUP('Données projet'!$B$18,Paramètres!$A$1:$I$89,3,0)*0.475*44/12</f>
        <v>0</v>
      </c>
      <c r="HJ68" s="22">
        <f t="shared" ref="HJ68:HJ131" si="84">SUM(HG68:HI68)</f>
        <v>48.906044130317511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8.1999999999999993</v>
      </c>
      <c r="N69" s="13">
        <f>IF('Données projet'!$A$36&gt;35,N68+M69-V68,IF(A69&lt;'Données projet'!$A$36,$K$205^A69,IF(A69='Données projet'!$A$36,'Données projet'!$B$36,N68+M69-V68)))</f>
        <v>269.2</v>
      </c>
      <c r="O69" s="13">
        <f>N69*VLOOKUP('Données projet'!$B$9,Paramètres!$A$1:$I$89,3,0)*VLOOKUP('Données projet'!$B$9,Paramètres!$A$1:$I$89,5,0)</f>
        <v>243.57216</v>
      </c>
      <c r="P69" s="13">
        <f t="shared" ref="P69:P132" si="87">EXP(-1.0587+0.8836*LN(O69)+0.284)</f>
        <v>59.207435995642292</v>
      </c>
      <c r="Q69" s="20">
        <f t="shared" si="54"/>
        <v>527.34112969241028</v>
      </c>
      <c r="R69" s="59">
        <f t="shared" si="55"/>
        <v>820.67446302574353</v>
      </c>
      <c r="S69" s="59">
        <f ca="1">AVERAGE(OFFSET($R$3,0,0,'Données projet'!$E$9+1,1))-AVERAGE(OFFSET($H$3,0,0,'Données projet'!$E$9+1,1))</f>
        <v>439.19854273764042</v>
      </c>
      <c r="T69" s="59">
        <f t="shared" ref="T69:T132" si="88">$T$3</f>
        <v>278.21741231699929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62.617055597998579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62.617055597998579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8.1999999999999993</v>
      </c>
      <c r="AI69" s="13">
        <f>IF('Données projet'!$A$62&gt;35,AI68+AH69-AQ68,IF(A69&lt;'Données projet'!$A$62,$AF$205^A69,IF(A69='Données projet'!$A$62,'Données projet'!$B$62,AI68+AH69-AQ68)))</f>
        <v>269.2</v>
      </c>
      <c r="AJ69" s="13">
        <f>AI69*VLOOKUP('Données projet'!$B$10,Paramètres!$A$1:$I$89,3,0)*VLOOKUP('Données projet'!$B$10,Paramètres!$A$1:$I$89,5,0)</f>
        <v>272.96879999999999</v>
      </c>
      <c r="AK69" s="13">
        <f t="shared" ref="AK69:AK132" si="89">EXP(-1.0587+0.8836*LN(AJ69)+0.284)</f>
        <v>65.478922017818945</v>
      </c>
      <c r="AL69" s="20">
        <f t="shared" si="58"/>
        <v>589.46311584770126</v>
      </c>
      <c r="AM69" s="59">
        <f t="shared" si="59"/>
        <v>882.79644918103463</v>
      </c>
      <c r="AN69" s="59">
        <f ca="1">AVERAGE(OFFSET($AM$3,0,0,'Données projet'!$E$10+1,1))-AVERAGE(OFFSET($H$3,0,0,'Données projet'!$E$10+1,1))</f>
        <v>487.18832528146936</v>
      </c>
      <c r="AO69" s="59">
        <f t="shared" ref="AO69:AO132" si="90">$AO$3</f>
        <v>306.61893266146666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70.17428644603288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70.17428644603288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369.00000000000023</v>
      </c>
      <c r="BE69" s="13">
        <f>BD69*VLOOKUP('Données projet'!$B$11,Paramètres!$A$1:$I$89,3,0)*VLOOKUP('Données projet'!$B$11,Paramètres!$A$1:$I$89,5,0)</f>
        <v>333.87120000000021</v>
      </c>
      <c r="BF69" s="13">
        <f t="shared" ref="BF69:BF132" si="91">EXP(-1.0587+0.8836*LN(BE69)+0.284)</f>
        <v>78.23236011137638</v>
      </c>
      <c r="BG69" s="20">
        <f t="shared" si="61"/>
        <v>717.74703386064755</v>
      </c>
      <c r="BH69" s="59">
        <f t="shared" si="62"/>
        <v>1011.0803671939809</v>
      </c>
      <c r="BI69" s="59">
        <f ca="1">AVERAGE(OFFSET($BH$3,0,0,'Données projet'!$E$11+1,1))-AVERAGE(OFFSET($H$3,0,0,'Données projet'!$E$11+1,1))</f>
        <v>436.23918637269577</v>
      </c>
      <c r="BJ69" s="59">
        <f t="shared" ref="BJ69:BJ132" si="92">$BJ$3</f>
        <v>611.43967996341894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5.1819473937840055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5.1819473937840055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224.00000000000006</v>
      </c>
      <c r="BZ69" s="13">
        <f>BY69*VLOOKUP('Données projet'!$B$12,Paramètres!$A$1:$I$89,3,0)*VLOOKUP('Données projet'!$B$12,Paramètres!$A$1:$I$89,5,0)</f>
        <v>195.68640000000008</v>
      </c>
      <c r="CA69" s="13">
        <f t="shared" ref="CA69:CA132" si="93">EXP(-1.0587+0.8836*LN(BZ69)+0.284)</f>
        <v>48.794969360985156</v>
      </c>
      <c r="CB69" s="20">
        <f t="shared" si="64"/>
        <v>425.8050516370493</v>
      </c>
      <c r="CC69" s="59">
        <f t="shared" si="65"/>
        <v>719.13838497038262</v>
      </c>
      <c r="CD69" s="59">
        <f ca="1">AVERAGE(OFFSET($CC$3,0,0,'Données projet'!$E$12+1,1))-AVERAGE(OFFSET($H$3,0,0,'Données projet'!$E$12+1,1))</f>
        <v>304.32767345253382</v>
      </c>
      <c r="CE69" s="59">
        <f t="shared" ref="CE69:CE132" si="94">$CE$3</f>
        <v>427.16091343339173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55.959784101935902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55.959784101935902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739.99999999999966</v>
      </c>
      <c r="CU69" s="17">
        <f>CT69*VLOOKUP('Données projet'!$B$13,Paramètres!$A$1:$I$89,3,0)*VLOOKUP('Données projet'!$B$13,Paramètres!$A$1:$I$89,5,0)</f>
        <v>413.65999999999985</v>
      </c>
      <c r="CV69" s="13">
        <f t="shared" ref="CV69:CV132" si="95">EXP(-1.0587+0.8836*LN(CU69)+0.284)</f>
        <v>94.540585122244352</v>
      </c>
      <c r="CW69" s="20">
        <f t="shared" si="67"/>
        <v>885.11601908790863</v>
      </c>
      <c r="CX69" s="59">
        <f t="shared" si="68"/>
        <v>1178.4493524212419</v>
      </c>
      <c r="CY69" s="59">
        <f ca="1">AVERAGE(OFFSET($CX$3,0,0,'Données projet'!$E$13+1,1))-AVERAGE(OFFSET($H$3,0,0,'Données projet'!$E$13+1,1))</f>
        <v>555.15881087162279</v>
      </c>
      <c r="CZ69" s="59">
        <f t="shared" ref="CZ69:CZ132" si="96">$CZ$3</f>
        <v>668.20427590250733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109.65995168053544</v>
      </c>
      <c r="DG69" s="21">
        <f>EXP(-LN(2)/25)*DG68+(1-EXP(-LN(2)/25))/(LN(2)/25)*Calculateur!DB69*Calculateur!DD69*VLOOKUP('Données projet'!$B$13,Paramètres!$A$1:$I$89,3,0)*0.475*44/12</f>
        <v>21.296428446539689</v>
      </c>
      <c r="DH69" s="21">
        <f>EXP(-LN(2)/2)*DH68+(1-EXP(-LN(2)/2))/(LN(2)/2)*DB69*DE69*VLOOKUP('Données projet'!$B$13,Paramètres!$A$1:$I$89,3,0)*0.475*44/12</f>
        <v>3.244336573558293E-6</v>
      </c>
      <c r="DI69" s="22">
        <f t="shared" si="69"/>
        <v>130.9563833714117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20.399999999999999</v>
      </c>
      <c r="DO69" s="12">
        <f>IF('Données projet'!$A$166&gt;35,DO68+DN69-DW68,IF(A69&lt;'Données projet'!$A$166,$DL$205^A69,IF(A69='Données projet'!$A$166,'Données projet'!$B$166,DO68+DN69-DW68)))</f>
        <v>806.39999999999941</v>
      </c>
      <c r="DP69" s="17">
        <f>DO69*VLOOKUP('Données projet'!$B$14,Paramètres!$A$1:$I$89,3,0)*VLOOKUP('Données projet'!$B$14,Paramètres!$A$1:$I$89,5,0)</f>
        <v>377.39519999999976</v>
      </c>
      <c r="DQ69" s="13">
        <f t="shared" ref="DQ69:DQ132" si="97">EXP(-1.0587+0.8836*LN(DP69)+0.284)</f>
        <v>87.178489377520606</v>
      </c>
      <c r="DR69" s="20">
        <f t="shared" si="70"/>
        <v>809.13250899918137</v>
      </c>
      <c r="DS69" s="59">
        <f t="shared" si="71"/>
        <v>1102.4658423325147</v>
      </c>
      <c r="DT69" s="59">
        <f ca="1">AVERAGE(OFFSET($DS$3,0,0,'Données projet'!$E$14+1,1))-AVERAGE(OFFSET($H$3,0,0,'Données projet'!$E$14+1,1))</f>
        <v>523.79180230463714</v>
      </c>
      <c r="DU69" s="59">
        <f t="shared" ref="DU69:DU132" si="98">$DU$3</f>
        <v>459.3547783500515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129.94945474512772</v>
      </c>
      <c r="EB69" s="21">
        <f>EXP(-LN(2)/25)*EB68+(1-EXP(-LN(2)/25))/(LN(2)/25)*Calculateur!DW69*Calculateur!DY69*VLOOKUP('Données projet'!$B$14,Paramètres!$A$1:$I$89,3,0)*0.475*44/12</f>
        <v>19.696501133343805</v>
      </c>
      <c r="EC69" s="21">
        <f>EXP(-LN(2)/2)*EC68+(1-EXP(-LN(2)/2))/(LN(2)/2)*DW69*DZ69*VLOOKUP('Données projet'!$B$14,Paramètres!$A$1:$I$89,3,0)*0.475*44/12</f>
        <v>4.5480369922461256E-6</v>
      </c>
      <c r="ED69" s="22">
        <f t="shared" si="72"/>
        <v>149.64596042650854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5.2</v>
      </c>
      <c r="EJ69" s="12">
        <f>IF('Données projet'!$A$192&gt;35,EJ68+EI69-ER68,IF(A69&lt;'Données projet'!$A$192,$EG$205^A69,IF(A69='Données projet'!$A$192,'Données projet'!$B$192,EJ68+EI69-ER68)))</f>
        <v>345.1999999999997</v>
      </c>
      <c r="EK69" s="17">
        <f>EJ69*VLOOKUP('Données projet'!$B$15,Paramètres!$A$1:$I$89,3,0)*VLOOKUP('Données projet'!$B$15,Paramètres!$A$1:$I$89,5,0)</f>
        <v>333.87743999999969</v>
      </c>
      <c r="EL69" s="13">
        <f t="shared" ref="EL69:EL132" si="99">EXP(-1.0587+0.8836*LN(EK69)+0.284)</f>
        <v>78.233652066113265</v>
      </c>
      <c r="EM69" s="20">
        <f t="shared" si="73"/>
        <v>717.76015201514667</v>
      </c>
      <c r="EN69" s="59">
        <f t="shared" si="74"/>
        <v>1011.09348534848</v>
      </c>
      <c r="EO69" s="59">
        <f ca="1">AVERAGE(OFFSET($EN$3,0,0,'Données projet'!$E$15+1,1))-AVERAGE(OFFSET($H$3,0,0,'Données projet'!$E$15+1,1))</f>
        <v>484.41278617935654</v>
      </c>
      <c r="EP69" s="59">
        <f t="shared" ref="EP69:EP132" si="100">$EP$3</f>
        <v>467.97490540700738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57.167608441329499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57.167608441329499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5.2</v>
      </c>
      <c r="FE69" s="12">
        <f>IF('Données projet'!$A$218&gt;35,FE68+FD69-FM68,IF(A69&lt;'Données projet'!$A$218,$FB$205^A69,IF(A69='Données projet'!$A$218,'Données projet'!$B$218,FE68+FD69-FM68)))</f>
        <v>345.1999999999997</v>
      </c>
      <c r="FF69" s="17">
        <f>FE69*VLOOKUP('Données projet'!$B$16,Paramètres!$A$1:$I$89,3,0)*VLOOKUP('Données projet'!$B$16,Paramètres!$A$1:$I$89,5,0)</f>
        <v>371.57327999999967</v>
      </c>
      <c r="FG69" s="13">
        <f t="shared" ref="FG69:FG132" si="101">EXP(-1.0587+0.8836*LN(FF69)+0.284)</f>
        <v>85.98909218464442</v>
      </c>
      <c r="FH69" s="20">
        <f t="shared" si="76"/>
        <v>796.92113155492189</v>
      </c>
      <c r="FI69" s="59">
        <f t="shared" si="77"/>
        <v>1090.2544648882551</v>
      </c>
      <c r="FJ69" s="59">
        <f ca="1">AVERAGE(OFFSET($FI$3,0,0,'Données projet'!$E$16+1,1))-AVERAGE(OFFSET($H$3,0,0,'Données projet'!$E$16+1,1))</f>
        <v>534.54020133239135</v>
      </c>
      <c r="FK69" s="59">
        <f t="shared" ref="FK69:FK132" si="102">$FK$3</f>
        <v>515.48696069008815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63.622015845995733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63.622015845995733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6.2</v>
      </c>
      <c r="FZ69" s="12">
        <f>IF('Données projet'!$A$244&gt;35,FZ68+FY69-GH68,IF(A69&lt;'Données projet'!$A$244,$FW$205^A69,IF(A69='Données projet'!$A$244,'Données projet'!$B$244,FZ68+FY69-GH68)))</f>
        <v>241.19999999999993</v>
      </c>
      <c r="GA69" s="17">
        <f>FZ69*VLOOKUP('Données projet'!$B$17,Paramètres!$A$1:$I$89,3,0)*VLOOKUP('Données projet'!$B$17,Paramètres!$A$1:$I$89,5,0)</f>
        <v>229.52591999999993</v>
      </c>
      <c r="GB69" s="13">
        <f t="shared" ref="GB69:GB132" si="103">EXP(-1.0587+0.8836*LN(GA69)+0.284)</f>
        <v>56.180162044652285</v>
      </c>
      <c r="GC69" s="20">
        <f t="shared" si="79"/>
        <v>497.60475956110258</v>
      </c>
      <c r="GD69" s="59">
        <f t="shared" si="80"/>
        <v>790.93809289443584</v>
      </c>
      <c r="GE69" s="59">
        <f ca="1">AVERAGE(OFFSET($GD$3,0,0,'Données projet'!$E$17+1,1))-AVERAGE(OFFSET($H$3,0,0,'Données projet'!$E$17+1,1))</f>
        <v>455.71329051283936</v>
      </c>
      <c r="GF69" s="59">
        <f t="shared" ref="GF69:GF132" si="104">$GF$3</f>
        <v>479.3743231122258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71.014622691205972</v>
      </c>
      <c r="GM69" s="21">
        <f>EXP(-LN(2)/25)*GM68+(1-EXP(-LN(2)/25))/(LN(2)/25)*Calculateur!GH69*Calculateur!GJ69*VLOOKUP('Données projet'!$B$17,Paramètres!$A$1:$I$89,3,0)*0.475*44/12</f>
        <v>0</v>
      </c>
      <c r="GN69" s="21">
        <f>EXP(-LN(2)/2)*GN68+(1-EXP(-LN(2)/2))/(LN(2)/2)*GH69*GK69*VLOOKUP('Données projet'!$B$17,Paramètres!$A$1:$I$89,3,0)*0.475*44/12</f>
        <v>0</v>
      </c>
      <c r="GO69" s="21">
        <f t="shared" si="81"/>
        <v>71.014622691205972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5.2</v>
      </c>
      <c r="GU69" s="12">
        <f>IF('Données projet'!$A$270&gt;35,GU68+GT69-HC68,IF(A69&lt;'Données projet'!$A$270,$GR$205^A69,IF(A69='Données projet'!$A$270,'Données projet'!$B$270,GU68+GT69-HC68)))</f>
        <v>345.1999999999997</v>
      </c>
      <c r="GV69" s="17">
        <f>GU69*VLOOKUP('Données projet'!$B$18,Paramètres!$A$1:$I$89,3,0)*VLOOKUP('Données projet'!$B$18,Paramètres!$A$1:$I$89,5,0)</f>
        <v>280.02623999999975</v>
      </c>
      <c r="GW69" s="13">
        <f t="shared" ref="GW69:GW132" si="105">EXP(-1.0587+0.8836*LN(GV69)+0.284)</f>
        <v>66.97255411717488</v>
      </c>
      <c r="GX69" s="20">
        <f t="shared" si="82"/>
        <v>604.35623308741242</v>
      </c>
      <c r="GY69" s="59">
        <f t="shared" si="83"/>
        <v>897.68956642074568</v>
      </c>
      <c r="GZ69" s="59">
        <f ca="1">AVERAGE(OFFSET($GY$3,0,0,'Données projet'!$E$18+1,1))-AVERAGE(OFFSET($H$3,0,0,'Données projet'!$E$18+1,1))</f>
        <v>412.59676769258488</v>
      </c>
      <c r="HA69" s="59">
        <f t="shared" ref="HA69:HA132" si="106">$HA$3</f>
        <v>399.90063795152133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47.947026434663464</v>
      </c>
      <c r="HH69" s="21">
        <f>EXP(-LN(2)/25)*HH68+(1-EXP(-LN(2)/25))/(LN(2)/25)*Calculateur!HC69*Calculateur!HE69*VLOOKUP('Données projet'!$B$18,Paramètres!$A$1:$I$89,3,0)*0.475*44/12</f>
        <v>0</v>
      </c>
      <c r="HI69" s="21">
        <f>EXP(-LN(2)/2)*HI68+(1-EXP(-LN(2)/2))/(LN(2)/2)*HC69*HF69*VLOOKUP('Données projet'!$B$18,Paramètres!$A$1:$I$89,3,0)*0.475*44/12</f>
        <v>0</v>
      </c>
      <c r="HJ69" s="22">
        <f t="shared" si="84"/>
        <v>47.947026434663464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8.1999999999999993</v>
      </c>
      <c r="N70" s="13">
        <f>IF('Données projet'!$A$36&gt;35,N69+M70-V69,IF(A70&lt;'Données projet'!$A$36,$K$205^A70,IF(A70='Données projet'!$A$36,'Données projet'!$B$36,N69+M70-V69)))</f>
        <v>277.39999999999998</v>
      </c>
      <c r="O70" s="13">
        <f>N70*VLOOKUP('Données projet'!$B$9,Paramètres!$A$1:$I$89,3,0)*VLOOKUP('Données projet'!$B$9,Paramètres!$A$1:$I$89,5,0)</f>
        <v>250.99151999999995</v>
      </c>
      <c r="P70" s="13">
        <f t="shared" si="87"/>
        <v>60.798211000769406</v>
      </c>
      <c r="Q70" s="20">
        <f t="shared" si="54"/>
        <v>543.03378149300659</v>
      </c>
      <c r="R70" s="59">
        <f t="shared" si="55"/>
        <v>836.36711482633996</v>
      </c>
      <c r="S70" s="59">
        <f ca="1">AVERAGE(OFFSET($R$3,0,0,'Données projet'!$E$9+1,1))-AVERAGE(OFFSET($H$3,0,0,'Données projet'!$E$9+1,1))</f>
        <v>439.19854273764042</v>
      </c>
      <c r="T70" s="59">
        <f t="shared" si="88"/>
        <v>278.21741231699929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61.389173330354531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61.389173330354531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8.1999999999999993</v>
      </c>
      <c r="AI70" s="13">
        <f>IF('Données projet'!$A$62&gt;35,AI69+AH70-AQ69,IF(A70&lt;'Données projet'!$A$62,$AF$205^A70,IF(A70='Données projet'!$A$62,'Données projet'!$B$62,AI69+AH70-AQ69)))</f>
        <v>277.39999999999998</v>
      </c>
      <c r="AJ70" s="13">
        <f>AI70*VLOOKUP('Données projet'!$B$10,Paramètres!$A$1:$I$89,3,0)*VLOOKUP('Données projet'!$B$10,Paramètres!$A$1:$I$89,5,0)</f>
        <v>281.28360000000004</v>
      </c>
      <c r="AK70" s="13">
        <f t="shared" si="89"/>
        <v>67.238198209347928</v>
      </c>
      <c r="AL70" s="20">
        <f t="shared" si="58"/>
        <v>607.00879854794766</v>
      </c>
      <c r="AM70" s="59">
        <f t="shared" si="59"/>
        <v>900.34213188128092</v>
      </c>
      <c r="AN70" s="59">
        <f ca="1">AVERAGE(OFFSET($AM$3,0,0,'Données projet'!$E$10+1,1))-AVERAGE(OFFSET($H$3,0,0,'Données projet'!$E$10+1,1))</f>
        <v>487.18832528146936</v>
      </c>
      <c r="AO70" s="59">
        <f t="shared" si="90"/>
        <v>306.61893266146666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68.798211490914554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68.798211490914554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369.00000000000023</v>
      </c>
      <c r="BE70" s="13">
        <f>BD70*VLOOKUP('Données projet'!$B$11,Paramètres!$A$1:$I$89,3,0)*VLOOKUP('Données projet'!$B$11,Paramètres!$A$1:$I$89,5,0)</f>
        <v>333.87120000000021</v>
      </c>
      <c r="BF70" s="13">
        <f t="shared" si="91"/>
        <v>78.23236011137638</v>
      </c>
      <c r="BG70" s="20">
        <f t="shared" si="61"/>
        <v>717.74703386064755</v>
      </c>
      <c r="BH70" s="59">
        <f t="shared" si="62"/>
        <v>1011.0803671939809</v>
      </c>
      <c r="BI70" s="59">
        <f ca="1">AVERAGE(OFFSET($BH$3,0,0,'Données projet'!$E$11+1,1))-AVERAGE(OFFSET($H$3,0,0,'Données projet'!$E$11+1,1))</f>
        <v>436.23918637269577</v>
      </c>
      <c r="BJ70" s="59">
        <f t="shared" si="92"/>
        <v>611.43967996341894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5.0803325660677201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5.0803325660677201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224.00000000000006</v>
      </c>
      <c r="BZ70" s="13">
        <f>BY70*VLOOKUP('Données projet'!$B$12,Paramètres!$A$1:$I$89,3,0)*VLOOKUP('Données projet'!$B$12,Paramètres!$A$1:$I$89,5,0)</f>
        <v>195.68640000000008</v>
      </c>
      <c r="CA70" s="13">
        <f t="shared" si="93"/>
        <v>48.794969360985156</v>
      </c>
      <c r="CB70" s="20">
        <f t="shared" si="64"/>
        <v>425.8050516370493</v>
      </c>
      <c r="CC70" s="59">
        <f t="shared" si="65"/>
        <v>719.13838497038262</v>
      </c>
      <c r="CD70" s="59">
        <f ca="1">AVERAGE(OFFSET($CC$3,0,0,'Données projet'!$E$12+1,1))-AVERAGE(OFFSET($H$3,0,0,'Données projet'!$E$12+1,1))</f>
        <v>304.32767345253382</v>
      </c>
      <c r="CE70" s="59">
        <f t="shared" si="94"/>
        <v>427.16091343339173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54.862446867794979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54.862446867794979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739.99999999999966</v>
      </c>
      <c r="CU70" s="17">
        <f>CT70*VLOOKUP('Données projet'!$B$13,Paramètres!$A$1:$I$89,3,0)*VLOOKUP('Données projet'!$B$13,Paramètres!$A$1:$I$89,5,0)</f>
        <v>413.65999999999985</v>
      </c>
      <c r="CV70" s="13">
        <f t="shared" si="95"/>
        <v>94.540585122244352</v>
      </c>
      <c r="CW70" s="20">
        <f t="shared" si="67"/>
        <v>885.11601908790863</v>
      </c>
      <c r="CX70" s="59">
        <f t="shared" si="68"/>
        <v>1178.4493524212419</v>
      </c>
      <c r="CY70" s="59">
        <f ca="1">AVERAGE(OFFSET($CX$3,0,0,'Données projet'!$E$13+1,1))-AVERAGE(OFFSET($H$3,0,0,'Données projet'!$E$13+1,1))</f>
        <v>555.15881087162279</v>
      </c>
      <c r="CZ70" s="59">
        <f t="shared" si="96"/>
        <v>668.20427590250733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107.50958691404622</v>
      </c>
      <c r="DG70" s="21">
        <f>EXP(-LN(2)/25)*DG69+(1-EXP(-LN(2)/25))/(LN(2)/25)*Calculateur!DB70*Calculateur!DD70*VLOOKUP('Données projet'!$B$13,Paramètres!$A$1:$I$89,3,0)*0.475*44/12</f>
        <v>20.714076490738563</v>
      </c>
      <c r="DH70" s="21">
        <f>EXP(-LN(2)/2)*DH69+(1-EXP(-LN(2)/2))/(LN(2)/2)*DB70*DE70*VLOOKUP('Données projet'!$B$13,Paramètres!$A$1:$I$89,3,0)*0.475*44/12</f>
        <v>2.2940923916145972E-6</v>
      </c>
      <c r="DI70" s="22">
        <f t="shared" si="69"/>
        <v>128.22366569887717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20.399999999999999</v>
      </c>
      <c r="DO70" s="12">
        <f>IF('Données projet'!$A$166&gt;35,DO69+DN70-DW69,IF(A70&lt;'Données projet'!$A$166,$DL$205^A70,IF(A70='Données projet'!$A$166,'Données projet'!$B$166,DO69+DN70-DW69)))</f>
        <v>826.79999999999939</v>
      </c>
      <c r="DP70" s="17">
        <f>DO70*VLOOKUP('Données projet'!$B$14,Paramètres!$A$1:$I$89,3,0)*VLOOKUP('Données projet'!$B$14,Paramètres!$A$1:$I$89,5,0)</f>
        <v>386.94239999999968</v>
      </c>
      <c r="DQ70" s="13">
        <f t="shared" si="97"/>
        <v>89.124345618182502</v>
      </c>
      <c r="DR70" s="20">
        <f t="shared" si="70"/>
        <v>829.14958195166719</v>
      </c>
      <c r="DS70" s="59">
        <f t="shared" si="71"/>
        <v>1122.4829152850004</v>
      </c>
      <c r="DT70" s="59">
        <f ca="1">AVERAGE(OFFSET($DS$3,0,0,'Données projet'!$E$14+1,1))-AVERAGE(OFFSET($H$3,0,0,'Données projet'!$E$14+1,1))</f>
        <v>523.79180230463714</v>
      </c>
      <c r="DU70" s="59">
        <f t="shared" si="98"/>
        <v>459.3547783500515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127.40122519891676</v>
      </c>
      <c r="EB70" s="21">
        <f>EXP(-LN(2)/25)*EB69+(1-EXP(-LN(2)/25))/(LN(2)/25)*Calculateur!DW70*Calculateur!DY70*VLOOKUP('Données projet'!$B$14,Paramètres!$A$1:$I$89,3,0)*0.475*44/12</f>
        <v>19.15789927405854</v>
      </c>
      <c r="EC70" s="21">
        <f>EXP(-LN(2)/2)*EC69+(1-EXP(-LN(2)/2))/(LN(2)/2)*DW70*DZ70*VLOOKUP('Données projet'!$B$14,Paramètres!$A$1:$I$89,3,0)*0.475*44/12</f>
        <v>3.2159477983045049E-6</v>
      </c>
      <c r="ED70" s="22">
        <f t="shared" si="72"/>
        <v>146.5591276889231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5.2</v>
      </c>
      <c r="EJ70" s="12">
        <f>IF('Données projet'!$A$192&gt;35,EJ69+EI70-ER69,IF(A70&lt;'Données projet'!$A$192,$EG$205^A70,IF(A70='Données projet'!$A$192,'Données projet'!$B$192,EJ69+EI70-ER69)))</f>
        <v>350.39999999999969</v>
      </c>
      <c r="EK70" s="17">
        <f>EJ70*VLOOKUP('Données projet'!$B$15,Paramètres!$A$1:$I$89,3,0)*VLOOKUP('Données projet'!$B$15,Paramètres!$A$1:$I$89,5,0)</f>
        <v>338.90687999999972</v>
      </c>
      <c r="EL70" s="13">
        <f t="shared" si="99"/>
        <v>79.274058598821043</v>
      </c>
      <c r="EM70" s="20">
        <f t="shared" si="73"/>
        <v>728.3318013929462</v>
      </c>
      <c r="EN70" s="59">
        <f t="shared" si="74"/>
        <v>1021.6651347262796</v>
      </c>
      <c r="EO70" s="59">
        <f ca="1">AVERAGE(OFFSET($EN$3,0,0,'Données projet'!$E$15+1,1))-AVERAGE(OFFSET($H$3,0,0,'Données projet'!$E$15+1,1))</f>
        <v>484.41278617935654</v>
      </c>
      <c r="EP70" s="59">
        <f t="shared" si="100"/>
        <v>467.97490540700738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56.046586508593165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56.046586508593165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5.2</v>
      </c>
      <c r="FE70" s="12">
        <f>IF('Données projet'!$A$218&gt;35,FE69+FD70-FM69,IF(A70&lt;'Données projet'!$A$218,$FB$205^A70,IF(A70='Données projet'!$A$218,'Données projet'!$B$218,FE69+FD70-FM69)))</f>
        <v>350.39999999999969</v>
      </c>
      <c r="FF70" s="17">
        <f>FE70*VLOOKUP('Données projet'!$B$16,Paramètres!$A$1:$I$89,3,0)*VLOOKUP('Données projet'!$B$16,Paramètres!$A$1:$I$89,5,0)</f>
        <v>377.17055999999968</v>
      </c>
      <c r="FG70" s="13">
        <f t="shared" si="101"/>
        <v>87.132636054677647</v>
      </c>
      <c r="FH70" s="20">
        <f t="shared" si="76"/>
        <v>808.66139979522961</v>
      </c>
      <c r="FI70" s="59">
        <f t="shared" si="77"/>
        <v>1101.994733128563</v>
      </c>
      <c r="FJ70" s="59">
        <f ca="1">AVERAGE(OFFSET($FI$3,0,0,'Données projet'!$E$16+1,1))-AVERAGE(OFFSET($H$3,0,0,'Données projet'!$E$16+1,1))</f>
        <v>534.54020133239135</v>
      </c>
      <c r="FK70" s="59">
        <f t="shared" si="102"/>
        <v>515.48696069008815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62.374426920853686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62.374426920853686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6.2</v>
      </c>
      <c r="FZ70" s="12">
        <f>IF('Données projet'!$A$244&gt;35,FZ69+FY70-GH69,IF(A70&lt;'Données projet'!$A$244,$FW$205^A70,IF(A70='Données projet'!$A$244,'Données projet'!$B$244,FZ69+FY70-GH69)))</f>
        <v>247.39999999999992</v>
      </c>
      <c r="GA70" s="17">
        <f>FZ70*VLOOKUP('Données projet'!$B$17,Paramètres!$A$1:$I$89,3,0)*VLOOKUP('Données projet'!$B$17,Paramètres!$A$1:$I$89,5,0)</f>
        <v>235.42583999999994</v>
      </c>
      <c r="GB70" s="13">
        <f t="shared" si="103"/>
        <v>57.454278198558761</v>
      </c>
      <c r="GC70" s="20">
        <f t="shared" si="79"/>
        <v>510.09953919582307</v>
      </c>
      <c r="GD70" s="59">
        <f t="shared" si="80"/>
        <v>803.43287252915638</v>
      </c>
      <c r="GE70" s="59">
        <f ca="1">AVERAGE(OFFSET($GD$3,0,0,'Données projet'!$E$17+1,1))-AVERAGE(OFFSET($H$3,0,0,'Données projet'!$E$17+1,1))</f>
        <v>455.71329051283936</v>
      </c>
      <c r="GF70" s="59">
        <f t="shared" si="104"/>
        <v>479.3743231122258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69.622069254874305</v>
      </c>
      <c r="GM70" s="21">
        <f>EXP(-LN(2)/25)*GM69+(1-EXP(-LN(2)/25))/(LN(2)/25)*Calculateur!GH70*Calculateur!GJ70*VLOOKUP('Données projet'!$B$17,Paramètres!$A$1:$I$89,3,0)*0.475*44/12</f>
        <v>0</v>
      </c>
      <c r="GN70" s="21">
        <f>EXP(-LN(2)/2)*GN69+(1-EXP(-LN(2)/2))/(LN(2)/2)*GH70*GK70*VLOOKUP('Données projet'!$B$17,Paramètres!$A$1:$I$89,3,0)*0.475*44/12</f>
        <v>0</v>
      </c>
      <c r="GO70" s="21">
        <f t="shared" si="81"/>
        <v>69.622069254874305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5.2</v>
      </c>
      <c r="GU70" s="12">
        <f>IF('Données projet'!$A$270&gt;35,GU69+GT70-HC69,IF(A70&lt;'Données projet'!$A$270,$GR$205^A70,IF(A70='Données projet'!$A$270,'Données projet'!$B$270,GU69+GT70-HC69)))</f>
        <v>350.39999999999969</v>
      </c>
      <c r="GV70" s="17">
        <f>GU70*VLOOKUP('Données projet'!$B$18,Paramètres!$A$1:$I$89,3,0)*VLOOKUP('Données projet'!$B$18,Paramètres!$A$1:$I$89,5,0)</f>
        <v>284.24447999999978</v>
      </c>
      <c r="GW70" s="13">
        <f t="shared" si="105"/>
        <v>67.863202591015138</v>
      </c>
      <c r="GX70" s="20">
        <f t="shared" si="82"/>
        <v>613.25421384601759</v>
      </c>
      <c r="GY70" s="59">
        <f t="shared" si="83"/>
        <v>906.58754717935085</v>
      </c>
      <c r="GZ70" s="59">
        <f ca="1">AVERAGE(OFFSET($GY$3,0,0,'Données projet'!$E$18+1,1))-AVERAGE(OFFSET($H$3,0,0,'Données projet'!$E$18+1,1))</f>
        <v>412.59676769258488</v>
      </c>
      <c r="HA70" s="59">
        <f t="shared" si="106"/>
        <v>399.90063795152133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47.006814491078153</v>
      </c>
      <c r="HH70" s="21">
        <f>EXP(-LN(2)/25)*HH69+(1-EXP(-LN(2)/25))/(LN(2)/25)*Calculateur!HC70*Calculateur!HE70*VLOOKUP('Données projet'!$B$18,Paramètres!$A$1:$I$89,3,0)*0.475*44/12</f>
        <v>0</v>
      </c>
      <c r="HI70" s="21">
        <f>EXP(-LN(2)/2)*HI69+(1-EXP(-LN(2)/2))/(LN(2)/2)*HC70*HF70*VLOOKUP('Données projet'!$B$18,Paramètres!$A$1:$I$89,3,0)*0.475*44/12</f>
        <v>0</v>
      </c>
      <c r="HJ70" s="22">
        <f t="shared" si="84"/>
        <v>47.006814491078153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8.1999999999999993</v>
      </c>
      <c r="N71" s="13">
        <f>IF('Données projet'!$A$36&gt;35,N70+M71-V70,IF(A71&lt;'Données projet'!$A$36,$K$205^A71,IF(A71='Données projet'!$A$36,'Données projet'!$B$36,N70+M71-V70)))</f>
        <v>285.59999999999997</v>
      </c>
      <c r="O71" s="13">
        <f>N71*VLOOKUP('Données projet'!$B$9,Paramètres!$A$1:$I$89,3,0)*VLOOKUP('Données projet'!$B$9,Paramètres!$A$1:$I$89,5,0)</f>
        <v>258.41087999999996</v>
      </c>
      <c r="P71" s="13">
        <f t="shared" si="87"/>
        <v>62.383521020316756</v>
      </c>
      <c r="Q71" s="20">
        <f t="shared" si="54"/>
        <v>558.71691511038489</v>
      </c>
      <c r="R71" s="59">
        <f t="shared" si="55"/>
        <v>852.05024844371815</v>
      </c>
      <c r="S71" s="59">
        <f ca="1">AVERAGE(OFFSET($R$3,0,0,'Données projet'!$E$9+1,1))-AVERAGE(OFFSET($H$3,0,0,'Données projet'!$E$9+1,1))</f>
        <v>439.19854273764042</v>
      </c>
      <c r="T71" s="59">
        <f t="shared" si="88"/>
        <v>278.21741231699929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60.185369085044755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60.185369085044755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8.1999999999999993</v>
      </c>
      <c r="AI71" s="13">
        <f>IF('Données projet'!$A$62&gt;35,AI70+AH71-AQ70,IF(A71&lt;'Données projet'!$A$62,$AF$205^A71,IF(A71='Données projet'!$A$62,'Données projet'!$B$62,AI70+AH71-AQ70)))</f>
        <v>285.59999999999997</v>
      </c>
      <c r="AJ71" s="13">
        <f>AI71*VLOOKUP('Données projet'!$B$10,Paramètres!$A$1:$I$89,3,0)*VLOOKUP('Données projet'!$B$10,Paramètres!$A$1:$I$89,5,0)</f>
        <v>289.59839999999997</v>
      </c>
      <c r="AK71" s="13">
        <f t="shared" si="89"/>
        <v>68.991430542388798</v>
      </c>
      <c r="AL71" s="20">
        <f t="shared" si="58"/>
        <v>624.54395486132705</v>
      </c>
      <c r="AM71" s="59">
        <f t="shared" si="59"/>
        <v>917.87728819466042</v>
      </c>
      <c r="AN71" s="59">
        <f ca="1">AVERAGE(OFFSET($AM$3,0,0,'Données projet'!$E$10+1,1))-AVERAGE(OFFSET($H$3,0,0,'Données projet'!$E$10+1,1))</f>
        <v>487.18832528146936</v>
      </c>
      <c r="AO71" s="59">
        <f t="shared" si="90"/>
        <v>306.61893266146666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67.449120526343251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67.449120526343251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369.00000000000023</v>
      </c>
      <c r="BE71" s="13">
        <f>BD71*VLOOKUP('Données projet'!$B$11,Paramètres!$A$1:$I$89,3,0)*VLOOKUP('Données projet'!$B$11,Paramètres!$A$1:$I$89,5,0)</f>
        <v>333.87120000000021</v>
      </c>
      <c r="BF71" s="13">
        <f t="shared" si="91"/>
        <v>78.23236011137638</v>
      </c>
      <c r="BG71" s="20">
        <f t="shared" si="61"/>
        <v>717.74703386064755</v>
      </c>
      <c r="BH71" s="59">
        <f t="shared" si="62"/>
        <v>1011.0803671939809</v>
      </c>
      <c r="BI71" s="59">
        <f ca="1">AVERAGE(OFFSET($BH$3,0,0,'Données projet'!$E$11+1,1))-AVERAGE(OFFSET($H$3,0,0,'Données projet'!$E$11+1,1))</f>
        <v>436.23918637269577</v>
      </c>
      <c r="BJ71" s="59">
        <f t="shared" si="92"/>
        <v>611.43967996341894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4.9807103431440263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4.9807103431440263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224.00000000000006</v>
      </c>
      <c r="BZ71" s="13">
        <f>BY71*VLOOKUP('Données projet'!$B$12,Paramètres!$A$1:$I$89,3,0)*VLOOKUP('Données projet'!$B$12,Paramètres!$A$1:$I$89,5,0)</f>
        <v>195.68640000000008</v>
      </c>
      <c r="CA71" s="13">
        <f t="shared" si="93"/>
        <v>48.794969360985156</v>
      </c>
      <c r="CB71" s="20">
        <f t="shared" si="64"/>
        <v>425.8050516370493</v>
      </c>
      <c r="CC71" s="59">
        <f t="shared" si="65"/>
        <v>719.13838497038262</v>
      </c>
      <c r="CD71" s="59">
        <f ca="1">AVERAGE(OFFSET($CC$3,0,0,'Données projet'!$E$12+1,1))-AVERAGE(OFFSET($H$3,0,0,'Données projet'!$E$12+1,1))</f>
        <v>304.32767345253382</v>
      </c>
      <c r="CE71" s="59">
        <f t="shared" si="94"/>
        <v>427.16091343339173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53.786627747505932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53.786627747505932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739.99999999999966</v>
      </c>
      <c r="CU71" s="17">
        <f>CT71*VLOOKUP('Données projet'!$B$13,Paramètres!$A$1:$I$89,3,0)*VLOOKUP('Données projet'!$B$13,Paramètres!$A$1:$I$89,5,0)</f>
        <v>413.65999999999985</v>
      </c>
      <c r="CV71" s="13">
        <f t="shared" si="95"/>
        <v>94.540585122244352</v>
      </c>
      <c r="CW71" s="20">
        <f t="shared" si="67"/>
        <v>885.11601908790863</v>
      </c>
      <c r="CX71" s="59">
        <f t="shared" si="68"/>
        <v>1178.4493524212419</v>
      </c>
      <c r="CY71" s="59">
        <f ca="1">AVERAGE(OFFSET($CX$3,0,0,'Données projet'!$E$13+1,1))-AVERAGE(OFFSET($H$3,0,0,'Données projet'!$E$13+1,1))</f>
        <v>555.15881087162279</v>
      </c>
      <c r="CZ71" s="59">
        <f t="shared" si="96"/>
        <v>668.20427590250733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105.40138948903487</v>
      </c>
      <c r="DG71" s="21">
        <f>EXP(-LN(2)/25)*DG70+(1-EXP(-LN(2)/25))/(LN(2)/25)*Calculateur!DB71*Calculateur!DD71*VLOOKUP('Données projet'!$B$13,Paramètres!$A$1:$I$89,3,0)*0.475*44/12</f>
        <v>20.147648979793377</v>
      </c>
      <c r="DH71" s="21">
        <f>EXP(-LN(2)/2)*DH70+(1-EXP(-LN(2)/2))/(LN(2)/2)*DB71*DE71*VLOOKUP('Données projet'!$B$13,Paramètres!$A$1:$I$89,3,0)*0.475*44/12</f>
        <v>1.6221682867791465E-6</v>
      </c>
      <c r="DI71" s="22">
        <f t="shared" si="69"/>
        <v>125.54904009099653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20.399999999999999</v>
      </c>
      <c r="DO71" s="12">
        <f>IF('Données projet'!$A$166&gt;35,DO70+DN71-DW70,IF(A71&lt;'Données projet'!$A$166,$DL$205^A71,IF(A71='Données projet'!$A$166,'Données projet'!$B$166,DO70+DN71-DW70)))</f>
        <v>847.19999999999936</v>
      </c>
      <c r="DP71" s="17">
        <f>DO71*VLOOKUP('Données projet'!$B$14,Paramètres!$A$1:$I$89,3,0)*VLOOKUP('Données projet'!$B$14,Paramètres!$A$1:$I$89,5,0)</f>
        <v>396.48959999999965</v>
      </c>
      <c r="DQ71" s="13">
        <f t="shared" si="97"/>
        <v>91.064620801200675</v>
      </c>
      <c r="DR71" s="20">
        <f t="shared" si="70"/>
        <v>849.15693456209056</v>
      </c>
      <c r="DS71" s="59">
        <f t="shared" si="71"/>
        <v>1142.4902678954238</v>
      </c>
      <c r="DT71" s="59">
        <f ca="1">AVERAGE(OFFSET($DS$3,0,0,'Données projet'!$E$14+1,1))-AVERAGE(OFFSET($H$3,0,0,'Données projet'!$E$14+1,1))</f>
        <v>523.79180230463714</v>
      </c>
      <c r="DU71" s="59">
        <f t="shared" si="98"/>
        <v>459.3547783500515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124.90296487984044</v>
      </c>
      <c r="EB71" s="21">
        <f>EXP(-LN(2)/25)*EB70+(1-EXP(-LN(2)/25))/(LN(2)/25)*Calculateur!DW71*Calculateur!DY71*VLOOKUP('Données projet'!$B$14,Paramètres!$A$1:$I$89,3,0)*0.475*44/12</f>
        <v>18.634025510939271</v>
      </c>
      <c r="EC71" s="21">
        <f>EXP(-LN(2)/2)*EC70+(1-EXP(-LN(2)/2))/(LN(2)/2)*DW71*DZ71*VLOOKUP('Données projet'!$B$14,Paramètres!$A$1:$I$89,3,0)*0.475*44/12</f>
        <v>2.2740184961230628E-6</v>
      </c>
      <c r="ED71" s="22">
        <f t="shared" si="72"/>
        <v>143.53699266479822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5.2</v>
      </c>
      <c r="EJ71" s="12">
        <f>IF('Données projet'!$A$192&gt;35,EJ70+EI71-ER70,IF(A71&lt;'Données projet'!$A$192,$EG$205^A71,IF(A71='Données projet'!$A$192,'Données projet'!$B$192,EJ70+EI71-ER70)))</f>
        <v>355.59999999999968</v>
      </c>
      <c r="EK71" s="17">
        <f>EJ71*VLOOKUP('Données projet'!$B$15,Paramètres!$A$1:$I$89,3,0)*VLOOKUP('Données projet'!$B$15,Paramètres!$A$1:$I$89,5,0)</f>
        <v>343.93631999999974</v>
      </c>
      <c r="EL71" s="13">
        <f t="shared" si="99"/>
        <v>80.31266941778496</v>
      </c>
      <c r="EM71" s="20">
        <f t="shared" si="73"/>
        <v>738.90032323597507</v>
      </c>
      <c r="EN71" s="59">
        <f t="shared" si="74"/>
        <v>1032.2336565693083</v>
      </c>
      <c r="EO71" s="59">
        <f ca="1">AVERAGE(OFFSET($EN$3,0,0,'Données projet'!$E$15+1,1))-AVERAGE(OFFSET($H$3,0,0,'Données projet'!$E$15+1,1))</f>
        <v>484.41278617935654</v>
      </c>
      <c r="EP71" s="59">
        <f t="shared" si="100"/>
        <v>467.97490540700738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54.947547132201933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54.947547132201933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5.2</v>
      </c>
      <c r="FE71" s="12">
        <f>IF('Données projet'!$A$218&gt;35,FE70+FD71-FM70,IF(A71&lt;'Données projet'!$A$218,$FB$205^A71,IF(A71='Données projet'!$A$218,'Données projet'!$B$218,FE70+FD71-FM70)))</f>
        <v>355.59999999999968</v>
      </c>
      <c r="FF71" s="17">
        <f>FE71*VLOOKUP('Données projet'!$B$16,Paramètres!$A$1:$I$89,3,0)*VLOOKUP('Données projet'!$B$16,Paramètres!$A$1:$I$89,5,0)</f>
        <v>382.76783999999964</v>
      </c>
      <c r="FG71" s="13">
        <f t="shared" si="101"/>
        <v>88.274206198691587</v>
      </c>
      <c r="FH71" s="20">
        <f t="shared" si="76"/>
        <v>820.39823046272056</v>
      </c>
      <c r="FI71" s="59">
        <f t="shared" si="77"/>
        <v>1113.7315637960539</v>
      </c>
      <c r="FJ71" s="59">
        <f ca="1">AVERAGE(OFFSET($FI$3,0,0,'Données projet'!$E$16+1,1))-AVERAGE(OFFSET($H$3,0,0,'Données projet'!$E$16+1,1))</f>
        <v>534.54020133239135</v>
      </c>
      <c r="FK71" s="59">
        <f t="shared" si="102"/>
        <v>515.48696069008815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61.151302453579568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61.151302453579568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6.2</v>
      </c>
      <c r="FZ71" s="12">
        <f>IF('Données projet'!$A$244&gt;35,FZ70+FY71-GH70,IF(A71&lt;'Données projet'!$A$244,$FW$205^A71,IF(A71='Données projet'!$A$244,'Données projet'!$B$244,FZ70+FY71-GH70)))</f>
        <v>253.59999999999991</v>
      </c>
      <c r="GA71" s="17">
        <f>FZ71*VLOOKUP('Données projet'!$B$17,Paramètres!$A$1:$I$89,3,0)*VLOOKUP('Données projet'!$B$17,Paramètres!$A$1:$I$89,5,0)</f>
        <v>241.32575999999992</v>
      </c>
      <c r="GB71" s="13">
        <f t="shared" si="103"/>
        <v>58.724682687532763</v>
      </c>
      <c r="GC71" s="20">
        <f t="shared" si="79"/>
        <v>522.58785434745266</v>
      </c>
      <c r="GD71" s="59">
        <f t="shared" si="80"/>
        <v>815.92118768078603</v>
      </c>
      <c r="GE71" s="59">
        <f ca="1">AVERAGE(OFFSET($GD$3,0,0,'Données projet'!$E$17+1,1))-AVERAGE(OFFSET($H$3,0,0,'Données projet'!$E$17+1,1))</f>
        <v>455.71329051283936</v>
      </c>
      <c r="GF71" s="59">
        <f t="shared" si="104"/>
        <v>479.3743231122258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68.256822942055365</v>
      </c>
      <c r="GM71" s="21">
        <f>EXP(-LN(2)/25)*GM70+(1-EXP(-LN(2)/25))/(LN(2)/25)*Calculateur!GH71*Calculateur!GJ71*VLOOKUP('Données projet'!$B$17,Paramètres!$A$1:$I$89,3,0)*0.475*44/12</f>
        <v>0</v>
      </c>
      <c r="GN71" s="21">
        <f>EXP(-LN(2)/2)*GN70+(1-EXP(-LN(2)/2))/(LN(2)/2)*GH71*GK71*VLOOKUP('Données projet'!$B$17,Paramètres!$A$1:$I$89,3,0)*0.475*44/12</f>
        <v>0</v>
      </c>
      <c r="GO71" s="21">
        <f t="shared" si="81"/>
        <v>68.256822942055365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5.2</v>
      </c>
      <c r="GU71" s="12">
        <f>IF('Données projet'!$A$270&gt;35,GU70+GT71-HC70,IF(A71&lt;'Données projet'!$A$270,$GR$205^A71,IF(A71='Données projet'!$A$270,'Données projet'!$B$270,GU70+GT71-HC70)))</f>
        <v>355.59999999999968</v>
      </c>
      <c r="GV71" s="17">
        <f>GU71*VLOOKUP('Données projet'!$B$18,Paramètres!$A$1:$I$89,3,0)*VLOOKUP('Données projet'!$B$18,Paramètres!$A$1:$I$89,5,0)</f>
        <v>288.46271999999976</v>
      </c>
      <c r="GW71" s="13">
        <f t="shared" si="105"/>
        <v>68.752313829500608</v>
      </c>
      <c r="GX71" s="20">
        <f t="shared" si="82"/>
        <v>622.14951725304638</v>
      </c>
      <c r="GY71" s="59">
        <f t="shared" si="83"/>
        <v>915.48285058637975</v>
      </c>
      <c r="GZ71" s="59">
        <f ca="1">AVERAGE(OFFSET($GY$3,0,0,'Données projet'!$E$18+1,1))-AVERAGE(OFFSET($H$3,0,0,'Données projet'!$E$18+1,1))</f>
        <v>412.59676769258488</v>
      </c>
      <c r="HA71" s="59">
        <f t="shared" si="106"/>
        <v>399.90063795152133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46.085039530233892</v>
      </c>
      <c r="HH71" s="21">
        <f>EXP(-LN(2)/25)*HH70+(1-EXP(-LN(2)/25))/(LN(2)/25)*Calculateur!HC71*Calculateur!HE71*VLOOKUP('Données projet'!$B$18,Paramètres!$A$1:$I$89,3,0)*0.475*44/12</f>
        <v>0</v>
      </c>
      <c r="HI71" s="21">
        <f>EXP(-LN(2)/2)*HI70+(1-EXP(-LN(2)/2))/(LN(2)/2)*HC71*HF71*VLOOKUP('Données projet'!$B$18,Paramètres!$A$1:$I$89,3,0)*0.475*44/12</f>
        <v>0</v>
      </c>
      <c r="HJ71" s="22">
        <f t="shared" si="84"/>
        <v>46.085039530233892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8.1999999999999993</v>
      </c>
      <c r="N72" s="13">
        <f>IF('Données projet'!$A$36&gt;35,N71+M72-V71,IF(A72&lt;'Données projet'!$A$36,$K$205^A72,IF(A72='Données projet'!$A$36,'Données projet'!$B$36,N71+M72-V71)))</f>
        <v>293.79999999999995</v>
      </c>
      <c r="O72" s="13">
        <f>N72*VLOOKUP('Données projet'!$B$9,Paramètres!$A$1:$I$89,3,0)*VLOOKUP('Données projet'!$B$9,Paramètres!$A$1:$I$89,5,0)</f>
        <v>265.83023999999995</v>
      </c>
      <c r="P72" s="13">
        <f t="shared" si="87"/>
        <v>63.963540982526439</v>
      </c>
      <c r="Q72" s="20">
        <f t="shared" si="54"/>
        <v>574.39083521123348</v>
      </c>
      <c r="R72" s="59">
        <f t="shared" si="55"/>
        <v>867.72416854456674</v>
      </c>
      <c r="S72" s="59">
        <f ca="1">AVERAGE(OFFSET($R$3,0,0,'Données projet'!$E$9+1,1))-AVERAGE(OFFSET($H$3,0,0,'Données projet'!$E$9+1,1))</f>
        <v>439.19854273764042</v>
      </c>
      <c r="T72" s="59">
        <f t="shared" si="88"/>
        <v>278.21741231699929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59.00517070673741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59.00517070673741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8.1999999999999993</v>
      </c>
      <c r="AI72" s="13">
        <f>IF('Données projet'!$A$62&gt;35,AI71+AH72-AQ71,IF(A72&lt;'Données projet'!$A$62,$AF$205^A72,IF(A72='Données projet'!$A$62,'Données projet'!$B$62,AI71+AH72-AQ71)))</f>
        <v>293.79999999999995</v>
      </c>
      <c r="AJ72" s="13">
        <f>AI72*VLOOKUP('Données projet'!$B$10,Paramètres!$A$1:$I$89,3,0)*VLOOKUP('Données projet'!$B$10,Paramètres!$A$1:$I$89,5,0)</f>
        <v>297.91319999999996</v>
      </c>
      <c r="AK72" s="13">
        <f t="shared" si="89"/>
        <v>70.73881247427552</v>
      </c>
      <c r="AL72" s="20">
        <f t="shared" si="58"/>
        <v>642.06892172602977</v>
      </c>
      <c r="AM72" s="59">
        <f t="shared" si="59"/>
        <v>935.40225505936314</v>
      </c>
      <c r="AN72" s="59">
        <f ca="1">AVERAGE(OFFSET($AM$3,0,0,'Données projet'!$E$10+1,1))-AVERAGE(OFFSET($H$3,0,0,'Données projet'!$E$10+1,1))</f>
        <v>487.18832528146936</v>
      </c>
      <c r="AO72" s="59">
        <f t="shared" si="90"/>
        <v>306.61893266146666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66.126484412722959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66.126484412722959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369.00000000000023</v>
      </c>
      <c r="BE72" s="13">
        <f>BD72*VLOOKUP('Données projet'!$B$11,Paramètres!$A$1:$I$89,3,0)*VLOOKUP('Données projet'!$B$11,Paramètres!$A$1:$I$89,5,0)</f>
        <v>333.87120000000021</v>
      </c>
      <c r="BF72" s="13">
        <f t="shared" si="91"/>
        <v>78.23236011137638</v>
      </c>
      <c r="BG72" s="20">
        <f t="shared" si="61"/>
        <v>717.74703386064755</v>
      </c>
      <c r="BH72" s="59">
        <f t="shared" si="62"/>
        <v>1011.0803671939809</v>
      </c>
      <c r="BI72" s="59">
        <f ca="1">AVERAGE(OFFSET($BH$3,0,0,'Données projet'!$E$11+1,1))-AVERAGE(OFFSET($H$3,0,0,'Données projet'!$E$11+1,1))</f>
        <v>436.23918637269577</v>
      </c>
      <c r="BJ72" s="59">
        <f t="shared" si="92"/>
        <v>611.43967996341894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4.8830416512483099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4.8830416512483099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224.00000000000006</v>
      </c>
      <c r="BZ72" s="13">
        <f>BY72*VLOOKUP('Données projet'!$B$12,Paramètres!$A$1:$I$89,3,0)*VLOOKUP('Données projet'!$B$12,Paramètres!$A$1:$I$89,5,0)</f>
        <v>195.68640000000008</v>
      </c>
      <c r="CA72" s="13">
        <f t="shared" si="93"/>
        <v>48.794969360985156</v>
      </c>
      <c r="CB72" s="20">
        <f t="shared" si="64"/>
        <v>425.8050516370493</v>
      </c>
      <c r="CC72" s="59">
        <f t="shared" si="65"/>
        <v>719.13838497038262</v>
      </c>
      <c r="CD72" s="59">
        <f ca="1">AVERAGE(OFFSET($CC$3,0,0,'Données projet'!$E$12+1,1))-AVERAGE(OFFSET($H$3,0,0,'Données projet'!$E$12+1,1))</f>
        <v>304.32767345253382</v>
      </c>
      <c r="CE72" s="59">
        <f t="shared" si="94"/>
        <v>427.16091343339173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52.73190478398088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52.73190478398088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739.99999999999966</v>
      </c>
      <c r="CU72" s="17">
        <f>CT72*VLOOKUP('Données projet'!$B$13,Paramètres!$A$1:$I$89,3,0)*VLOOKUP('Données projet'!$B$13,Paramètres!$A$1:$I$89,5,0)</f>
        <v>413.65999999999985</v>
      </c>
      <c r="CV72" s="13">
        <f t="shared" si="95"/>
        <v>94.540585122244352</v>
      </c>
      <c r="CW72" s="20">
        <f t="shared" si="67"/>
        <v>885.11601908790863</v>
      </c>
      <c r="CX72" s="59">
        <f t="shared" si="68"/>
        <v>1178.4493524212419</v>
      </c>
      <c r="CY72" s="59">
        <f ca="1">AVERAGE(OFFSET($CX$3,0,0,'Données projet'!$E$13+1,1))-AVERAGE(OFFSET($H$3,0,0,'Données projet'!$E$13+1,1))</f>
        <v>555.15881087162279</v>
      </c>
      <c r="CZ72" s="59">
        <f t="shared" si="96"/>
        <v>668.20427590250733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103.33453252965452</v>
      </c>
      <c r="DG72" s="21">
        <f>EXP(-LN(2)/25)*DG71+(1-EXP(-LN(2)/25))/(LN(2)/25)*Calculateur!DB72*Calculateur!DD72*VLOOKUP('Données projet'!$B$13,Paramètres!$A$1:$I$89,3,0)*0.475*44/12</f>
        <v>19.596710458922114</v>
      </c>
      <c r="DH72" s="21">
        <f>EXP(-LN(2)/2)*DH71+(1-EXP(-LN(2)/2))/(LN(2)/2)*DB72*DE72*VLOOKUP('Données projet'!$B$13,Paramètres!$A$1:$I$89,3,0)*0.475*44/12</f>
        <v>1.1470461958072986E-6</v>
      </c>
      <c r="DI72" s="22">
        <f t="shared" si="69"/>
        <v>122.93124413562283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20.399999999999999</v>
      </c>
      <c r="DO72" s="12">
        <f>IF('Données projet'!$A$166&gt;35,DO71+DN72-DW71,IF(A72&lt;'Données projet'!$A$166,$DL$205^A72,IF(A72='Données projet'!$A$166,'Données projet'!$B$166,DO71+DN72-DW71)))</f>
        <v>867.59999999999934</v>
      </c>
      <c r="DP72" s="17">
        <f>DO72*VLOOKUP('Données projet'!$B$14,Paramètres!$A$1:$I$89,3,0)*VLOOKUP('Données projet'!$B$14,Paramètres!$A$1:$I$89,5,0)</f>
        <v>406.03679999999969</v>
      </c>
      <c r="DQ72" s="13">
        <f t="shared" si="97"/>
        <v>92.999464776643279</v>
      </c>
      <c r="DR72" s="20">
        <f t="shared" si="70"/>
        <v>869.15482781931985</v>
      </c>
      <c r="DS72" s="59">
        <f t="shared" si="71"/>
        <v>1162.4881611526532</v>
      </c>
      <c r="DT72" s="59">
        <f ca="1">AVERAGE(OFFSET($DS$3,0,0,'Données projet'!$E$14+1,1))-AVERAGE(OFFSET($H$3,0,0,'Données projet'!$E$14+1,1))</f>
        <v>523.79180230463714</v>
      </c>
      <c r="DU72" s="59">
        <f t="shared" si="98"/>
        <v>459.3547783500515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122.45369392183287</v>
      </c>
      <c r="EB72" s="21">
        <f>EXP(-LN(2)/25)*EB71+(1-EXP(-LN(2)/25))/(LN(2)/25)*Calculateur!DW72*Calculateur!DY72*VLOOKUP('Données projet'!$B$14,Paramètres!$A$1:$I$89,3,0)*0.475*44/12</f>
        <v>18.124477103421825</v>
      </c>
      <c r="EC72" s="21">
        <f>EXP(-LN(2)/2)*EC71+(1-EXP(-LN(2)/2))/(LN(2)/2)*DW72*DZ72*VLOOKUP('Données projet'!$B$14,Paramètres!$A$1:$I$89,3,0)*0.475*44/12</f>
        <v>1.6079738991522525E-6</v>
      </c>
      <c r="ED72" s="22">
        <f t="shared" si="72"/>
        <v>140.57817263322858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5.2</v>
      </c>
      <c r="EJ72" s="12">
        <f>IF('Données projet'!$A$192&gt;35,EJ71+EI72-ER71,IF(A72&lt;'Données projet'!$A$192,$EG$205^A72,IF(A72='Données projet'!$A$192,'Données projet'!$B$192,EJ71+EI72-ER71)))</f>
        <v>360.79999999999967</v>
      </c>
      <c r="EK72" s="17">
        <f>EJ72*VLOOKUP('Données projet'!$B$15,Paramètres!$A$1:$I$89,3,0)*VLOOKUP('Données projet'!$B$15,Paramètres!$A$1:$I$89,5,0)</f>
        <v>348.9657599999997</v>
      </c>
      <c r="EL72" s="13">
        <f t="shared" si="99"/>
        <v>81.349513815753511</v>
      </c>
      <c r="EM72" s="20">
        <f t="shared" si="73"/>
        <v>749.46576856243689</v>
      </c>
      <c r="EN72" s="59">
        <f t="shared" si="74"/>
        <v>1042.7991018957703</v>
      </c>
      <c r="EO72" s="59">
        <f ca="1">AVERAGE(OFFSET($EN$3,0,0,'Données projet'!$E$15+1,1))-AVERAGE(OFFSET($H$3,0,0,'Données projet'!$E$15+1,1))</f>
        <v>484.41278617935654</v>
      </c>
      <c r="EP72" s="59">
        <f t="shared" si="100"/>
        <v>467.97490540700738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53.870059247633904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53.870059247633904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5.2</v>
      </c>
      <c r="FE72" s="12">
        <f>IF('Données projet'!$A$218&gt;35,FE71+FD72-FM71,IF(A72&lt;'Données projet'!$A$218,$FB$205^A72,IF(A72='Données projet'!$A$218,'Données projet'!$B$218,FE71+FD72-FM71)))</f>
        <v>360.79999999999967</v>
      </c>
      <c r="FF72" s="17">
        <f>FE72*VLOOKUP('Données projet'!$B$16,Paramètres!$A$1:$I$89,3,0)*VLOOKUP('Données projet'!$B$16,Paramètres!$A$1:$I$89,5,0)</f>
        <v>388.36511999999959</v>
      </c>
      <c r="FG72" s="13">
        <f t="shared" si="101"/>
        <v>89.41383481327702</v>
      </c>
      <c r="FH72" s="20">
        <f t="shared" si="76"/>
        <v>832.13167963312344</v>
      </c>
      <c r="FI72" s="59">
        <f t="shared" si="77"/>
        <v>1125.4650129664567</v>
      </c>
      <c r="FJ72" s="59">
        <f ca="1">AVERAGE(OFFSET($FI$3,0,0,'Données projet'!$E$16+1,1))-AVERAGE(OFFSET($H$3,0,0,'Données projet'!$E$16+1,1))</f>
        <v>534.54020133239135</v>
      </c>
      <c r="FK72" s="59">
        <f t="shared" si="102"/>
        <v>515.48696069008815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59.95216271107644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59.95216271107644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6.2</v>
      </c>
      <c r="FZ72" s="12">
        <f>IF('Données projet'!$A$244&gt;35,FZ71+FY72-GH71,IF(A72&lt;'Données projet'!$A$244,$FW$205^A72,IF(A72='Données projet'!$A$244,'Données projet'!$B$244,FZ71+FY72-GH71)))</f>
        <v>259.7999999999999</v>
      </c>
      <c r="GA72" s="17">
        <f>FZ72*VLOOKUP('Données projet'!$B$17,Paramètres!$A$1:$I$89,3,0)*VLOOKUP('Données projet'!$B$17,Paramètres!$A$1:$I$89,5,0)</f>
        <v>247.2256799999999</v>
      </c>
      <c r="GB72" s="13">
        <f t="shared" si="103"/>
        <v>59.991476692987618</v>
      </c>
      <c r="GC72" s="20">
        <f t="shared" si="79"/>
        <v>535.06988124028646</v>
      </c>
      <c r="GD72" s="59">
        <f t="shared" si="80"/>
        <v>828.40321457361983</v>
      </c>
      <c r="GE72" s="59">
        <f ca="1">AVERAGE(OFFSET($GD$3,0,0,'Données projet'!$E$17+1,1))-AVERAGE(OFFSET($H$3,0,0,'Données projet'!$E$17+1,1))</f>
        <v>455.71329051283936</v>
      </c>
      <c r="GF72" s="59">
        <f t="shared" si="104"/>
        <v>479.3743231122258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66.918348276712777</v>
      </c>
      <c r="GM72" s="21">
        <f>EXP(-LN(2)/25)*GM71+(1-EXP(-LN(2)/25))/(LN(2)/25)*Calculateur!GH72*Calculateur!GJ72*VLOOKUP('Données projet'!$B$17,Paramètres!$A$1:$I$89,3,0)*0.475*44/12</f>
        <v>0</v>
      </c>
      <c r="GN72" s="21">
        <f>EXP(-LN(2)/2)*GN71+(1-EXP(-LN(2)/2))/(LN(2)/2)*GH72*GK72*VLOOKUP('Données projet'!$B$17,Paramètres!$A$1:$I$89,3,0)*0.475*44/12</f>
        <v>0</v>
      </c>
      <c r="GO72" s="21">
        <f t="shared" si="81"/>
        <v>66.918348276712777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5.2</v>
      </c>
      <c r="GU72" s="12">
        <f>IF('Données projet'!$A$270&gt;35,GU71+GT72-HC71,IF(A72&lt;'Données projet'!$A$270,$GR$205^A72,IF(A72='Données projet'!$A$270,'Données projet'!$B$270,GU71+GT72-HC71)))</f>
        <v>360.79999999999967</v>
      </c>
      <c r="GV72" s="17">
        <f>GU72*VLOOKUP('Données projet'!$B$18,Paramètres!$A$1:$I$89,3,0)*VLOOKUP('Données projet'!$B$18,Paramètres!$A$1:$I$89,5,0)</f>
        <v>292.68095999999974</v>
      </c>
      <c r="GW72" s="13">
        <f t="shared" si="105"/>
        <v>69.639912908926974</v>
      </c>
      <c r="GX72" s="20">
        <f t="shared" si="82"/>
        <v>631.04218698304737</v>
      </c>
      <c r="GY72" s="59">
        <f t="shared" si="83"/>
        <v>924.37552031638074</v>
      </c>
      <c r="GZ72" s="59">
        <f ca="1">AVERAGE(OFFSET($GY$3,0,0,'Données projet'!$E$18+1,1))-AVERAGE(OFFSET($H$3,0,0,'Données projet'!$E$18+1,1))</f>
        <v>412.59676769258488</v>
      </c>
      <c r="HA72" s="59">
        <f t="shared" si="106"/>
        <v>399.90063795152133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45.181340014144574</v>
      </c>
      <c r="HH72" s="21">
        <f>EXP(-LN(2)/25)*HH71+(1-EXP(-LN(2)/25))/(LN(2)/25)*Calculateur!HC72*Calculateur!HE72*VLOOKUP('Données projet'!$B$18,Paramètres!$A$1:$I$89,3,0)*0.475*44/12</f>
        <v>0</v>
      </c>
      <c r="HI72" s="21">
        <f>EXP(-LN(2)/2)*HI71+(1-EXP(-LN(2)/2))/(LN(2)/2)*HC72*HF72*VLOOKUP('Données projet'!$B$18,Paramètres!$A$1:$I$89,3,0)*0.475*44/12</f>
        <v>0</v>
      </c>
      <c r="HJ72" s="22">
        <f t="shared" si="84"/>
        <v>45.181340014144574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302</v>
      </c>
      <c r="L73" s="12">
        <f>VLOOKUP(A73,'Données projet'!$A$35:$I$55,9,0)</f>
        <v>8.1999999999999993</v>
      </c>
      <c r="M73" s="12">
        <f t="array" ref="M73">INDEX(L:L,MIN(IF(ISNUMBER(L73:L269),ROW(L73:L269),"")))</f>
        <v>8.1999999999999993</v>
      </c>
      <c r="N73" s="13">
        <f>IF('Données projet'!$A$36&gt;35,N72+M73-V72,IF(A73&lt;'Données projet'!$A$36,$K$205^A73,IF(A73='Données projet'!$A$36,'Données projet'!$B$36,N72+M73-V72)))</f>
        <v>301.99999999999994</v>
      </c>
      <c r="O73" s="13">
        <f>N73*VLOOKUP('Données projet'!$B$9,Paramètres!$A$1:$I$89,3,0)*VLOOKUP('Données projet'!$B$9,Paramètres!$A$1:$I$89,5,0)</f>
        <v>273.24959999999999</v>
      </c>
      <c r="P73" s="13">
        <f t="shared" si="87"/>
        <v>65.538435495514321</v>
      </c>
      <c r="Q73" s="20">
        <f t="shared" si="54"/>
        <v>590.05582848802067</v>
      </c>
      <c r="R73" s="59">
        <f t="shared" si="55"/>
        <v>883.38916182135404</v>
      </c>
      <c r="S73" s="59">
        <f ca="1">AVERAGE(OFFSET($R$3,0,0,'Données projet'!$E$9+1,1))-AVERAGE(OFFSET($H$3,0,0,'Données projet'!$E$9+1,1))</f>
        <v>439.19854273764042</v>
      </c>
      <c r="T73" s="59">
        <f t="shared" si="88"/>
        <v>278.21741231699929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28</v>
      </c>
      <c r="W73" s="16">
        <f>IF(ISNA(VLOOKUP(A73,'Données projet'!$A$35:$I$55,5,0)),0%,VLOOKUP(A73,'Données projet'!$A$35:$I$55,5,0)*VLOOKUP('Données projet'!$B$9,Paramètres!$A$1:$I$89,7,0))</f>
        <v>0.43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69.890879675571753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69.890879675571753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302</v>
      </c>
      <c r="AG73" s="12">
        <f>VLOOKUP(A73,'Données projet'!$A$61:$I$81,9,0)</f>
        <v>8.1999999999999993</v>
      </c>
      <c r="AH73" s="12">
        <f t="array" ref="AH73">INDEX(AG:AG,MIN(IF(ISNUMBER(AG73:AG269),ROW(AG73:AG269),"")))</f>
        <v>8.1999999999999993</v>
      </c>
      <c r="AI73" s="13">
        <f>IF('Données projet'!$A$62&gt;35,AI72+AH73-AQ72,IF(A73&lt;'Données projet'!$A$62,$AF$205^A73,IF(A73='Données projet'!$A$62,'Données projet'!$B$62,AI72+AH73-AQ72)))</f>
        <v>301.99999999999994</v>
      </c>
      <c r="AJ73" s="13">
        <f>AI73*VLOOKUP('Données projet'!$B$10,Paramètres!$A$1:$I$89,3,0)*VLOOKUP('Données projet'!$B$10,Paramètres!$A$1:$I$89,5,0)</f>
        <v>306.22800000000001</v>
      </c>
      <c r="AK73" s="13">
        <f t="shared" si="89"/>
        <v>72.480526049067294</v>
      </c>
      <c r="AL73" s="20">
        <f t="shared" si="58"/>
        <v>659.58401620212555</v>
      </c>
      <c r="AM73" s="59">
        <f t="shared" si="59"/>
        <v>952.91734953545892</v>
      </c>
      <c r="AN73" s="59">
        <f ca="1">AVERAGE(OFFSET($AM$3,0,0,'Données projet'!$E$10+1,1))-AVERAGE(OFFSET($H$3,0,0,'Données projet'!$E$10+1,1))</f>
        <v>487.18832528146936</v>
      </c>
      <c r="AO73" s="59">
        <f t="shared" si="90"/>
        <v>306.61893266146666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28</v>
      </c>
      <c r="AR73" s="16">
        <f>IF(ISNA(VLOOKUP(A73,'Données projet'!$A$61:$I$81,5,0)),0%,VLOOKUP(A73,'Données projet'!$A$61:$I$81,5,0)*VLOOKUP('Données projet'!$B$10,Paramètres!$A$1:$I$89,7,0))</f>
        <v>0.43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78.325985843313177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78.325985843313177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369.00000000000023</v>
      </c>
      <c r="BE73" s="13">
        <f>BD73*VLOOKUP('Données projet'!$B$11,Paramètres!$A$1:$I$89,3,0)*VLOOKUP('Données projet'!$B$11,Paramètres!$A$1:$I$89,5,0)</f>
        <v>333.87120000000021</v>
      </c>
      <c r="BF73" s="13">
        <f t="shared" si="91"/>
        <v>78.23236011137638</v>
      </c>
      <c r="BG73" s="20">
        <f t="shared" si="61"/>
        <v>717.74703386064755</v>
      </c>
      <c r="BH73" s="59">
        <f t="shared" si="62"/>
        <v>1011.0803671939809</v>
      </c>
      <c r="BI73" s="59">
        <f ca="1">AVERAGE(OFFSET($BH$3,0,0,'Données projet'!$E$11+1,1))-AVERAGE(OFFSET($H$3,0,0,'Données projet'!$E$11+1,1))</f>
        <v>436.23918637269577</v>
      </c>
      <c r="BJ73" s="59">
        <f t="shared" si="92"/>
        <v>611.43967996341894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4.7872881828286493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4.7872881828286493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224.00000000000006</v>
      </c>
      <c r="BZ73" s="13">
        <f>BY73*VLOOKUP('Données projet'!$B$12,Paramètres!$A$1:$I$89,3,0)*VLOOKUP('Données projet'!$B$12,Paramètres!$A$1:$I$89,5,0)</f>
        <v>195.68640000000008</v>
      </c>
      <c r="CA73" s="13">
        <f t="shared" si="93"/>
        <v>48.794969360985156</v>
      </c>
      <c r="CB73" s="20">
        <f t="shared" si="64"/>
        <v>425.8050516370493</v>
      </c>
      <c r="CC73" s="59">
        <f t="shared" si="65"/>
        <v>719.13838497038262</v>
      </c>
      <c r="CD73" s="59">
        <f ca="1">AVERAGE(OFFSET($CC$3,0,0,'Données projet'!$E$12+1,1))-AVERAGE(OFFSET($H$3,0,0,'Données projet'!$E$12+1,1))</f>
        <v>304.32767345253382</v>
      </c>
      <c r="CE73" s="59">
        <f t="shared" si="94"/>
        <v>427.16091343339173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51.697864294453076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51.697864294453076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739.99999999999966</v>
      </c>
      <c r="CU73" s="17">
        <f>CT73*VLOOKUP('Données projet'!$B$13,Paramètres!$A$1:$I$89,3,0)*VLOOKUP('Données projet'!$B$13,Paramètres!$A$1:$I$89,5,0)</f>
        <v>413.65999999999985</v>
      </c>
      <c r="CV73" s="13">
        <f t="shared" si="95"/>
        <v>94.540585122244352</v>
      </c>
      <c r="CW73" s="20">
        <f t="shared" si="67"/>
        <v>885.11601908790863</v>
      </c>
      <c r="CX73" s="59">
        <f t="shared" si="68"/>
        <v>1178.4493524212419</v>
      </c>
      <c r="CY73" s="59">
        <f ca="1">AVERAGE(OFFSET($CX$3,0,0,'Données projet'!$E$13+1,1))-AVERAGE(OFFSET($H$3,0,0,'Données projet'!$E$13+1,1))</f>
        <v>555.15881087162279</v>
      </c>
      <c r="CZ73" s="59">
        <f t="shared" si="96"/>
        <v>668.20427590250733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101.30820537458936</v>
      </c>
      <c r="DG73" s="21">
        <f>EXP(-LN(2)/25)*DG72+(1-EXP(-LN(2)/25))/(LN(2)/25)*Calculateur!DB73*Calculateur!DD73*VLOOKUP('Données projet'!$B$13,Paramètres!$A$1:$I$89,3,0)*0.475*44/12</f>
        <v>19.060837380876674</v>
      </c>
      <c r="DH73" s="21">
        <f>EXP(-LN(2)/2)*DH72+(1-EXP(-LN(2)/2))/(LN(2)/2)*DB73*DE73*VLOOKUP('Données projet'!$B$13,Paramètres!$A$1:$I$89,3,0)*0.475*44/12</f>
        <v>8.1108414338957324E-7</v>
      </c>
      <c r="DI73" s="22">
        <f t="shared" si="69"/>
        <v>120.36904356655019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888</v>
      </c>
      <c r="DM73" s="12">
        <f>VLOOKUP(A73,'Données projet'!$A$165:$I$185,9,0)</f>
        <v>20.399999999999999</v>
      </c>
      <c r="DN73" s="12">
        <f t="array" ref="DN73">INDEX(DM:DM,MIN(IF(ISNUMBER(DM73:DM269),ROW(DM73:DM269),"")))</f>
        <v>20.399999999999999</v>
      </c>
      <c r="DO73" s="12">
        <f>IF('Données projet'!$A$166&gt;35,DO72+DN73-DW72,IF(A73&lt;'Données projet'!$A$166,$DL$205^A73,IF(A73='Données projet'!$A$166,'Données projet'!$B$166,DO72+DN73-DW72)))</f>
        <v>887.99999999999932</v>
      </c>
      <c r="DP73" s="17">
        <f>DO73*VLOOKUP('Données projet'!$B$14,Paramètres!$A$1:$I$89,3,0)*VLOOKUP('Données projet'!$B$14,Paramètres!$A$1:$I$89,5,0)</f>
        <v>415.58399999999966</v>
      </c>
      <c r="DQ73" s="13">
        <f t="shared" si="97"/>
        <v>94.929019945687571</v>
      </c>
      <c r="DR73" s="20">
        <f t="shared" si="70"/>
        <v>889.14350973873854</v>
      </c>
      <c r="DS73" s="59">
        <f t="shared" si="71"/>
        <v>1182.4768430720719</v>
      </c>
      <c r="DT73" s="59">
        <f ca="1">AVERAGE(OFFSET($DS$3,0,0,'Données projet'!$E$14+1,1))-AVERAGE(OFFSET($H$3,0,0,'Données projet'!$E$14+1,1))</f>
        <v>523.79180230463714</v>
      </c>
      <c r="DU73" s="59">
        <f t="shared" si="98"/>
        <v>459.3547783500515</v>
      </c>
      <c r="DV73" s="15">
        <f>IF(ISNA(VLOOKUP(A73,'Données projet'!$A$165:$I$185,3,0)),0,VLOOKUP(A73,'Données projet'!$A$165:$I$185,3,0))</f>
        <v>11</v>
      </c>
      <c r="DW73" s="15">
        <f>IF(ISNA(VLOOKUP(A73,'Données projet'!$A$165:$I$185,4,0)),0,VLOOKUP(A73,'Données projet'!$A$165:$I$185,4,0))</f>
        <v>56</v>
      </c>
      <c r="DX73" s="16">
        <f>IF(ISNA(VLOOKUP(A73,'Données projet'!$A$165:$I$185,5,0)),0%,VLOOKUP(A73,'Données projet'!$A$165:$I$185,5,0)*VLOOKUP('Données projet'!$B$14,Paramètres!$A$1:$I$89,7,0))</f>
        <v>0.55000000000000004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139.17408235989177</v>
      </c>
      <c r="EB73" s="21">
        <f>EXP(-LN(2)/25)*EB72+(1-EXP(-LN(2)/25))/(LN(2)/25)*Calculateur!DW73*Calculateur!DY73*VLOOKUP('Données projet'!$B$14,Paramètres!$A$1:$I$89,3,0)*0.475*44/12</f>
        <v>17.628862323903927</v>
      </c>
      <c r="EC73" s="21">
        <f>EXP(-LN(2)/2)*EC72+(1-EXP(-LN(2)/2))/(LN(2)/2)*DW73*DZ73*VLOOKUP('Données projet'!$B$14,Paramètres!$A$1:$I$89,3,0)*0.475*44/12</f>
        <v>1.1370092480615314E-6</v>
      </c>
      <c r="ED73" s="22">
        <f t="shared" si="72"/>
        <v>156.80294582080492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366</v>
      </c>
      <c r="EH73" s="12">
        <f>VLOOKUP(A73,'Données projet'!$A$191:$I$211,9,0)</f>
        <v>5.2</v>
      </c>
      <c r="EI73" s="12">
        <f t="array" ref="EI73">INDEX(EH:EH,MIN(IF(ISNUMBER(EH73:EH269),ROW(EH73:EH269),"")))</f>
        <v>5.2</v>
      </c>
      <c r="EJ73" s="12">
        <f>IF('Données projet'!$A$192&gt;35,EJ72+EI73-ER72,IF(A73&lt;'Données projet'!$A$192,$EG$205^A73,IF(A73='Données projet'!$A$192,'Données projet'!$B$192,EJ72+EI73-ER72)))</f>
        <v>365.99999999999966</v>
      </c>
      <c r="EK73" s="17">
        <f>EJ73*VLOOKUP('Données projet'!$B$15,Paramètres!$A$1:$I$89,3,0)*VLOOKUP('Données projet'!$B$15,Paramètres!$A$1:$I$89,5,0)</f>
        <v>353.99519999999967</v>
      </c>
      <c r="EL73" s="13">
        <f t="shared" si="99"/>
        <v>82.384620192632156</v>
      </c>
      <c r="EM73" s="20">
        <f t="shared" si="73"/>
        <v>760.02818683550049</v>
      </c>
      <c r="EN73" s="59">
        <f t="shared" si="74"/>
        <v>1053.3615201688337</v>
      </c>
      <c r="EO73" s="59">
        <f ca="1">AVERAGE(OFFSET($EN$3,0,0,'Données projet'!$E$15+1,1))-AVERAGE(OFFSET($H$3,0,0,'Données projet'!$E$15+1,1))</f>
        <v>484.41278617935654</v>
      </c>
      <c r="EP73" s="59">
        <f t="shared" si="100"/>
        <v>467.97490540700738</v>
      </c>
      <c r="EQ73" s="15">
        <f>IF(ISNA(VLOOKUP(A73,'Données projet'!$A$191:$I$211,3,0)),0,VLOOKUP(A73,'Données projet'!$A$191:$I$211,3,0))</f>
        <v>13</v>
      </c>
      <c r="ER73" s="15">
        <f>IF(ISNA(VLOOKUP(A73,'Données projet'!$A$191:$I$211,4,0)),0,VLOOKUP(A73,'Données projet'!$A$191:$I$211,4,0))</f>
        <v>15</v>
      </c>
      <c r="ES73" s="16">
        <f>IF(ISNA(VLOOKUP(A73,'Données projet'!$A$191:$I$211,5,0)),0%,VLOOKUP(A73,'Données projet'!$A$191:$I$211,5,0)*VLOOKUP('Données projet'!$B$15,Paramètres!$A$1:$I$89,7,0))</f>
        <v>0.43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59.710110877773069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59.710110877773069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366</v>
      </c>
      <c r="FC73" s="12">
        <f>VLOOKUP(A73,'Données projet'!$A$217:$I$237,9,0)</f>
        <v>5.2</v>
      </c>
      <c r="FD73" s="12">
        <f t="array" ref="FD73">INDEX(FC:FC,MIN(IF(ISNUMBER(FC73:FC269),ROW(FC73:FC269),"")))</f>
        <v>5.2</v>
      </c>
      <c r="FE73" s="12">
        <f>IF('Données projet'!$A$218&gt;35,FE72+FD73-FM72,IF(A73&lt;'Données projet'!$A$218,$FB$205^A73,IF(A73='Données projet'!$A$218,'Données projet'!$B$218,FE72+FD73-FM72)))</f>
        <v>365.99999999999966</v>
      </c>
      <c r="FF73" s="17">
        <f>FE73*VLOOKUP('Données projet'!$B$16,Paramètres!$A$1:$I$89,3,0)*VLOOKUP('Données projet'!$B$16,Paramètres!$A$1:$I$89,5,0)</f>
        <v>393.9623999999996</v>
      </c>
      <c r="FG73" s="13">
        <f t="shared" si="101"/>
        <v>90.551553113671758</v>
      </c>
      <c r="FH73" s="20">
        <f t="shared" si="76"/>
        <v>843.86180167297755</v>
      </c>
      <c r="FI73" s="59">
        <f t="shared" si="77"/>
        <v>1137.1951350063109</v>
      </c>
      <c r="FJ73" s="59">
        <f ca="1">AVERAGE(OFFSET($FI$3,0,0,'Données projet'!$E$16+1,1))-AVERAGE(OFFSET($H$3,0,0,'Données projet'!$E$16+1,1))</f>
        <v>534.54020133239135</v>
      </c>
      <c r="FK73" s="59">
        <f t="shared" si="102"/>
        <v>515.48696069008815</v>
      </c>
      <c r="FL73" s="15">
        <f>IF(ISNA(VLOOKUP(A73,'Données projet'!$A$217:$I$237,3,0)),0,VLOOKUP(A73,'Données projet'!$A$217:$I$237,3,0))</f>
        <v>13</v>
      </c>
      <c r="FM73" s="15">
        <f>IF(ISNA(VLOOKUP(A73,'Données projet'!$A$217:$I$237,4,0)),0,VLOOKUP(A73,'Données projet'!$A$217:$I$237,4,0))</f>
        <v>15</v>
      </c>
      <c r="FN73" s="16">
        <f>IF(ISNA(VLOOKUP(A73,'Données projet'!$A$217:$I$237,5,0)),0%,VLOOKUP(A73,'Données projet'!$A$217:$I$237,5,0)*VLOOKUP('Données projet'!$B$16,Paramètres!$A$1:$I$89,7,0))</f>
        <v>0.43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66.451575009134544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66.451575009134544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266</v>
      </c>
      <c r="FX73" s="12">
        <f>VLOOKUP(A73,'Données projet'!$A$243:$I$263,9,0)</f>
        <v>6.2</v>
      </c>
      <c r="FY73" s="12">
        <f t="array" ref="FY73">INDEX(FX:FX,MIN(IF(ISNUMBER(FX73:FX269),ROW(FX73:FX269),"")))</f>
        <v>6.2</v>
      </c>
      <c r="FZ73" s="12">
        <f>IF('Données projet'!$A$244&gt;35,FZ72+FY73-GH72,IF(A73&lt;'Données projet'!$A$244,$FW$205^A73,IF(A73='Données projet'!$A$244,'Données projet'!$B$244,FZ72+FY73-GH72)))</f>
        <v>265.99999999999989</v>
      </c>
      <c r="GA73" s="17">
        <f>FZ73*VLOOKUP('Données projet'!$B$17,Paramètres!$A$1:$I$89,3,0)*VLOOKUP('Données projet'!$B$17,Paramètres!$A$1:$I$89,5,0)</f>
        <v>253.12559999999991</v>
      </c>
      <c r="GB73" s="13">
        <f t="shared" si="103"/>
        <v>61.254756291614335</v>
      </c>
      <c r="GC73" s="20">
        <f t="shared" si="79"/>
        <v>547.5457872078947</v>
      </c>
      <c r="GD73" s="59">
        <f t="shared" si="80"/>
        <v>840.87912054122808</v>
      </c>
      <c r="GE73" s="59">
        <f ca="1">AVERAGE(OFFSET($GD$3,0,0,'Données projet'!$E$17+1,1))-AVERAGE(OFFSET($H$3,0,0,'Données projet'!$E$17+1,1))</f>
        <v>455.71329051283936</v>
      </c>
      <c r="GF73" s="59">
        <f t="shared" si="104"/>
        <v>479.3743231122258</v>
      </c>
      <c r="GG73" s="15">
        <f>IF(ISNA(VLOOKUP(A73,'Données projet'!$A$243:$I$263,3,0)),0,VLOOKUP(A73,'Données projet'!$A$243:$I$263,3,0))</f>
        <v>13</v>
      </c>
      <c r="GH73" s="15">
        <f>IF(ISNA(VLOOKUP(A73,'Données projet'!$A$243:$I$263,4,0)),0,VLOOKUP(A73,'Données projet'!$A$243:$I$263,4,0))</f>
        <v>28</v>
      </c>
      <c r="GI73" s="16">
        <f>IF(ISNA(VLOOKUP(A73,'Données projet'!$A$243:$I$263,5,0)),0%,VLOOKUP(A73,'Données projet'!$A$243:$I$263,5,0)*VLOOKUP('Données projet'!$B$17,Paramètres!$A$1:$I$89,7,0))</f>
        <v>0.43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78.271786265657823</v>
      </c>
      <c r="GM73" s="21">
        <f>EXP(-LN(2)/25)*GM72+(1-EXP(-LN(2)/25))/(LN(2)/25)*Calculateur!GH73*Calculateur!GJ73*VLOOKUP('Données projet'!$B$17,Paramètres!$A$1:$I$89,3,0)*0.475*44/12</f>
        <v>0</v>
      </c>
      <c r="GN73" s="21">
        <f>EXP(-LN(2)/2)*GN72+(1-EXP(-LN(2)/2))/(LN(2)/2)*GH73*GK73*VLOOKUP('Données projet'!$B$17,Paramètres!$A$1:$I$89,3,0)*0.475*44/12</f>
        <v>0</v>
      </c>
      <c r="GO73" s="21">
        <f t="shared" si="81"/>
        <v>78.271786265657823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>
        <f>VLOOKUP(A73,'Données projet'!$A$269:$I$289,2,0)</f>
        <v>366</v>
      </c>
      <c r="GS73" s="12">
        <f>VLOOKUP(A73,'Données projet'!$A$269:$I$289,9,0)</f>
        <v>5.2</v>
      </c>
      <c r="GT73" s="12">
        <f t="array" ref="GT73">INDEX(GS:GS,MIN(IF(ISNUMBER(GS73:GS269),ROW(GS73:GS269),"")))</f>
        <v>5.2</v>
      </c>
      <c r="GU73" s="12">
        <f>IF('Données projet'!$A$270&gt;35,GU72+GT73-HC72,IF(A73&lt;'Données projet'!$A$270,$GR$205^A73,IF(A73='Données projet'!$A$270,'Données projet'!$B$270,GU72+GT73-HC72)))</f>
        <v>365.99999999999966</v>
      </c>
      <c r="GV73" s="17">
        <f>GU73*VLOOKUP('Données projet'!$B$18,Paramètres!$A$1:$I$89,3,0)*VLOOKUP('Données projet'!$B$18,Paramètres!$A$1:$I$89,5,0)</f>
        <v>296.89919999999972</v>
      </c>
      <c r="GW73" s="13">
        <f t="shared" si="105"/>
        <v>70.526024141264102</v>
      </c>
      <c r="GX73" s="20">
        <f t="shared" si="82"/>
        <v>639.93226537936778</v>
      </c>
      <c r="GY73" s="59">
        <f t="shared" si="83"/>
        <v>933.26559871270115</v>
      </c>
      <c r="GZ73" s="59">
        <f ca="1">AVERAGE(OFFSET($GY$3,0,0,'Données projet'!$E$18+1,1))-AVERAGE(OFFSET($H$3,0,0,'Données projet'!$E$18+1,1))</f>
        <v>412.59676769258488</v>
      </c>
      <c r="HA73" s="59">
        <f t="shared" si="106"/>
        <v>399.90063795152133</v>
      </c>
      <c r="HB73" s="15">
        <f>IF(ISNA(VLOOKUP(A73,'Données projet'!$A$269:$I$289,3,0)),0,VLOOKUP(A73,'Données projet'!$A$269:$I$289,3,0))</f>
        <v>13</v>
      </c>
      <c r="HC73" s="15">
        <f>IF(ISNA(VLOOKUP(A73,'Données projet'!$A$269:$I$289,4,0)),0,VLOOKUP(A73,'Données projet'!$A$269:$I$289,4,0))</f>
        <v>15</v>
      </c>
      <c r="HD73" s="16">
        <f>IF(ISNA(VLOOKUP(A73,'Données projet'!$A$269:$I$289,5,0)),0%,VLOOKUP(A73,'Données projet'!$A$269:$I$289,5,0)*VLOOKUP('Données projet'!$B$18,Paramètres!$A$1:$I$89,7,0))</f>
        <v>0.43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50.07944783297097</v>
      </c>
      <c r="HH73" s="21">
        <f>EXP(-LN(2)/25)*HH72+(1-EXP(-LN(2)/25))/(LN(2)/25)*Calculateur!HC73*Calculateur!HE73*VLOOKUP('Données projet'!$B$18,Paramètres!$A$1:$I$89,3,0)*0.475*44/12</f>
        <v>0</v>
      </c>
      <c r="HI73" s="21">
        <f>EXP(-LN(2)/2)*HI72+(1-EXP(-LN(2)/2))/(LN(2)/2)*HC73*HF73*VLOOKUP('Données projet'!$B$18,Paramètres!$A$1:$I$89,3,0)*0.475*44/12</f>
        <v>0</v>
      </c>
      <c r="HJ73" s="22">
        <f t="shared" si="84"/>
        <v>50.07944783297097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7.6</v>
      </c>
      <c r="N74" s="13">
        <f>IF('Données projet'!$A$36&gt;35,N73+M74-V73,IF(A74&lt;'Données projet'!$A$36,$K$205^A74,IF(A74='Données projet'!$A$36,'Données projet'!$B$36,N73+M74-V73)))</f>
        <v>281.59999999999997</v>
      </c>
      <c r="O74" s="13">
        <f>N74*VLOOKUP('Données projet'!$B$9,Paramètres!$A$1:$I$89,3,0)*VLOOKUP('Données projet'!$B$9,Paramètres!$A$1:$I$89,5,0)</f>
        <v>254.79167999999996</v>
      </c>
      <c r="P74" s="13">
        <f t="shared" si="87"/>
        <v>61.610870508448471</v>
      </c>
      <c r="Q74" s="20">
        <f t="shared" si="54"/>
        <v>551.067775468881</v>
      </c>
      <c r="R74" s="59">
        <f t="shared" si="55"/>
        <v>844.40110880221437</v>
      </c>
      <c r="S74" s="59">
        <f ca="1">AVERAGE(OFFSET($R$3,0,0,'Données projet'!$E$9+1,1))-AVERAGE(OFFSET($H$3,0,0,'Données projet'!$E$9+1,1))</f>
        <v>439.19854273764042</v>
      </c>
      <c r="T74" s="59">
        <f t="shared" si="88"/>
        <v>278.21741231699929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68.520362154361109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68.520362154361109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7.6</v>
      </c>
      <c r="AI74" s="13">
        <f>IF('Données projet'!$A$62&gt;35,AI73+AH74-AQ73,IF(A74&lt;'Données projet'!$A$62,$AF$205^A74,IF(A74='Données projet'!$A$62,'Données projet'!$B$62,AI73+AH74-AQ73)))</f>
        <v>281.59999999999997</v>
      </c>
      <c r="AJ74" s="13">
        <f>AI74*VLOOKUP('Données projet'!$B$10,Paramètres!$A$1:$I$89,3,0)*VLOOKUP('Données projet'!$B$10,Paramètres!$A$1:$I$89,5,0)</f>
        <v>285.54239999999999</v>
      </c>
      <c r="AK74" s="13">
        <f t="shared" si="89"/>
        <v>68.136937829389524</v>
      </c>
      <c r="AL74" s="20">
        <f t="shared" si="58"/>
        <v>615.99151338618674</v>
      </c>
      <c r="AM74" s="59">
        <f t="shared" si="59"/>
        <v>909.32484671952011</v>
      </c>
      <c r="AN74" s="59">
        <f ca="1">AVERAGE(OFFSET($AM$3,0,0,'Données projet'!$E$10+1,1))-AVERAGE(OFFSET($H$3,0,0,'Données projet'!$E$10+1,1))</f>
        <v>487.18832528146936</v>
      </c>
      <c r="AO74" s="59">
        <f t="shared" si="90"/>
        <v>306.61893266146666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76.790061035059864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76.790061035059864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369.00000000000023</v>
      </c>
      <c r="BE74" s="13">
        <f>BD74*VLOOKUP('Données projet'!$B$11,Paramètres!$A$1:$I$89,3,0)*VLOOKUP('Données projet'!$B$11,Paramètres!$A$1:$I$89,5,0)</f>
        <v>333.87120000000021</v>
      </c>
      <c r="BF74" s="13">
        <f t="shared" si="91"/>
        <v>78.23236011137638</v>
      </c>
      <c r="BG74" s="20">
        <f t="shared" si="61"/>
        <v>717.74703386064755</v>
      </c>
      <c r="BH74" s="59">
        <f t="shared" si="62"/>
        <v>1011.0803671939809</v>
      </c>
      <c r="BI74" s="59">
        <f ca="1">AVERAGE(OFFSET($BH$3,0,0,'Données projet'!$E$11+1,1))-AVERAGE(OFFSET($H$3,0,0,'Données projet'!$E$11+1,1))</f>
        <v>436.23918637269577</v>
      </c>
      <c r="BJ74" s="59">
        <f t="shared" si="92"/>
        <v>611.43967996341894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4.6934123815208491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4.6934123815208491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224.00000000000006</v>
      </c>
      <c r="BZ74" s="13">
        <f>BY74*VLOOKUP('Données projet'!$B$12,Paramètres!$A$1:$I$89,3,0)*VLOOKUP('Données projet'!$B$12,Paramètres!$A$1:$I$89,5,0)</f>
        <v>195.68640000000008</v>
      </c>
      <c r="CA74" s="13">
        <f t="shared" si="93"/>
        <v>48.794969360985156</v>
      </c>
      <c r="CB74" s="20">
        <f t="shared" si="64"/>
        <v>425.8050516370493</v>
      </c>
      <c r="CC74" s="59">
        <f t="shared" si="65"/>
        <v>719.13838497038262</v>
      </c>
      <c r="CD74" s="59">
        <f ca="1">AVERAGE(OFFSET($CC$3,0,0,'Données projet'!$E$12+1,1))-AVERAGE(OFFSET($H$3,0,0,'Données projet'!$E$12+1,1))</f>
        <v>304.32767345253382</v>
      </c>
      <c r="CE74" s="59">
        <f t="shared" si="94"/>
        <v>427.16091343339173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50.684100708222488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50.684100708222488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739.99999999999966</v>
      </c>
      <c r="CU74" s="17">
        <f>CT74*VLOOKUP('Données projet'!$B$13,Paramètres!$A$1:$I$89,3,0)*VLOOKUP('Données projet'!$B$13,Paramètres!$A$1:$I$89,5,0)</f>
        <v>413.65999999999985</v>
      </c>
      <c r="CV74" s="13">
        <f t="shared" si="95"/>
        <v>94.540585122244352</v>
      </c>
      <c r="CW74" s="20">
        <f t="shared" si="67"/>
        <v>885.11601908790863</v>
      </c>
      <c r="CX74" s="59">
        <f t="shared" si="68"/>
        <v>1178.4493524212419</v>
      </c>
      <c r="CY74" s="59">
        <f ca="1">AVERAGE(OFFSET($CX$3,0,0,'Données projet'!$E$13+1,1))-AVERAGE(OFFSET($H$3,0,0,'Données projet'!$E$13+1,1))</f>
        <v>555.15881087162279</v>
      </c>
      <c r="CZ74" s="59">
        <f t="shared" si="96"/>
        <v>668.20427590250733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99.321613259097504</v>
      </c>
      <c r="DG74" s="21">
        <f>EXP(-LN(2)/25)*DG73+(1-EXP(-LN(2)/25))/(LN(2)/25)*Calculateur!DB74*Calculateur!DD74*VLOOKUP('Données projet'!$B$13,Paramètres!$A$1:$I$89,3,0)*0.475*44/12</f>
        <v>18.539617780330726</v>
      </c>
      <c r="DH74" s="21">
        <f>EXP(-LN(2)/2)*DH73+(1-EXP(-LN(2)/2))/(LN(2)/2)*DB74*DE74*VLOOKUP('Données projet'!$B$13,Paramètres!$A$1:$I$89,3,0)*0.475*44/12</f>
        <v>5.7352309790364929E-7</v>
      </c>
      <c r="DI74" s="22">
        <f t="shared" si="69"/>
        <v>117.86123161295133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19.399999999999999</v>
      </c>
      <c r="DO74" s="12">
        <f>IF('Données projet'!$A$166&gt;35,DO73+DN74-DW73,IF(A74&lt;'Données projet'!$A$166,$DL$205^A74,IF(A74='Données projet'!$A$166,'Données projet'!$B$166,DO73+DN74-DW73)))</f>
        <v>851.3999999999993</v>
      </c>
      <c r="DP74" s="17">
        <f>DO74*VLOOKUP('Données projet'!$B$14,Paramètres!$A$1:$I$89,3,0)*VLOOKUP('Données projet'!$B$14,Paramètres!$A$1:$I$89,5,0)</f>
        <v>398.45519999999965</v>
      </c>
      <c r="DQ74" s="13">
        <f t="shared" si="97"/>
        <v>91.463410233206005</v>
      </c>
      <c r="DR74" s="20">
        <f t="shared" si="70"/>
        <v>853.27491282283324</v>
      </c>
      <c r="DS74" s="59">
        <f t="shared" si="71"/>
        <v>1146.6082461561666</v>
      </c>
      <c r="DT74" s="59">
        <f ca="1">AVERAGE(OFFSET($DS$3,0,0,'Données projet'!$E$14+1,1))-AVERAGE(OFFSET($H$3,0,0,'Données projet'!$E$14+1,1))</f>
        <v>523.79180230463714</v>
      </c>
      <c r="DU74" s="59">
        <f t="shared" si="98"/>
        <v>459.3547783500515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136.44496349262255</v>
      </c>
      <c r="EB74" s="21">
        <f>EXP(-LN(2)/25)*EB73+(1-EXP(-LN(2)/25))/(LN(2)/25)*Calculateur!DW74*Calculateur!DY74*VLOOKUP('Données projet'!$B$14,Paramètres!$A$1:$I$89,3,0)*0.475*44/12</f>
        <v>17.146800156595198</v>
      </c>
      <c r="EC74" s="21">
        <f>EXP(-LN(2)/2)*EC73+(1-EXP(-LN(2)/2))/(LN(2)/2)*DW74*DZ74*VLOOKUP('Données projet'!$B$14,Paramètres!$A$1:$I$89,3,0)*0.475*44/12</f>
        <v>8.0398694957612623E-7</v>
      </c>
      <c r="ED74" s="22">
        <f t="shared" si="72"/>
        <v>153.59176445320469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4.8</v>
      </c>
      <c r="EJ74" s="12">
        <f>IF('Données projet'!$A$192&gt;35,EJ73+EI74-ER73,IF(A74&lt;'Données projet'!$A$192,$EG$205^A74,IF(A74='Données projet'!$A$192,'Données projet'!$B$192,EJ73+EI74-ER73)))</f>
        <v>355.79999999999967</v>
      </c>
      <c r="EK74" s="17">
        <f>EJ74*VLOOKUP('Données projet'!$B$15,Paramètres!$A$1:$I$89,3,0)*VLOOKUP('Données projet'!$B$15,Paramètres!$A$1:$I$89,5,0)</f>
        <v>344.12975999999969</v>
      </c>
      <c r="EL74" s="13">
        <f t="shared" si="99"/>
        <v>80.3525805270543</v>
      </c>
      <c r="EM74" s="20">
        <f t="shared" si="73"/>
        <v>739.30674308461903</v>
      </c>
      <c r="EN74" s="59">
        <f t="shared" si="74"/>
        <v>1032.6400764179523</v>
      </c>
      <c r="EO74" s="59">
        <f ca="1">AVERAGE(OFFSET($EN$3,0,0,'Données projet'!$E$15+1,1))-AVERAGE(OFFSET($H$3,0,0,'Données projet'!$E$15+1,1))</f>
        <v>484.41278617935654</v>
      </c>
      <c r="EP74" s="59">
        <f t="shared" si="100"/>
        <v>467.97490540700738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58.539232023031438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58.539232023031438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4.8</v>
      </c>
      <c r="FE74" s="12">
        <f>IF('Données projet'!$A$218&gt;35,FE73+FD74-FM73,IF(A74&lt;'Données projet'!$A$218,$FB$205^A74,IF(A74='Données projet'!$A$218,'Données projet'!$B$218,FE73+FD74-FM73)))</f>
        <v>355.79999999999967</v>
      </c>
      <c r="FF74" s="17">
        <f>FE74*VLOOKUP('Données projet'!$B$16,Paramètres!$A$1:$I$89,3,0)*VLOOKUP('Données projet'!$B$16,Paramètres!$A$1:$I$89,5,0)</f>
        <v>382.98311999999964</v>
      </c>
      <c r="FG74" s="13">
        <f t="shared" si="101"/>
        <v>88.318073766720559</v>
      </c>
      <c r="FH74" s="20">
        <f t="shared" si="76"/>
        <v>820.84957914370432</v>
      </c>
      <c r="FI74" s="59">
        <f t="shared" si="77"/>
        <v>1114.1829124770377</v>
      </c>
      <c r="FJ74" s="59">
        <f ca="1">AVERAGE(OFFSET($FI$3,0,0,'Données projet'!$E$16+1,1))-AVERAGE(OFFSET($H$3,0,0,'Données projet'!$E$16+1,1))</f>
        <v>534.54020133239135</v>
      </c>
      <c r="FK74" s="59">
        <f t="shared" si="102"/>
        <v>515.48696069008815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65.148500154664021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65.148500154664021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5.8</v>
      </c>
      <c r="FZ74" s="12">
        <f>IF('Données projet'!$A$244&gt;35,FZ73+FY74-GH73,IF(A74&lt;'Données projet'!$A$244,$FW$205^A74,IF(A74='Données projet'!$A$244,'Données projet'!$B$244,FZ73+FY74-GH73)))</f>
        <v>243.7999999999999</v>
      </c>
      <c r="GA74" s="17">
        <f>FZ74*VLOOKUP('Données projet'!$B$17,Paramètres!$A$1:$I$89,3,0)*VLOOKUP('Données projet'!$B$17,Paramètres!$A$1:$I$89,5,0)</f>
        <v>232.00007999999991</v>
      </c>
      <c r="GB74" s="13">
        <f t="shared" si="103"/>
        <v>56.714927420893837</v>
      </c>
      <c r="GC74" s="20">
        <f t="shared" si="79"/>
        <v>502.84530459138995</v>
      </c>
      <c r="GD74" s="59">
        <f t="shared" si="80"/>
        <v>796.17863792472326</v>
      </c>
      <c r="GE74" s="59">
        <f ca="1">AVERAGE(OFFSET($GD$3,0,0,'Données projet'!$E$17+1,1))-AVERAGE(OFFSET($H$3,0,0,'Données projet'!$E$17+1,1))</f>
        <v>455.71329051283936</v>
      </c>
      <c r="GF74" s="59">
        <f t="shared" si="104"/>
        <v>479.3743231122258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76.736924278063853</v>
      </c>
      <c r="GM74" s="21">
        <f>EXP(-LN(2)/25)*GM73+(1-EXP(-LN(2)/25))/(LN(2)/25)*Calculateur!GH74*Calculateur!GJ74*VLOOKUP('Données projet'!$B$17,Paramètres!$A$1:$I$89,3,0)*0.475*44/12</f>
        <v>0</v>
      </c>
      <c r="GN74" s="21">
        <f>EXP(-LN(2)/2)*GN73+(1-EXP(-LN(2)/2))/(LN(2)/2)*GH74*GK74*VLOOKUP('Données projet'!$B$17,Paramètres!$A$1:$I$89,3,0)*0.475*44/12</f>
        <v>0</v>
      </c>
      <c r="GO74" s="21">
        <f t="shared" si="81"/>
        <v>76.736924278063853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4.8</v>
      </c>
      <c r="GU74" s="12">
        <f>IF('Données projet'!$A$270&gt;35,GU73+GT74-HC73,IF(A74&lt;'Données projet'!$A$270,$GR$205^A74,IF(A74='Données projet'!$A$270,'Données projet'!$B$270,GU73+GT74-HC73)))</f>
        <v>355.79999999999967</v>
      </c>
      <c r="GV74" s="17">
        <f>GU74*VLOOKUP('Données projet'!$B$18,Paramètres!$A$1:$I$89,3,0)*VLOOKUP('Données projet'!$B$18,Paramètres!$A$1:$I$89,5,0)</f>
        <v>288.62495999999976</v>
      </c>
      <c r="GW74" s="13">
        <f t="shared" si="105"/>
        <v>68.786480059183503</v>
      </c>
      <c r="GX74" s="20">
        <f t="shared" si="82"/>
        <v>622.49159143641089</v>
      </c>
      <c r="GY74" s="59">
        <f t="shared" si="83"/>
        <v>915.82492476974426</v>
      </c>
      <c r="GZ74" s="59">
        <f ca="1">AVERAGE(OFFSET($GY$3,0,0,'Données projet'!$E$18+1,1))-AVERAGE(OFFSET($H$3,0,0,'Données projet'!$E$18+1,1))</f>
        <v>412.59676769258488</v>
      </c>
      <c r="HA74" s="59">
        <f t="shared" si="106"/>
        <v>399.90063795152133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49.097420406413477</v>
      </c>
      <c r="HH74" s="21">
        <f>EXP(-LN(2)/25)*HH73+(1-EXP(-LN(2)/25))/(LN(2)/25)*Calculateur!HC74*Calculateur!HE74*VLOOKUP('Données projet'!$B$18,Paramètres!$A$1:$I$89,3,0)*0.475*44/12</f>
        <v>0</v>
      </c>
      <c r="HI74" s="21">
        <f>EXP(-LN(2)/2)*HI73+(1-EXP(-LN(2)/2))/(LN(2)/2)*HC74*HF74*VLOOKUP('Données projet'!$B$18,Paramètres!$A$1:$I$89,3,0)*0.475*44/12</f>
        <v>0</v>
      </c>
      <c r="HJ74" s="22">
        <f t="shared" si="84"/>
        <v>49.097420406413477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7.6</v>
      </c>
      <c r="N75" s="13">
        <f>IF('Données projet'!$A$36&gt;35,N74+M75-V74,IF(A75&lt;'Données projet'!$A$36,$K$205^A75,IF(A75='Données projet'!$A$36,'Données projet'!$B$36,N74+M75-V74)))</f>
        <v>289.2</v>
      </c>
      <c r="O75" s="13">
        <f>N75*VLOOKUP('Données projet'!$B$9,Paramètres!$A$1:$I$89,3,0)*VLOOKUP('Données projet'!$B$9,Paramètres!$A$1:$I$89,5,0)</f>
        <v>261.66816</v>
      </c>
      <c r="P75" s="13">
        <f t="shared" si="87"/>
        <v>63.077829793082856</v>
      </c>
      <c r="Q75" s="20">
        <f t="shared" si="54"/>
        <v>565.5992655562859</v>
      </c>
      <c r="R75" s="59">
        <f t="shared" si="55"/>
        <v>858.93259888961916</v>
      </c>
      <c r="S75" s="59">
        <f ca="1">AVERAGE(OFFSET($R$3,0,0,'Données projet'!$E$9+1,1))-AVERAGE(OFFSET($H$3,0,0,'Données projet'!$E$9+1,1))</f>
        <v>439.19854273764042</v>
      </c>
      <c r="T75" s="59">
        <f t="shared" si="88"/>
        <v>278.21741231699929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67.176719645808262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67.176719645808262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7.6</v>
      </c>
      <c r="AI75" s="13">
        <f>IF('Données projet'!$A$62&gt;35,AI74+AH75-AQ74,IF(A75&lt;'Données projet'!$A$62,$AF$205^A75,IF(A75='Données projet'!$A$62,'Données projet'!$B$62,AI74+AH75-AQ74)))</f>
        <v>289.2</v>
      </c>
      <c r="AJ75" s="13">
        <f>AI75*VLOOKUP('Données projet'!$B$10,Paramètres!$A$1:$I$89,3,0)*VLOOKUP('Données projet'!$B$10,Paramètres!$A$1:$I$89,5,0)</f>
        <v>293.24880000000002</v>
      </c>
      <c r="AK75" s="13">
        <f t="shared" si="89"/>
        <v>69.759283249126327</v>
      </c>
      <c r="AL75" s="20">
        <f t="shared" si="58"/>
        <v>632.23907832556176</v>
      </c>
      <c r="AM75" s="59">
        <f t="shared" si="59"/>
        <v>925.57241165889513</v>
      </c>
      <c r="AN75" s="59">
        <f ca="1">AVERAGE(OFFSET($AM$3,0,0,'Données projet'!$E$10+1,1))-AVERAGE(OFFSET($H$3,0,0,'Données projet'!$E$10+1,1))</f>
        <v>487.18832528146936</v>
      </c>
      <c r="AO75" s="59">
        <f t="shared" si="90"/>
        <v>306.61893266146666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75.284254775474764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75.284254775474764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369.00000000000023</v>
      </c>
      <c r="BE75" s="13">
        <f>BD75*VLOOKUP('Données projet'!$B$11,Paramètres!$A$1:$I$89,3,0)*VLOOKUP('Données projet'!$B$11,Paramètres!$A$1:$I$89,5,0)</f>
        <v>333.87120000000021</v>
      </c>
      <c r="BF75" s="13">
        <f t="shared" si="91"/>
        <v>78.23236011137638</v>
      </c>
      <c r="BG75" s="20">
        <f t="shared" si="61"/>
        <v>717.74703386064755</v>
      </c>
      <c r="BH75" s="59">
        <f t="shared" si="62"/>
        <v>1011.0803671939809</v>
      </c>
      <c r="BI75" s="59">
        <f ca="1">AVERAGE(OFFSET($BH$3,0,0,'Données projet'!$E$11+1,1))-AVERAGE(OFFSET($H$3,0,0,'Données projet'!$E$11+1,1))</f>
        <v>436.23918637269577</v>
      </c>
      <c r="BJ75" s="59">
        <f t="shared" si="92"/>
        <v>611.43967996341894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4.6013774274181101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4.6013774274181101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224.00000000000006</v>
      </c>
      <c r="BZ75" s="13">
        <f>BY75*VLOOKUP('Données projet'!$B$12,Paramètres!$A$1:$I$89,3,0)*VLOOKUP('Données projet'!$B$12,Paramètres!$A$1:$I$89,5,0)</f>
        <v>195.68640000000008</v>
      </c>
      <c r="CA75" s="13">
        <f t="shared" si="93"/>
        <v>48.794969360985156</v>
      </c>
      <c r="CB75" s="20">
        <f t="shared" si="64"/>
        <v>425.8050516370493</v>
      </c>
      <c r="CC75" s="59">
        <f t="shared" si="65"/>
        <v>719.13838497038262</v>
      </c>
      <c r="CD75" s="59">
        <f ca="1">AVERAGE(OFFSET($CC$3,0,0,'Données projet'!$E$12+1,1))-AVERAGE(OFFSET($H$3,0,0,'Données projet'!$E$12+1,1))</f>
        <v>304.32767345253382</v>
      </c>
      <c r="CE75" s="59">
        <f t="shared" si="94"/>
        <v>427.16091343339173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49.690216407583151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49.690216407583151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739.99999999999966</v>
      </c>
      <c r="CU75" s="17">
        <f>CT75*VLOOKUP('Données projet'!$B$13,Paramètres!$A$1:$I$89,3,0)*VLOOKUP('Données projet'!$B$13,Paramètres!$A$1:$I$89,5,0)</f>
        <v>413.65999999999985</v>
      </c>
      <c r="CV75" s="13">
        <f t="shared" si="95"/>
        <v>94.540585122244352</v>
      </c>
      <c r="CW75" s="20">
        <f t="shared" si="67"/>
        <v>885.11601908790863</v>
      </c>
      <c r="CX75" s="59">
        <f t="shared" si="68"/>
        <v>1178.4493524212419</v>
      </c>
      <c r="CY75" s="59">
        <f ca="1">AVERAGE(OFFSET($CX$3,0,0,'Données projet'!$E$13+1,1))-AVERAGE(OFFSET($H$3,0,0,'Données projet'!$E$13+1,1))</f>
        <v>555.15881087162279</v>
      </c>
      <c r="CZ75" s="59">
        <f t="shared" si="96"/>
        <v>668.20427590250733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97.373977003288886</v>
      </c>
      <c r="DG75" s="21">
        <f>EXP(-LN(2)/25)*DG74+(1-EXP(-LN(2)/25))/(LN(2)/25)*Calculateur!DB75*Calculateur!DD75*VLOOKUP('Données projet'!$B$13,Paramètres!$A$1:$I$89,3,0)*0.475*44/12</f>
        <v>18.032650957171455</v>
      </c>
      <c r="DH75" s="21">
        <f>EXP(-LN(2)/2)*DH74+(1-EXP(-LN(2)/2))/(LN(2)/2)*DB75*DE75*VLOOKUP('Données projet'!$B$13,Paramètres!$A$1:$I$89,3,0)*0.475*44/12</f>
        <v>4.0554207169478662E-7</v>
      </c>
      <c r="DI75" s="22">
        <f t="shared" si="69"/>
        <v>115.40662836600241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19.399999999999999</v>
      </c>
      <c r="DO75" s="12">
        <f>IF('Données projet'!$A$166&gt;35,DO74+DN75-DW74,IF(A75&lt;'Données projet'!$A$166,$DL$205^A75,IF(A75='Données projet'!$A$166,'Données projet'!$B$166,DO74+DN75-DW74)))</f>
        <v>870.79999999999927</v>
      </c>
      <c r="DP75" s="17">
        <f>DO75*VLOOKUP('Données projet'!$B$14,Paramètres!$A$1:$I$89,3,0)*VLOOKUP('Données projet'!$B$14,Paramètres!$A$1:$I$89,5,0)</f>
        <v>407.53439999999966</v>
      </c>
      <c r="DQ75" s="13">
        <f t="shared" si="97"/>
        <v>93.302486304007417</v>
      </c>
      <c r="DR75" s="20">
        <f t="shared" si="70"/>
        <v>872.29091031281223</v>
      </c>
      <c r="DS75" s="59">
        <f t="shared" si="71"/>
        <v>1165.6242436461455</v>
      </c>
      <c r="DT75" s="59">
        <f ca="1">AVERAGE(OFFSET($DS$3,0,0,'Données projet'!$E$14+1,1))-AVERAGE(OFFSET($H$3,0,0,'Données projet'!$E$14+1,1))</f>
        <v>523.79180230463714</v>
      </c>
      <c r="DU75" s="59">
        <f t="shared" si="98"/>
        <v>459.3547783500515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133.76936098174235</v>
      </c>
      <c r="EB75" s="21">
        <f>EXP(-LN(2)/25)*EB74+(1-EXP(-LN(2)/25))/(LN(2)/25)*Calculateur!DW75*Calculateur!DY75*VLOOKUP('Données projet'!$B$14,Paramètres!$A$1:$I$89,3,0)*0.475*44/12</f>
        <v>16.677920004602072</v>
      </c>
      <c r="EC75" s="21">
        <f>EXP(-LN(2)/2)*EC74+(1-EXP(-LN(2)/2))/(LN(2)/2)*DW75*DZ75*VLOOKUP('Données projet'!$B$14,Paramètres!$A$1:$I$89,3,0)*0.475*44/12</f>
        <v>5.685046240307657E-7</v>
      </c>
      <c r="ED75" s="22">
        <f t="shared" si="72"/>
        <v>150.44728155484904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4.8</v>
      </c>
      <c r="EJ75" s="12">
        <f>IF('Données projet'!$A$192&gt;35,EJ74+EI75-ER74,IF(A75&lt;'Données projet'!$A$192,$EG$205^A75,IF(A75='Données projet'!$A$192,'Données projet'!$B$192,EJ74+EI75-ER74)))</f>
        <v>360.59999999999968</v>
      </c>
      <c r="EK75" s="17">
        <f>EJ75*VLOOKUP('Données projet'!$B$15,Paramètres!$A$1:$I$89,3,0)*VLOOKUP('Données projet'!$B$15,Paramètres!$A$1:$I$89,5,0)</f>
        <v>348.7723199999997</v>
      </c>
      <c r="EL75" s="13">
        <f t="shared" si="99"/>
        <v>81.309667502080231</v>
      </c>
      <c r="EM75" s="20">
        <f t="shared" si="73"/>
        <v>749.05946156612254</v>
      </c>
      <c r="EN75" s="59">
        <f t="shared" si="74"/>
        <v>1042.3927948994558</v>
      </c>
      <c r="EO75" s="59">
        <f ca="1">AVERAGE(OFFSET($EN$3,0,0,'Données projet'!$E$15+1,1))-AVERAGE(OFFSET($H$3,0,0,'Données projet'!$E$15+1,1))</f>
        <v>484.41278617935654</v>
      </c>
      <c r="EP75" s="59">
        <f t="shared" si="100"/>
        <v>467.97490540700738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57.391313388465711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57.391313388465711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4.8</v>
      </c>
      <c r="FE75" s="12">
        <f>IF('Données projet'!$A$218&gt;35,FE74+FD75-FM74,IF(A75&lt;'Données projet'!$A$218,$FB$205^A75,IF(A75='Données projet'!$A$218,'Données projet'!$B$218,FE74+FD75-FM74)))</f>
        <v>360.59999999999968</v>
      </c>
      <c r="FF75" s="17">
        <f>FE75*VLOOKUP('Données projet'!$B$16,Paramètres!$A$1:$I$89,3,0)*VLOOKUP('Données projet'!$B$16,Paramètres!$A$1:$I$89,5,0)</f>
        <v>388.14983999999964</v>
      </c>
      <c r="FG75" s="13">
        <f t="shared" si="101"/>
        <v>89.370038464146063</v>
      </c>
      <c r="FH75" s="20">
        <f t="shared" si="76"/>
        <v>831.68045499172024</v>
      </c>
      <c r="FI75" s="59">
        <f t="shared" si="77"/>
        <v>1125.0137883250536</v>
      </c>
      <c r="FJ75" s="59">
        <f ca="1">AVERAGE(OFFSET($FI$3,0,0,'Données projet'!$E$16+1,1))-AVERAGE(OFFSET($H$3,0,0,'Données projet'!$E$16+1,1))</f>
        <v>534.54020133239135</v>
      </c>
      <c r="FK75" s="59">
        <f t="shared" si="102"/>
        <v>515.48696069008815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63.870977803292483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63.870977803292483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5.8</v>
      </c>
      <c r="FZ75" s="12">
        <f>IF('Données projet'!$A$244&gt;35,FZ74+FY75-GH74,IF(A75&lt;'Données projet'!$A$244,$FW$205^A75,IF(A75='Données projet'!$A$244,'Données projet'!$B$244,FZ74+FY75-GH74)))</f>
        <v>249.59999999999991</v>
      </c>
      <c r="GA75" s="17">
        <f>FZ75*VLOOKUP('Données projet'!$B$17,Paramètres!$A$1:$I$89,3,0)*VLOOKUP('Données projet'!$B$17,Paramètres!$A$1:$I$89,5,0)</f>
        <v>237.51935999999992</v>
      </c>
      <c r="GB75" s="13">
        <f t="shared" si="103"/>
        <v>57.905486397207433</v>
      </c>
      <c r="GC75" s="20">
        <f t="shared" si="79"/>
        <v>514.53160747513618</v>
      </c>
      <c r="GD75" s="59">
        <f t="shared" si="80"/>
        <v>807.86494080846956</v>
      </c>
      <c r="GE75" s="59">
        <f ca="1">AVERAGE(OFFSET($GD$3,0,0,'Données projet'!$E$17+1,1))-AVERAGE(OFFSET($H$3,0,0,'Données projet'!$E$17+1,1))</f>
        <v>455.71329051283936</v>
      </c>
      <c r="GF75" s="59">
        <f t="shared" si="104"/>
        <v>479.3743231122258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75.232159997873225</v>
      </c>
      <c r="GM75" s="21">
        <f>EXP(-LN(2)/25)*GM74+(1-EXP(-LN(2)/25))/(LN(2)/25)*Calculateur!GH75*Calculateur!GJ75*VLOOKUP('Données projet'!$B$17,Paramètres!$A$1:$I$89,3,0)*0.475*44/12</f>
        <v>0</v>
      </c>
      <c r="GN75" s="21">
        <f>EXP(-LN(2)/2)*GN74+(1-EXP(-LN(2)/2))/(LN(2)/2)*GH75*GK75*VLOOKUP('Données projet'!$B$17,Paramètres!$A$1:$I$89,3,0)*0.475*44/12</f>
        <v>0</v>
      </c>
      <c r="GO75" s="21">
        <f t="shared" si="81"/>
        <v>75.232159997873225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4.8</v>
      </c>
      <c r="GU75" s="12">
        <f>IF('Données projet'!$A$270&gt;35,GU74+GT75-HC74,IF(A75&lt;'Données projet'!$A$270,$GR$205^A75,IF(A75='Données projet'!$A$270,'Données projet'!$B$270,GU74+GT75-HC74)))</f>
        <v>360.59999999999968</v>
      </c>
      <c r="GV75" s="17">
        <f>GU75*VLOOKUP('Données projet'!$B$18,Paramètres!$A$1:$I$89,3,0)*VLOOKUP('Données projet'!$B$18,Paramètres!$A$1:$I$89,5,0)</f>
        <v>292.51871999999975</v>
      </c>
      <c r="GW75" s="13">
        <f t="shared" si="105"/>
        <v>69.60580214804105</v>
      </c>
      <c r="GX75" s="20">
        <f t="shared" si="82"/>
        <v>630.70020940783763</v>
      </c>
      <c r="GY75" s="59">
        <f t="shared" si="83"/>
        <v>924.033542741171</v>
      </c>
      <c r="GZ75" s="59">
        <f ca="1">AVERAGE(OFFSET($GY$3,0,0,'Données projet'!$E$18+1,1))-AVERAGE(OFFSET($H$3,0,0,'Données projet'!$E$18+1,1))</f>
        <v>412.59676769258488</v>
      </c>
      <c r="HA75" s="59">
        <f t="shared" si="106"/>
        <v>399.90063795152133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48.134649938713189</v>
      </c>
      <c r="HH75" s="21">
        <f>EXP(-LN(2)/25)*HH74+(1-EXP(-LN(2)/25))/(LN(2)/25)*Calculateur!HC75*Calculateur!HE75*VLOOKUP('Données projet'!$B$18,Paramètres!$A$1:$I$89,3,0)*0.475*44/12</f>
        <v>0</v>
      </c>
      <c r="HI75" s="21">
        <f>EXP(-LN(2)/2)*HI74+(1-EXP(-LN(2)/2))/(LN(2)/2)*HC75*HF75*VLOOKUP('Données projet'!$B$18,Paramètres!$A$1:$I$89,3,0)*0.475*44/12</f>
        <v>0</v>
      </c>
      <c r="HJ75" s="22">
        <f t="shared" si="84"/>
        <v>48.134649938713189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7.6</v>
      </c>
      <c r="N76" s="13">
        <f>IF('Données projet'!$A$36&gt;35,N75+M76-V75,IF(A76&lt;'Données projet'!$A$36,$K$205^A76,IF(A76='Données projet'!$A$36,'Données projet'!$B$36,N75+M76-V75)))</f>
        <v>296.8</v>
      </c>
      <c r="O76" s="13">
        <f>N76*VLOOKUP('Données projet'!$B$9,Paramètres!$A$1:$I$89,3,0)*VLOOKUP('Données projet'!$B$9,Paramètres!$A$1:$I$89,5,0)</f>
        <v>268.54464000000002</v>
      </c>
      <c r="P76" s="13">
        <f t="shared" si="87"/>
        <v>64.54030807605065</v>
      </c>
      <c r="Q76" s="20">
        <f t="shared" si="54"/>
        <v>580.12295123245474</v>
      </c>
      <c r="R76" s="59">
        <f t="shared" si="55"/>
        <v>873.45628456578811</v>
      </c>
      <c r="S76" s="59">
        <f ca="1">AVERAGE(OFFSET($R$3,0,0,'Données projet'!$E$9+1,1))-AVERAGE(OFFSET($H$3,0,0,'Données projet'!$E$9+1,1))</f>
        <v>439.19854273764042</v>
      </c>
      <c r="T76" s="59">
        <f t="shared" si="88"/>
        <v>278.21741231699929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65.859425147307121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65.859425147307121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7.6</v>
      </c>
      <c r="AI76" s="13">
        <f>IF('Données projet'!$A$62&gt;35,AI75+AH76-AQ75,IF(A76&lt;'Données projet'!$A$62,$AF$205^A76,IF(A76='Données projet'!$A$62,'Données projet'!$B$62,AI75+AH76-AQ75)))</f>
        <v>296.8</v>
      </c>
      <c r="AJ76" s="13">
        <f>AI76*VLOOKUP('Données projet'!$B$10,Paramètres!$A$1:$I$89,3,0)*VLOOKUP('Données projet'!$B$10,Paramètres!$A$1:$I$89,5,0)</f>
        <v>300.95520000000005</v>
      </c>
      <c r="AK76" s="13">
        <f t="shared" si="89"/>
        <v>71.376673021759785</v>
      </c>
      <c r="AL76" s="20">
        <f t="shared" si="58"/>
        <v>648.4780121795651</v>
      </c>
      <c r="AM76" s="59">
        <f t="shared" si="59"/>
        <v>941.81134551289847</v>
      </c>
      <c r="AN76" s="59">
        <f ca="1">AVERAGE(OFFSET($AM$3,0,0,'Données projet'!$E$10+1,1))-AVERAGE(OFFSET($H$3,0,0,'Données projet'!$E$10+1,1))</f>
        <v>487.18832528146936</v>
      </c>
      <c r="AO76" s="59">
        <f t="shared" si="90"/>
        <v>306.61893266146666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73.807976458189003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73.807976458189003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369.00000000000023</v>
      </c>
      <c r="BE76" s="13">
        <f>BD76*VLOOKUP('Données projet'!$B$11,Paramètres!$A$1:$I$89,3,0)*VLOOKUP('Données projet'!$B$11,Paramètres!$A$1:$I$89,5,0)</f>
        <v>333.87120000000021</v>
      </c>
      <c r="BF76" s="13">
        <f t="shared" si="91"/>
        <v>78.23236011137638</v>
      </c>
      <c r="BG76" s="20">
        <f t="shared" si="61"/>
        <v>717.74703386064755</v>
      </c>
      <c r="BH76" s="59">
        <f t="shared" si="62"/>
        <v>1011.0803671939809</v>
      </c>
      <c r="BI76" s="59">
        <f ca="1">AVERAGE(OFFSET($BH$3,0,0,'Données projet'!$E$11+1,1))-AVERAGE(OFFSET($H$3,0,0,'Données projet'!$E$11+1,1))</f>
        <v>436.23918637269577</v>
      </c>
      <c r="BJ76" s="59">
        <f t="shared" si="92"/>
        <v>611.43967996341894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4.5111472226295461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4.5111472226295461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224.00000000000006</v>
      </c>
      <c r="BZ76" s="13">
        <f>BY76*VLOOKUP('Données projet'!$B$12,Paramètres!$A$1:$I$89,3,0)*VLOOKUP('Données projet'!$B$12,Paramètres!$A$1:$I$89,5,0)</f>
        <v>195.68640000000008</v>
      </c>
      <c r="CA76" s="13">
        <f t="shared" si="93"/>
        <v>48.794969360985156</v>
      </c>
      <c r="CB76" s="20">
        <f t="shared" si="64"/>
        <v>425.8050516370493</v>
      </c>
      <c r="CC76" s="59">
        <f t="shared" si="65"/>
        <v>719.13838497038262</v>
      </c>
      <c r="CD76" s="59">
        <f ca="1">AVERAGE(OFFSET($CC$3,0,0,'Données projet'!$E$12+1,1))-AVERAGE(OFFSET($H$3,0,0,'Données projet'!$E$12+1,1))</f>
        <v>304.32767345253382</v>
      </c>
      <c r="CE76" s="59">
        <f t="shared" si="94"/>
        <v>427.16091343339173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48.715821571869782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48.715821571869782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739.99999999999966</v>
      </c>
      <c r="CU76" s="17">
        <f>CT76*VLOOKUP('Données projet'!$B$13,Paramètres!$A$1:$I$89,3,0)*VLOOKUP('Données projet'!$B$13,Paramètres!$A$1:$I$89,5,0)</f>
        <v>413.65999999999985</v>
      </c>
      <c r="CV76" s="13">
        <f t="shared" si="95"/>
        <v>94.540585122244352</v>
      </c>
      <c r="CW76" s="20">
        <f t="shared" si="67"/>
        <v>885.11601908790863</v>
      </c>
      <c r="CX76" s="59">
        <f t="shared" si="68"/>
        <v>1178.4493524212419</v>
      </c>
      <c r="CY76" s="59">
        <f ca="1">AVERAGE(OFFSET($CX$3,0,0,'Données projet'!$E$13+1,1))-AVERAGE(OFFSET($H$3,0,0,'Données projet'!$E$13+1,1))</f>
        <v>555.15881087162279</v>
      </c>
      <c r="CZ76" s="59">
        <f t="shared" si="96"/>
        <v>668.20427590250733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95.464532706515868</v>
      </c>
      <c r="DG76" s="21">
        <f>EXP(-LN(2)/25)*DG75+(1-EXP(-LN(2)/25))/(LN(2)/25)*Calculateur!DB76*Calculateur!DD76*VLOOKUP('Données projet'!$B$13,Paramètres!$A$1:$I$89,3,0)*0.475*44/12</f>
        <v>17.539547168451701</v>
      </c>
      <c r="DH76" s="21">
        <f>EXP(-LN(2)/2)*DH75+(1-EXP(-LN(2)/2))/(LN(2)/2)*DB76*DE76*VLOOKUP('Données projet'!$B$13,Paramètres!$A$1:$I$89,3,0)*0.475*44/12</f>
        <v>2.8676154895182465E-7</v>
      </c>
      <c r="DI76" s="22">
        <f t="shared" si="69"/>
        <v>113.00408016172912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19.399999999999999</v>
      </c>
      <c r="DO76" s="12">
        <f>IF('Données projet'!$A$166&gt;35,DO75+DN76-DW75,IF(A76&lt;'Données projet'!$A$166,$DL$205^A76,IF(A76='Données projet'!$A$166,'Données projet'!$B$166,DO75+DN76-DW75)))</f>
        <v>890.19999999999925</v>
      </c>
      <c r="DP76" s="17">
        <f>DO76*VLOOKUP('Données projet'!$B$14,Paramètres!$A$1:$I$89,3,0)*VLOOKUP('Données projet'!$B$14,Paramètres!$A$1:$I$89,5,0)</f>
        <v>416.61359999999962</v>
      </c>
      <c r="DQ76" s="13">
        <f t="shared" si="97"/>
        <v>95.1367990415023</v>
      </c>
      <c r="DR76" s="20">
        <f t="shared" si="70"/>
        <v>891.29861166394903</v>
      </c>
      <c r="DS76" s="59">
        <f t="shared" si="71"/>
        <v>1184.6319449972823</v>
      </c>
      <c r="DT76" s="59">
        <f ca="1">AVERAGE(OFFSET($DS$3,0,0,'Données projet'!$E$14+1,1))-AVERAGE(OFFSET($H$3,0,0,'Données projet'!$E$14+1,1))</f>
        <v>523.79180230463714</v>
      </c>
      <c r="DU76" s="59">
        <f t="shared" si="98"/>
        <v>459.3547783500515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131.1462254041441</v>
      </c>
      <c r="EB76" s="21">
        <f>EXP(-LN(2)/25)*EB75+(1-EXP(-LN(2)/25))/(LN(2)/25)*Calculateur!DW76*Calculateur!DY76*VLOOKUP('Données projet'!$B$14,Paramètres!$A$1:$I$89,3,0)*0.475*44/12</f>
        <v>16.221861405022533</v>
      </c>
      <c r="EC76" s="21">
        <f>EXP(-LN(2)/2)*EC75+(1-EXP(-LN(2)/2))/(LN(2)/2)*DW76*DZ76*VLOOKUP('Données projet'!$B$14,Paramètres!$A$1:$I$89,3,0)*0.475*44/12</f>
        <v>4.0199347478806311E-7</v>
      </c>
      <c r="ED76" s="22">
        <f t="shared" si="72"/>
        <v>147.36808721116012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4.8</v>
      </c>
      <c r="EJ76" s="12">
        <f>IF('Données projet'!$A$192&gt;35,EJ75+EI76-ER75,IF(A76&lt;'Données projet'!$A$192,$EG$205^A76,IF(A76='Données projet'!$A$192,'Données projet'!$B$192,EJ75+EI76-ER75)))</f>
        <v>365.39999999999969</v>
      </c>
      <c r="EK76" s="17">
        <f>EJ76*VLOOKUP('Données projet'!$B$15,Paramètres!$A$1:$I$89,3,0)*VLOOKUP('Données projet'!$B$15,Paramètres!$A$1:$I$89,5,0)</f>
        <v>353.4148799999997</v>
      </c>
      <c r="EL76" s="13">
        <f t="shared" si="99"/>
        <v>82.265272651637517</v>
      </c>
      <c r="EM76" s="20">
        <f t="shared" si="73"/>
        <v>758.80959920160149</v>
      </c>
      <c r="EN76" s="59">
        <f t="shared" si="74"/>
        <v>1052.1429325349347</v>
      </c>
      <c r="EO76" s="59">
        <f ca="1">AVERAGE(OFFSET($EN$3,0,0,'Données projet'!$E$15+1,1))-AVERAGE(OFFSET($H$3,0,0,'Données projet'!$E$15+1,1))</f>
        <v>484.41278617935654</v>
      </c>
      <c r="EP76" s="59">
        <f t="shared" si="100"/>
        <v>467.97490540700738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56.265904738162583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56.265904738162583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4.8</v>
      </c>
      <c r="FE76" s="12">
        <f>IF('Données projet'!$A$218&gt;35,FE75+FD76-FM75,IF(A76&lt;'Données projet'!$A$218,$FB$205^A76,IF(A76='Données projet'!$A$218,'Données projet'!$B$218,FE75+FD76-FM75)))</f>
        <v>365.39999999999969</v>
      </c>
      <c r="FF76" s="17">
        <f>FE76*VLOOKUP('Données projet'!$B$16,Paramètres!$A$1:$I$89,3,0)*VLOOKUP('Données projet'!$B$16,Paramètres!$A$1:$I$89,5,0)</f>
        <v>393.31655999999964</v>
      </c>
      <c r="FG76" s="13">
        <f t="shared" si="101"/>
        <v>90.420374440126864</v>
      </c>
      <c r="FH76" s="20">
        <f t="shared" si="76"/>
        <v>842.50849414988704</v>
      </c>
      <c r="FI76" s="59">
        <f t="shared" si="77"/>
        <v>1135.8418274832204</v>
      </c>
      <c r="FJ76" s="59">
        <f ca="1">AVERAGE(OFFSET($FI$3,0,0,'Données projet'!$E$16+1,1))-AVERAGE(OFFSET($H$3,0,0,'Données projet'!$E$16+1,1))</f>
        <v>534.54020133239135</v>
      </c>
      <c r="FK76" s="59">
        <f t="shared" si="102"/>
        <v>515.48696069008815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62.618506886019652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62.618506886019652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5.8</v>
      </c>
      <c r="FZ76" s="12">
        <f>IF('Données projet'!$A$244&gt;35,FZ75+FY76-GH75,IF(A76&lt;'Données projet'!$A$244,$FW$205^A76,IF(A76='Données projet'!$A$244,'Données projet'!$B$244,FZ75+FY76-GH75)))</f>
        <v>255.39999999999992</v>
      </c>
      <c r="GA76" s="17">
        <f>FZ76*VLOOKUP('Données projet'!$B$17,Paramètres!$A$1:$I$89,3,0)*VLOOKUP('Données projet'!$B$17,Paramètres!$A$1:$I$89,5,0)</f>
        <v>243.03863999999993</v>
      </c>
      <c r="GB76" s="13">
        <f t="shared" si="103"/>
        <v>59.092829185665224</v>
      </c>
      <c r="GC76" s="20">
        <f t="shared" si="79"/>
        <v>526.21230883170017</v>
      </c>
      <c r="GD76" s="59">
        <f t="shared" si="80"/>
        <v>819.54564216503354</v>
      </c>
      <c r="GE76" s="59">
        <f ca="1">AVERAGE(OFFSET($GD$3,0,0,'Données projet'!$E$17+1,1))-AVERAGE(OFFSET($H$3,0,0,'Données projet'!$E$17+1,1))</f>
        <v>455.71329051283936</v>
      </c>
      <c r="GF76" s="59">
        <f t="shared" si="104"/>
        <v>479.3743231122258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73.756903227401551</v>
      </c>
      <c r="GM76" s="21">
        <f>EXP(-LN(2)/25)*GM75+(1-EXP(-LN(2)/25))/(LN(2)/25)*Calculateur!GH76*Calculateur!GJ76*VLOOKUP('Données projet'!$B$17,Paramètres!$A$1:$I$89,3,0)*0.475*44/12</f>
        <v>0</v>
      </c>
      <c r="GN76" s="21">
        <f>EXP(-LN(2)/2)*GN75+(1-EXP(-LN(2)/2))/(LN(2)/2)*GH76*GK76*VLOOKUP('Données projet'!$B$17,Paramètres!$A$1:$I$89,3,0)*0.475*44/12</f>
        <v>0</v>
      </c>
      <c r="GO76" s="21">
        <f t="shared" si="81"/>
        <v>73.756903227401551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4.8</v>
      </c>
      <c r="GU76" s="12">
        <f>IF('Données projet'!$A$270&gt;35,GU75+GT76-HC75,IF(A76&lt;'Données projet'!$A$270,$GR$205^A76,IF(A76='Données projet'!$A$270,'Données projet'!$B$270,GU75+GT76-HC75)))</f>
        <v>365.39999999999969</v>
      </c>
      <c r="GV76" s="17">
        <f>GU76*VLOOKUP('Données projet'!$B$18,Paramètres!$A$1:$I$89,3,0)*VLOOKUP('Données projet'!$B$18,Paramètres!$A$1:$I$89,5,0)</f>
        <v>296.41247999999973</v>
      </c>
      <c r="GW76" s="13">
        <f t="shared" si="105"/>
        <v>70.423855708154704</v>
      </c>
      <c r="GX76" s="20">
        <f t="shared" si="82"/>
        <v>638.90661802503564</v>
      </c>
      <c r="GY76" s="59">
        <f t="shared" si="83"/>
        <v>932.2399513583689</v>
      </c>
      <c r="GZ76" s="59">
        <f ca="1">AVERAGE(OFFSET($GY$3,0,0,'Données projet'!$E$18+1,1))-AVERAGE(OFFSET($H$3,0,0,'Données projet'!$E$18+1,1))</f>
        <v>412.59676769258488</v>
      </c>
      <c r="HA76" s="59">
        <f t="shared" si="106"/>
        <v>399.90063795152133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47.190758812652504</v>
      </c>
      <c r="HH76" s="21">
        <f>EXP(-LN(2)/25)*HH75+(1-EXP(-LN(2)/25))/(LN(2)/25)*Calculateur!HC76*Calculateur!HE76*VLOOKUP('Données projet'!$B$18,Paramètres!$A$1:$I$89,3,0)*0.475*44/12</f>
        <v>0</v>
      </c>
      <c r="HI76" s="21">
        <f>EXP(-LN(2)/2)*HI75+(1-EXP(-LN(2)/2))/(LN(2)/2)*HC76*HF76*VLOOKUP('Données projet'!$B$18,Paramètres!$A$1:$I$89,3,0)*0.475*44/12</f>
        <v>0</v>
      </c>
      <c r="HJ76" s="22">
        <f t="shared" si="84"/>
        <v>47.190758812652504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7.6</v>
      </c>
      <c r="N77" s="13">
        <f>IF('Données projet'!$A$36&gt;35,N76+M77-V76,IF(A77&lt;'Données projet'!$A$36,$K$205^A77,IF(A77='Données projet'!$A$36,'Données projet'!$B$36,N76+M77-V76)))</f>
        <v>304.40000000000003</v>
      </c>
      <c r="O77" s="13">
        <f>N77*VLOOKUP('Données projet'!$B$9,Paramètres!$A$1:$I$89,3,0)*VLOOKUP('Données projet'!$B$9,Paramètres!$A$1:$I$89,5,0)</f>
        <v>275.42112000000003</v>
      </c>
      <c r="P77" s="13">
        <f t="shared" si="87"/>
        <v>65.998433293601067</v>
      </c>
      <c r="Q77" s="20">
        <f t="shared" si="54"/>
        <v>594.63905531968851</v>
      </c>
      <c r="R77" s="59">
        <f t="shared" si="55"/>
        <v>887.97238865302188</v>
      </c>
      <c r="S77" s="59">
        <f ca="1">AVERAGE(OFFSET($R$3,0,0,'Données projet'!$E$9+1,1))-AVERAGE(OFFSET($H$3,0,0,'Données projet'!$E$9+1,1))</f>
        <v>439.19854273764042</v>
      </c>
      <c r="T77" s="59">
        <f t="shared" si="88"/>
        <v>278.21741231699929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64.56796199045128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64.56796199045128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7.6</v>
      </c>
      <c r="AI77" s="13">
        <f>IF('Données projet'!$A$62&gt;35,AI76+AH77-AQ76,IF(A77&lt;'Données projet'!$A$62,$AF$205^A77,IF(A77='Données projet'!$A$62,'Données projet'!$B$62,AI76+AH77-AQ76)))</f>
        <v>304.40000000000003</v>
      </c>
      <c r="AJ77" s="13">
        <f>AI77*VLOOKUP('Données projet'!$B$10,Paramètres!$A$1:$I$89,3,0)*VLOOKUP('Données projet'!$B$10,Paramètres!$A$1:$I$89,5,0)</f>
        <v>308.66160000000008</v>
      </c>
      <c r="AK77" s="13">
        <f t="shared" si="89"/>
        <v>72.98924863505313</v>
      </c>
      <c r="AL77" s="20">
        <f t="shared" si="58"/>
        <v>664.70856137271755</v>
      </c>
      <c r="AM77" s="59">
        <f t="shared" si="59"/>
        <v>958.04189470605093</v>
      </c>
      <c r="AN77" s="59">
        <f ca="1">AVERAGE(OFFSET($AM$3,0,0,'Données projet'!$E$10+1,1))-AVERAGE(OFFSET($H$3,0,0,'Données projet'!$E$10+1,1))</f>
        <v>487.18832528146936</v>
      </c>
      <c r="AO77" s="59">
        <f t="shared" si="90"/>
        <v>306.61893266146666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72.360647058264362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72.360647058264362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369.00000000000023</v>
      </c>
      <c r="BE77" s="13">
        <f>BD77*VLOOKUP('Données projet'!$B$11,Paramètres!$A$1:$I$89,3,0)*VLOOKUP('Données projet'!$B$11,Paramètres!$A$1:$I$89,5,0)</f>
        <v>333.87120000000021</v>
      </c>
      <c r="BF77" s="13">
        <f t="shared" si="91"/>
        <v>78.23236011137638</v>
      </c>
      <c r="BG77" s="20">
        <f t="shared" si="61"/>
        <v>717.74703386064755</v>
      </c>
      <c r="BH77" s="59">
        <f t="shared" si="62"/>
        <v>1011.0803671939809</v>
      </c>
      <c r="BI77" s="59">
        <f ca="1">AVERAGE(OFFSET($BH$3,0,0,'Données projet'!$E$11+1,1))-AVERAGE(OFFSET($H$3,0,0,'Données projet'!$E$11+1,1))</f>
        <v>436.23918637269577</v>
      </c>
      <c r="BJ77" s="59">
        <f t="shared" si="92"/>
        <v>611.43967996341894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4.4226863771218961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4.4226863771218961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224.00000000000006</v>
      </c>
      <c r="BZ77" s="13">
        <f>BY77*VLOOKUP('Données projet'!$B$12,Paramètres!$A$1:$I$89,3,0)*VLOOKUP('Données projet'!$B$12,Paramètres!$A$1:$I$89,5,0)</f>
        <v>195.68640000000008</v>
      </c>
      <c r="CA77" s="13">
        <f t="shared" si="93"/>
        <v>48.794969360985156</v>
      </c>
      <c r="CB77" s="20">
        <f t="shared" si="64"/>
        <v>425.8050516370493</v>
      </c>
      <c r="CC77" s="59">
        <f t="shared" si="65"/>
        <v>719.13838497038262</v>
      </c>
      <c r="CD77" s="59">
        <f ca="1">AVERAGE(OFFSET($CC$3,0,0,'Données projet'!$E$12+1,1))-AVERAGE(OFFSET($H$3,0,0,'Données projet'!$E$12+1,1))</f>
        <v>304.32767345253382</v>
      </c>
      <c r="CE77" s="59">
        <f t="shared" si="94"/>
        <v>427.16091343339173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47.760534024562588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47.760534024562588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739.99999999999966</v>
      </c>
      <c r="CU77" s="17">
        <f>CT77*VLOOKUP('Données projet'!$B$13,Paramètres!$A$1:$I$89,3,0)*VLOOKUP('Données projet'!$B$13,Paramètres!$A$1:$I$89,5,0)</f>
        <v>413.65999999999985</v>
      </c>
      <c r="CV77" s="13">
        <f t="shared" si="95"/>
        <v>94.540585122244352</v>
      </c>
      <c r="CW77" s="20">
        <f t="shared" si="67"/>
        <v>885.11601908790863</v>
      </c>
      <c r="CX77" s="59">
        <f t="shared" si="68"/>
        <v>1178.4493524212419</v>
      </c>
      <c r="CY77" s="59">
        <f ca="1">AVERAGE(OFFSET($CX$3,0,0,'Données projet'!$E$13+1,1))-AVERAGE(OFFSET($H$3,0,0,'Données projet'!$E$13+1,1))</f>
        <v>555.15881087162279</v>
      </c>
      <c r="CZ77" s="59">
        <f t="shared" si="96"/>
        <v>668.20427590250733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93.592531447756542</v>
      </c>
      <c r="DG77" s="21">
        <f>EXP(-LN(2)/25)*DG76+(1-EXP(-LN(2)/25))/(LN(2)/25)*Calculateur!DB77*Calculateur!DD77*VLOOKUP('Données projet'!$B$13,Paramètres!$A$1:$I$89,3,0)*0.475*44/12</f>
        <v>17.059927328765692</v>
      </c>
      <c r="DH77" s="21">
        <f>EXP(-LN(2)/2)*DH76+(1-EXP(-LN(2)/2))/(LN(2)/2)*DB77*DE77*VLOOKUP('Données projet'!$B$13,Paramètres!$A$1:$I$89,3,0)*0.475*44/12</f>
        <v>2.0277103584739331E-7</v>
      </c>
      <c r="DI77" s="22">
        <f t="shared" si="69"/>
        <v>110.65245897929327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19.399999999999999</v>
      </c>
      <c r="DO77" s="12">
        <f>IF('Données projet'!$A$166&gt;35,DO76+DN77-DW76,IF(A77&lt;'Données projet'!$A$166,$DL$205^A77,IF(A77='Données projet'!$A$166,'Données projet'!$B$166,DO76+DN77-DW76)))</f>
        <v>909.59999999999923</v>
      </c>
      <c r="DP77" s="17">
        <f>DO77*VLOOKUP('Données projet'!$B$14,Paramètres!$A$1:$I$89,3,0)*VLOOKUP('Données projet'!$B$14,Paramètres!$A$1:$I$89,5,0)</f>
        <v>425.69279999999969</v>
      </c>
      <c r="DQ77" s="13">
        <f t="shared" si="97"/>
        <v>96.966464207062799</v>
      </c>
      <c r="DR77" s="20">
        <f t="shared" si="70"/>
        <v>910.29821849396728</v>
      </c>
      <c r="DS77" s="59">
        <f t="shared" si="71"/>
        <v>1203.6315518273007</v>
      </c>
      <c r="DT77" s="59">
        <f ca="1">AVERAGE(OFFSET($DS$3,0,0,'Données projet'!$E$14+1,1))-AVERAGE(OFFSET($H$3,0,0,'Données projet'!$E$14+1,1))</f>
        <v>523.79180230463714</v>
      </c>
      <c r="DU77" s="59">
        <f t="shared" si="98"/>
        <v>459.3547783500515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128.57452791526785</v>
      </c>
      <c r="EB77" s="21">
        <f>EXP(-LN(2)/25)*EB76+(1-EXP(-LN(2)/25))/(LN(2)/25)*Calculateur!DW77*Calculateur!DY77*VLOOKUP('Données projet'!$B$14,Paramètres!$A$1:$I$89,3,0)*0.475*44/12</f>
        <v>15.778273751831577</v>
      </c>
      <c r="EC77" s="21">
        <f>EXP(-LN(2)/2)*EC76+(1-EXP(-LN(2)/2))/(LN(2)/2)*DW77*DZ77*VLOOKUP('Données projet'!$B$14,Paramètres!$A$1:$I$89,3,0)*0.475*44/12</f>
        <v>2.8425231201538285E-7</v>
      </c>
      <c r="ED77" s="22">
        <f t="shared" si="72"/>
        <v>144.35280195135172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4.8</v>
      </c>
      <c r="EJ77" s="12">
        <f>IF('Données projet'!$A$192&gt;35,EJ76+EI77-ER76,IF(A77&lt;'Données projet'!$A$192,$EG$205^A77,IF(A77='Données projet'!$A$192,'Données projet'!$B$192,EJ76+EI77-ER76)))</f>
        <v>370.1999999999997</v>
      </c>
      <c r="EK77" s="17">
        <f>EJ77*VLOOKUP('Données projet'!$B$15,Paramètres!$A$1:$I$89,3,0)*VLOOKUP('Données projet'!$B$15,Paramètres!$A$1:$I$89,5,0)</f>
        <v>358.0574399999997</v>
      </c>
      <c r="EL77" s="13">
        <f t="shared" si="99"/>
        <v>83.219417691870433</v>
      </c>
      <c r="EM77" s="20">
        <f t="shared" si="73"/>
        <v>768.5571938133404</v>
      </c>
      <c r="EN77" s="59">
        <f t="shared" si="74"/>
        <v>1061.8905271466738</v>
      </c>
      <c r="EO77" s="59">
        <f ca="1">AVERAGE(OFFSET($EN$3,0,0,'Données projet'!$E$15+1,1))-AVERAGE(OFFSET($H$3,0,0,'Données projet'!$E$15+1,1))</f>
        <v>484.41278617935654</v>
      </c>
      <c r="EP77" s="59">
        <f t="shared" si="100"/>
        <v>467.97490540700738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55.162564665060401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55.162564665060401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4.8</v>
      </c>
      <c r="FE77" s="12">
        <f>IF('Données projet'!$A$218&gt;35,FE76+FD77-FM76,IF(A77&lt;'Données projet'!$A$218,$FB$205^A77,IF(A77='Données projet'!$A$218,'Données projet'!$B$218,FE76+FD77-FM76)))</f>
        <v>370.1999999999997</v>
      </c>
      <c r="FF77" s="17">
        <f>FE77*VLOOKUP('Données projet'!$B$16,Paramètres!$A$1:$I$89,3,0)*VLOOKUP('Données projet'!$B$16,Paramètres!$A$1:$I$89,5,0)</f>
        <v>398.4832799999997</v>
      </c>
      <c r="FG77" s="13">
        <f t="shared" si="101"/>
        <v>91.469105563566956</v>
      </c>
      <c r="FH77" s="20">
        <f t="shared" si="76"/>
        <v>853.33373818987855</v>
      </c>
      <c r="FI77" s="59">
        <f t="shared" si="77"/>
        <v>1146.6670715232119</v>
      </c>
      <c r="FJ77" s="59">
        <f ca="1">AVERAGE(OFFSET($FI$3,0,0,'Données projet'!$E$16+1,1))-AVERAGE(OFFSET($H$3,0,0,'Données projet'!$E$16+1,1))</f>
        <v>534.54020133239135</v>
      </c>
      <c r="FK77" s="59">
        <f t="shared" si="102"/>
        <v>515.48696069008815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61.390596159502714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61.390596159502714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5.8</v>
      </c>
      <c r="FZ77" s="12">
        <f>IF('Données projet'!$A$244&gt;35,FZ76+FY77-GH76,IF(A77&lt;'Données projet'!$A$244,$FW$205^A77,IF(A77='Données projet'!$A$244,'Données projet'!$B$244,FZ76+FY77-GH76)))</f>
        <v>261.19999999999993</v>
      </c>
      <c r="GA77" s="17">
        <f>FZ77*VLOOKUP('Données projet'!$B$17,Paramètres!$A$1:$I$89,3,0)*VLOOKUP('Données projet'!$B$17,Paramètres!$A$1:$I$89,5,0)</f>
        <v>248.55791999999997</v>
      </c>
      <c r="GB77" s="13">
        <f t="shared" si="103"/>
        <v>60.277037232293665</v>
      </c>
      <c r="GC77" s="20">
        <f t="shared" si="79"/>
        <v>537.88755051291139</v>
      </c>
      <c r="GD77" s="59">
        <f t="shared" si="80"/>
        <v>831.22088384624476</v>
      </c>
      <c r="GE77" s="59">
        <f ca="1">AVERAGE(OFFSET($GD$3,0,0,'Données projet'!$E$17+1,1))-AVERAGE(OFFSET($H$3,0,0,'Données projet'!$E$17+1,1))</f>
        <v>455.71329051283936</v>
      </c>
      <c r="GF77" s="59">
        <f t="shared" si="104"/>
        <v>479.3743231122258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72.310575342381057</v>
      </c>
      <c r="GM77" s="21">
        <f>EXP(-LN(2)/25)*GM76+(1-EXP(-LN(2)/25))/(LN(2)/25)*Calculateur!GH77*Calculateur!GJ77*VLOOKUP('Données projet'!$B$17,Paramètres!$A$1:$I$89,3,0)*0.475*44/12</f>
        <v>0</v>
      </c>
      <c r="GN77" s="21">
        <f>EXP(-LN(2)/2)*GN76+(1-EXP(-LN(2)/2))/(LN(2)/2)*GH77*GK77*VLOOKUP('Données projet'!$B$17,Paramètres!$A$1:$I$89,3,0)*0.475*44/12</f>
        <v>0</v>
      </c>
      <c r="GO77" s="21">
        <f t="shared" si="81"/>
        <v>72.310575342381057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4.8</v>
      </c>
      <c r="GU77" s="12">
        <f>IF('Données projet'!$A$270&gt;35,GU76+GT77-HC76,IF(A77&lt;'Données projet'!$A$270,$GR$205^A77,IF(A77='Données projet'!$A$270,'Données projet'!$B$270,GU76+GT77-HC76)))</f>
        <v>370.1999999999997</v>
      </c>
      <c r="GV77" s="17">
        <f>GU77*VLOOKUP('Données projet'!$B$18,Paramètres!$A$1:$I$89,3,0)*VLOOKUP('Données projet'!$B$18,Paramètres!$A$1:$I$89,5,0)</f>
        <v>300.30623999999978</v>
      </c>
      <c r="GW77" s="13">
        <f t="shared" si="105"/>
        <v>71.240659329806377</v>
      </c>
      <c r="GX77" s="20">
        <f t="shared" si="82"/>
        <v>647.11084966607893</v>
      </c>
      <c r="GY77" s="59">
        <f t="shared" si="83"/>
        <v>940.44418299941231</v>
      </c>
      <c r="GZ77" s="59">
        <f ca="1">AVERAGE(OFFSET($GY$3,0,0,'Données projet'!$E$18+1,1))-AVERAGE(OFFSET($H$3,0,0,'Données projet'!$E$18+1,1))</f>
        <v>412.59676769258488</v>
      </c>
      <c r="HA77" s="59">
        <f t="shared" si="106"/>
        <v>399.90063795152133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46.265376815857131</v>
      </c>
      <c r="HH77" s="21">
        <f>EXP(-LN(2)/25)*HH76+(1-EXP(-LN(2)/25))/(LN(2)/25)*Calculateur!HC77*Calculateur!HE77*VLOOKUP('Données projet'!$B$18,Paramètres!$A$1:$I$89,3,0)*0.475*44/12</f>
        <v>0</v>
      </c>
      <c r="HI77" s="21">
        <f>EXP(-LN(2)/2)*HI76+(1-EXP(-LN(2)/2))/(LN(2)/2)*HC77*HF77*VLOOKUP('Données projet'!$B$18,Paramètres!$A$1:$I$89,3,0)*0.475*44/12</f>
        <v>0</v>
      </c>
      <c r="HJ77" s="22">
        <f t="shared" si="84"/>
        <v>46.265376815857131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312</v>
      </c>
      <c r="L78" s="12">
        <f>VLOOKUP(A78,'Données projet'!$A$35:$I$55,9,0)</f>
        <v>7.6</v>
      </c>
      <c r="M78" s="12">
        <f t="array" ref="M78">INDEX(L:L,MIN(IF(ISNUMBER(L78:L274),ROW(L78:L274),"")))</f>
        <v>7.6</v>
      </c>
      <c r="N78" s="13">
        <f>IF('Données projet'!$A$36&gt;35,N77+M78-V77,IF(A78&lt;'Données projet'!$A$36,$K$205^A78,IF(A78='Données projet'!$A$36,'Données projet'!$B$36,N77+M78-V77)))</f>
        <v>312.00000000000006</v>
      </c>
      <c r="O78" s="13">
        <f>N78*VLOOKUP('Données projet'!$B$9,Paramètres!$A$1:$I$89,3,0)*VLOOKUP('Données projet'!$B$9,Paramètres!$A$1:$I$89,5,0)</f>
        <v>282.29760000000005</v>
      </c>
      <c r="P78" s="13">
        <f t="shared" si="87"/>
        <v>67.452326629470178</v>
      </c>
      <c r="Q78" s="20">
        <f t="shared" si="54"/>
        <v>609.14778887966054</v>
      </c>
      <c r="R78" s="59">
        <f t="shared" si="55"/>
        <v>902.4811222129938</v>
      </c>
      <c r="S78" s="59">
        <f ca="1">AVERAGE(OFFSET($R$3,0,0,'Données projet'!$E$9+1,1))-AVERAGE(OFFSET($H$3,0,0,'Données projet'!$E$9+1,1))</f>
        <v>439.19854273764042</v>
      </c>
      <c r="T78" s="59">
        <f t="shared" si="88"/>
        <v>278.21741231699929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28</v>
      </c>
      <c r="W78" s="16">
        <f>IF(ISNA(VLOOKUP(A78,'Données projet'!$A$35:$I$55,5,0)),0%,VLOOKUP(A78,'Données projet'!$A$35:$I$55,5,0)*VLOOKUP('Données projet'!$B$9,Paramètres!$A$1:$I$89,7,0))</f>
        <v>0.43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75.344588015179653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75.344588015179653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312</v>
      </c>
      <c r="AG78" s="12">
        <f>VLOOKUP(A78,'Données projet'!$A$61:$I$81,9,0)</f>
        <v>7.6</v>
      </c>
      <c r="AH78" s="12">
        <f t="array" ref="AH78">INDEX(AG:AG,MIN(IF(ISNUMBER(AG78:AG274),ROW(AG78:AG274),"")))</f>
        <v>7.6</v>
      </c>
      <c r="AI78" s="13">
        <f>IF('Données projet'!$A$62&gt;35,AI77+AH78-AQ77,IF(A78&lt;'Données projet'!$A$62,$AF$205^A78,IF(A78='Données projet'!$A$62,'Données projet'!$B$62,AI77+AH78-AQ77)))</f>
        <v>312.00000000000006</v>
      </c>
      <c r="AJ78" s="13">
        <f>AI78*VLOOKUP('Données projet'!$B$10,Paramètres!$A$1:$I$89,3,0)*VLOOKUP('Données projet'!$B$10,Paramètres!$A$1:$I$89,5,0)</f>
        <v>316.36800000000005</v>
      </c>
      <c r="AK78" s="13">
        <f t="shared" si="89"/>
        <v>74.597144109003438</v>
      </c>
      <c r="AL78" s="20">
        <f t="shared" si="58"/>
        <v>680.93095932318113</v>
      </c>
      <c r="AM78" s="59">
        <f t="shared" si="59"/>
        <v>974.2642926565145</v>
      </c>
      <c r="AN78" s="59">
        <f ca="1">AVERAGE(OFFSET($AM$3,0,0,'Données projet'!$E$10+1,1))-AVERAGE(OFFSET($H$3,0,0,'Données projet'!$E$10+1,1))</f>
        <v>487.18832528146936</v>
      </c>
      <c r="AO78" s="59">
        <f t="shared" si="90"/>
        <v>306.61893266146666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28</v>
      </c>
      <c r="AR78" s="16">
        <f>IF(ISNA(VLOOKUP(A78,'Données projet'!$A$61:$I$81,5,0)),0%,VLOOKUP(A78,'Données projet'!$A$61:$I$81,5,0)*VLOOKUP('Données projet'!$B$10,Paramètres!$A$1:$I$89,7,0))</f>
        <v>0.43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84.437900361839269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84.437900361839269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369.00000000000023</v>
      </c>
      <c r="BE78" s="13">
        <f>BD78*VLOOKUP('Données projet'!$B$11,Paramètres!$A$1:$I$89,3,0)*VLOOKUP('Données projet'!$B$11,Paramètres!$A$1:$I$89,5,0)</f>
        <v>333.87120000000021</v>
      </c>
      <c r="BF78" s="13">
        <f t="shared" si="91"/>
        <v>78.23236011137638</v>
      </c>
      <c r="BG78" s="20">
        <f t="shared" si="61"/>
        <v>717.74703386064755</v>
      </c>
      <c r="BH78" s="59">
        <f t="shared" si="62"/>
        <v>1011.0803671939809</v>
      </c>
      <c r="BI78" s="59">
        <f ca="1">AVERAGE(OFFSET($BH$3,0,0,'Données projet'!$E$11+1,1))-AVERAGE(OFFSET($H$3,0,0,'Données projet'!$E$11+1,1))</f>
        <v>436.23918637269577</v>
      </c>
      <c r="BJ78" s="59">
        <f t="shared" si="92"/>
        <v>611.43967996341894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4.3359601948388624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4.3359601948388624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224.00000000000006</v>
      </c>
      <c r="BZ78" s="13">
        <f>BY78*VLOOKUP('Données projet'!$B$12,Paramètres!$A$1:$I$89,3,0)*VLOOKUP('Données projet'!$B$12,Paramètres!$A$1:$I$89,5,0)</f>
        <v>195.68640000000008</v>
      </c>
      <c r="CA78" s="13">
        <f t="shared" si="93"/>
        <v>48.794969360985156</v>
      </c>
      <c r="CB78" s="20">
        <f t="shared" si="64"/>
        <v>425.8050516370493</v>
      </c>
      <c r="CC78" s="59">
        <f t="shared" si="65"/>
        <v>719.13838497038262</v>
      </c>
      <c r="CD78" s="59">
        <f ca="1">AVERAGE(OFFSET($CC$3,0,0,'Données projet'!$E$12+1,1))-AVERAGE(OFFSET($H$3,0,0,'Données projet'!$E$12+1,1))</f>
        <v>304.32767345253382</v>
      </c>
      <c r="CE78" s="59">
        <f t="shared" si="94"/>
        <v>427.16091343339173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46.823979083390221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46.823979083390221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739.99999999999966</v>
      </c>
      <c r="CU78" s="17">
        <f>CT78*VLOOKUP('Données projet'!$B$13,Paramètres!$A$1:$I$89,3,0)*VLOOKUP('Données projet'!$B$13,Paramètres!$A$1:$I$89,5,0)</f>
        <v>413.65999999999985</v>
      </c>
      <c r="CV78" s="13">
        <f t="shared" si="95"/>
        <v>94.540585122244352</v>
      </c>
      <c r="CW78" s="20">
        <f t="shared" si="67"/>
        <v>885.11601908790863</v>
      </c>
      <c r="CX78" s="59">
        <f t="shared" si="68"/>
        <v>1178.4493524212419</v>
      </c>
      <c r="CY78" s="59">
        <f ca="1">AVERAGE(OFFSET($CX$3,0,0,'Données projet'!$E$13+1,1))-AVERAGE(OFFSET($H$3,0,0,'Données projet'!$E$13+1,1))</f>
        <v>555.15881087162279</v>
      </c>
      <c r="CZ78" s="59">
        <f t="shared" si="96"/>
        <v>668.20427590250733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91.757238991873464</v>
      </c>
      <c r="DG78" s="21">
        <f>EXP(-LN(2)/25)*DG77+(1-EXP(-LN(2)/25))/(LN(2)/25)*Calculateur!DB78*Calculateur!DD78*VLOOKUP('Données projet'!$B$13,Paramètres!$A$1:$I$89,3,0)*0.475*44/12</f>
        <v>16.593422718818008</v>
      </c>
      <c r="DH78" s="21">
        <f>EXP(-LN(2)/2)*DH77+(1-EXP(-LN(2)/2))/(LN(2)/2)*DB78*DE78*VLOOKUP('Données projet'!$B$13,Paramètres!$A$1:$I$89,3,0)*0.475*44/12</f>
        <v>1.4338077447591232E-7</v>
      </c>
      <c r="DI78" s="22">
        <f t="shared" si="69"/>
        <v>108.35066185407224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929</v>
      </c>
      <c r="DM78" s="12">
        <f>VLOOKUP(A78,'Données projet'!$A$165:$I$185,9,0)</f>
        <v>19.399999999999999</v>
      </c>
      <c r="DN78" s="12">
        <f t="array" ref="DN78">INDEX(DM:DM,MIN(IF(ISNUMBER(DM78:DM274),ROW(DM78:DM274),"")))</f>
        <v>19.399999999999999</v>
      </c>
      <c r="DO78" s="12">
        <f>IF('Données projet'!$A$166&gt;35,DO77+DN78-DW77,IF(A78&lt;'Données projet'!$A$166,$DL$205^A78,IF(A78='Données projet'!$A$166,'Données projet'!$B$166,DO77+DN78-DW77)))</f>
        <v>928.9999999999992</v>
      </c>
      <c r="DP78" s="17">
        <f>DO78*VLOOKUP('Données projet'!$B$14,Paramètres!$A$1:$I$89,3,0)*VLOOKUP('Données projet'!$B$14,Paramètres!$A$1:$I$89,5,0)</f>
        <v>434.77199999999965</v>
      </c>
      <c r="DQ78" s="13">
        <f t="shared" si="97"/>
        <v>98.791592342035244</v>
      </c>
      <c r="DR78" s="20">
        <f t="shared" si="70"/>
        <v>929.28992332904409</v>
      </c>
      <c r="DS78" s="59">
        <f t="shared" si="71"/>
        <v>1222.6232566623773</v>
      </c>
      <c r="DT78" s="59">
        <f ca="1">AVERAGE(OFFSET($DS$3,0,0,'Données projet'!$E$14+1,1))-AVERAGE(OFFSET($H$3,0,0,'Données projet'!$E$14+1,1))</f>
        <v>523.79180230463714</v>
      </c>
      <c r="DU78" s="59">
        <f t="shared" si="98"/>
        <v>459.3547783500515</v>
      </c>
      <c r="DV78" s="15">
        <f>IF(ISNA(VLOOKUP(A78,'Données projet'!$A$165:$I$185,3,0)),0,VLOOKUP(A78,'Données projet'!$A$165:$I$185,3,0))</f>
        <v>12</v>
      </c>
      <c r="DW78" s="15">
        <f>IF(ISNA(VLOOKUP(A78,'Données projet'!$A$165:$I$185,4,0)),0,VLOOKUP(A78,'Données projet'!$A$165:$I$185,4,0))</f>
        <v>54</v>
      </c>
      <c r="DX78" s="16">
        <f>IF(ISNA(VLOOKUP(A78,'Données projet'!$A$165:$I$185,5,0)),0%,VLOOKUP(A78,'Données projet'!$A$165:$I$185,5,0)*VLOOKUP('Données projet'!$B$14,Paramètres!$A$1:$I$89,7,0))</f>
        <v>0.55000000000000004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144.49197515039532</v>
      </c>
      <c r="EB78" s="21">
        <f>EXP(-LN(2)/25)*EB77+(1-EXP(-LN(2)/25))/(LN(2)/25)*Calculateur!DW78*Calculateur!DY78*VLOOKUP('Données projet'!$B$14,Paramètres!$A$1:$I$89,3,0)*0.475*44/12</f>
        <v>15.346816026344388</v>
      </c>
      <c r="EC78" s="21">
        <f>EXP(-LN(2)/2)*EC77+(1-EXP(-LN(2)/2))/(LN(2)/2)*DW78*DZ78*VLOOKUP('Données projet'!$B$14,Paramètres!$A$1:$I$89,3,0)*0.475*44/12</f>
        <v>2.0099673739403156E-7</v>
      </c>
      <c r="ED78" s="22">
        <f t="shared" si="72"/>
        <v>159.83879137773644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375</v>
      </c>
      <c r="EH78" s="12">
        <f>VLOOKUP(A78,'Données projet'!$A$191:$I$211,9,0)</f>
        <v>4.8</v>
      </c>
      <c r="EI78" s="12">
        <f t="array" ref="EI78">INDEX(EH:EH,MIN(IF(ISNUMBER(EH78:EH274),ROW(EH78:EH274),"")))</f>
        <v>4.8</v>
      </c>
      <c r="EJ78" s="12">
        <f>IF('Données projet'!$A$192&gt;35,EJ77+EI78-ER77,IF(A78&lt;'Données projet'!$A$192,$EG$205^A78,IF(A78='Données projet'!$A$192,'Données projet'!$B$192,EJ77+EI78-ER77)))</f>
        <v>374.99999999999972</v>
      </c>
      <c r="EK78" s="17">
        <f>EJ78*VLOOKUP('Données projet'!$B$15,Paramètres!$A$1:$I$89,3,0)*VLOOKUP('Données projet'!$B$15,Paramètres!$A$1:$I$89,5,0)</f>
        <v>362.69999999999976</v>
      </c>
      <c r="EL78" s="13">
        <f t="shared" si="99"/>
        <v>84.172123743406701</v>
      </c>
      <c r="EM78" s="20">
        <f t="shared" si="73"/>
        <v>778.30228218643288</v>
      </c>
      <c r="EN78" s="59">
        <f t="shared" si="74"/>
        <v>1071.6356155197661</v>
      </c>
      <c r="EO78" s="59">
        <f ca="1">AVERAGE(OFFSET($EN$3,0,0,'Données projet'!$E$15+1,1))-AVERAGE(OFFSET($H$3,0,0,'Données projet'!$E$15+1,1))</f>
        <v>484.41278617935654</v>
      </c>
      <c r="EP78" s="59">
        <f t="shared" si="100"/>
        <v>467.97490540700738</v>
      </c>
      <c r="EQ78" s="15">
        <f>IF(ISNA(VLOOKUP(A78,'Données projet'!$A$191:$I$211,3,0)),0,VLOOKUP(A78,'Données projet'!$A$191:$I$211,3,0))</f>
        <v>14</v>
      </c>
      <c r="ER78" s="15">
        <f>IF(ISNA(VLOOKUP(A78,'Données projet'!$A$191:$I$211,4,0)),0,VLOOKUP(A78,'Données projet'!$A$191:$I$211,4,0))</f>
        <v>14</v>
      </c>
      <c r="ES78" s="16">
        <f>IF(ISNA(VLOOKUP(A78,'Données projet'!$A$191:$I$211,5,0)),0%,VLOOKUP(A78,'Données projet'!$A$191:$I$211,5,0)*VLOOKUP('Données projet'!$B$15,Paramètres!$A$1:$I$89,7,0))</f>
        <v>0.43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60.517510343348057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60.517510343348057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375</v>
      </c>
      <c r="FC78" s="12">
        <f>VLOOKUP(A78,'Données projet'!$A$217:$I$237,9,0)</f>
        <v>4.8</v>
      </c>
      <c r="FD78" s="12">
        <f t="array" ref="FD78">INDEX(FC:FC,MIN(IF(ISNUMBER(FC78:FC274),ROW(FC78:FC274),"")))</f>
        <v>4.8</v>
      </c>
      <c r="FE78" s="12">
        <f>IF('Données projet'!$A$218&gt;35,FE77+FD78-FM77,IF(A78&lt;'Données projet'!$A$218,$FB$205^A78,IF(A78='Données projet'!$A$218,'Données projet'!$B$218,FE77+FD78-FM77)))</f>
        <v>374.99999999999972</v>
      </c>
      <c r="FF78" s="17">
        <f>FE78*VLOOKUP('Données projet'!$B$16,Paramètres!$A$1:$I$89,3,0)*VLOOKUP('Données projet'!$B$16,Paramètres!$A$1:$I$89,5,0)</f>
        <v>403.64999999999964</v>
      </c>
      <c r="FG78" s="13">
        <f t="shared" si="101"/>
        <v>92.516255048818948</v>
      </c>
      <c r="FH78" s="20">
        <f t="shared" si="76"/>
        <v>864.15622754335902</v>
      </c>
      <c r="FI78" s="59">
        <f t="shared" si="77"/>
        <v>1157.4895608766924</v>
      </c>
      <c r="FJ78" s="59">
        <f ca="1">AVERAGE(OFFSET($FI$3,0,0,'Données projet'!$E$16+1,1))-AVERAGE(OFFSET($H$3,0,0,'Données projet'!$E$16+1,1))</f>
        <v>534.54020133239135</v>
      </c>
      <c r="FK78" s="59">
        <f t="shared" si="102"/>
        <v>515.48696069008815</v>
      </c>
      <c r="FL78" s="15">
        <f>IF(ISNA(VLOOKUP(A78,'Données projet'!$A$217:$I$237,3,0)),0,VLOOKUP(A78,'Données projet'!$A$217:$I$237,3,0))</f>
        <v>14</v>
      </c>
      <c r="FM78" s="15">
        <f>IF(ISNA(VLOOKUP(A78,'Données projet'!$A$217:$I$237,4,0)),0,VLOOKUP(A78,'Données projet'!$A$217:$I$237,4,0))</f>
        <v>14</v>
      </c>
      <c r="FN78" s="16">
        <f>IF(ISNA(VLOOKUP(A78,'Données projet'!$A$217:$I$237,5,0)),0%,VLOOKUP(A78,'Données projet'!$A$217:$I$237,5,0)*VLOOKUP('Données projet'!$B$16,Paramètres!$A$1:$I$89,7,0))</f>
        <v>0.43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67.350132478887375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67.350132478887375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projet'!$A$243:$I$263,2,0)</f>
        <v>267</v>
      </c>
      <c r="FX78" s="12">
        <f>VLOOKUP(A78,'Données projet'!$A$243:$I$263,9,0)</f>
        <v>5.8</v>
      </c>
      <c r="FY78" s="12">
        <f t="array" ref="FY78">INDEX(FX:FX,MIN(IF(ISNUMBER(FX78:FX274),ROW(FX78:FX274),"")))</f>
        <v>5.8</v>
      </c>
      <c r="FZ78" s="12">
        <f>IF('Données projet'!$A$244&gt;35,FZ77+FY78-GH77,IF(A78&lt;'Données projet'!$A$244,$FW$205^A78,IF(A78='Données projet'!$A$244,'Données projet'!$B$244,FZ77+FY78-GH77)))</f>
        <v>266.99999999999994</v>
      </c>
      <c r="GA78" s="17">
        <f>FZ78*VLOOKUP('Données projet'!$B$17,Paramètres!$A$1:$I$89,3,0)*VLOOKUP('Données projet'!$B$17,Paramètres!$A$1:$I$89,5,0)</f>
        <v>254.07719999999992</v>
      </c>
      <c r="GB78" s="13">
        <f t="shared" si="103"/>
        <v>61.458188159552705</v>
      </c>
      <c r="GC78" s="20">
        <f t="shared" si="79"/>
        <v>549.55746771122074</v>
      </c>
      <c r="GD78" s="59">
        <f t="shared" si="80"/>
        <v>842.89080104455411</v>
      </c>
      <c r="GE78" s="59">
        <f ca="1">AVERAGE(OFFSET($GD$3,0,0,'Données projet'!$E$17+1,1))-AVERAGE(OFFSET($H$3,0,0,'Données projet'!$E$17+1,1))</f>
        <v>455.71329051283936</v>
      </c>
      <c r="GF78" s="59">
        <f t="shared" si="104"/>
        <v>479.3743231122258</v>
      </c>
      <c r="GG78" s="15">
        <f>IF(ISNA(VLOOKUP(A78,'Données projet'!$A$243:$I$263,3,0)),0,VLOOKUP(A78,'Données projet'!$A$243:$I$263,3,0))</f>
        <v>14</v>
      </c>
      <c r="GH78" s="15">
        <f>IF(ISNA(VLOOKUP(A78,'Données projet'!$A$243:$I$263,4,0)),0,VLOOKUP(A78,'Données projet'!$A$243:$I$263,4,0))</f>
        <v>27</v>
      </c>
      <c r="GI78" s="16">
        <f>IF(ISNA(VLOOKUP(A78,'Données projet'!$A$243:$I$263,5,0)),0%,VLOOKUP(A78,'Données projet'!$A$243:$I$263,5,0)*VLOOKUP('Données projet'!$B$17,Paramètres!$A$1:$I$89,7,0))</f>
        <v>0.43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83.105929833841785</v>
      </c>
      <c r="GM78" s="21">
        <f>EXP(-LN(2)/25)*GM77+(1-EXP(-LN(2)/25))/(LN(2)/25)*Calculateur!GH78*Calculateur!GJ78*VLOOKUP('Données projet'!$B$17,Paramètres!$A$1:$I$89,3,0)*0.475*44/12</f>
        <v>0</v>
      </c>
      <c r="GN78" s="21">
        <f>EXP(-LN(2)/2)*GN77+(1-EXP(-LN(2)/2))/(LN(2)/2)*GH78*GK78*VLOOKUP('Données projet'!$B$17,Paramètres!$A$1:$I$89,3,0)*0.475*44/12</f>
        <v>0</v>
      </c>
      <c r="GO78" s="21">
        <f t="shared" si="81"/>
        <v>83.105929833841785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>
        <f>VLOOKUP(A78,'Données projet'!$A$269:$I$289,2,0)</f>
        <v>375</v>
      </c>
      <c r="GS78" s="12">
        <f>VLOOKUP(A78,'Données projet'!$A$269:$I$289,9,0)</f>
        <v>4.8</v>
      </c>
      <c r="GT78" s="12">
        <f t="array" ref="GT78">INDEX(GS:GS,MIN(IF(ISNUMBER(GS78:GS274),ROW(GS78:GS274),"")))</f>
        <v>4.8</v>
      </c>
      <c r="GU78" s="12">
        <f>IF('Données projet'!$A$270&gt;35,GU77+GT78-HC77,IF(A78&lt;'Données projet'!$A$270,$GR$205^A78,IF(A78='Données projet'!$A$270,'Données projet'!$B$270,GU77+GT78-HC77)))</f>
        <v>374.99999999999972</v>
      </c>
      <c r="GV78" s="17">
        <f>GU78*VLOOKUP('Données projet'!$B$18,Paramètres!$A$1:$I$89,3,0)*VLOOKUP('Données projet'!$B$18,Paramètres!$A$1:$I$89,5,0)</f>
        <v>304.19999999999976</v>
      </c>
      <c r="GW78" s="13">
        <f t="shared" si="105"/>
        <v>72.056231093481074</v>
      </c>
      <c r="GX78" s="20">
        <f t="shared" si="82"/>
        <v>655.31293582114574</v>
      </c>
      <c r="GY78" s="59">
        <f t="shared" si="83"/>
        <v>948.64626915447911</v>
      </c>
      <c r="GZ78" s="59">
        <f ca="1">AVERAGE(OFFSET($GY$3,0,0,'Données projet'!$E$18+1,1))-AVERAGE(OFFSET($H$3,0,0,'Données projet'!$E$18+1,1))</f>
        <v>412.59676769258488</v>
      </c>
      <c r="HA78" s="59">
        <f t="shared" si="106"/>
        <v>399.90063795152133</v>
      </c>
      <c r="HB78" s="15">
        <f>IF(ISNA(VLOOKUP(A78,'Données projet'!$A$269:$I$289,3,0)),0,VLOOKUP(A78,'Données projet'!$A$269:$I$289,3,0))</f>
        <v>14</v>
      </c>
      <c r="HC78" s="15">
        <f>IF(ISNA(VLOOKUP(A78,'Données projet'!$A$269:$I$289,4,0)),0,VLOOKUP(A78,'Données projet'!$A$269:$I$289,4,0))</f>
        <v>14</v>
      </c>
      <c r="HD78" s="16">
        <f>IF(ISNA(VLOOKUP(A78,'Données projet'!$A$269:$I$289,5,0)),0%,VLOOKUP(A78,'Données projet'!$A$269:$I$289,5,0)*VLOOKUP('Données projet'!$B$18,Paramètres!$A$1:$I$89,7,0))</f>
        <v>0.43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50.756621578291941</v>
      </c>
      <c r="HH78" s="21">
        <f>EXP(-LN(2)/25)*HH77+(1-EXP(-LN(2)/25))/(LN(2)/25)*Calculateur!HC78*Calculateur!HE78*VLOOKUP('Données projet'!$B$18,Paramètres!$A$1:$I$89,3,0)*0.475*44/12</f>
        <v>0</v>
      </c>
      <c r="HI78" s="21">
        <f>EXP(-LN(2)/2)*HI77+(1-EXP(-LN(2)/2))/(LN(2)/2)*HC78*HF78*VLOOKUP('Données projet'!$B$18,Paramètres!$A$1:$I$89,3,0)*0.475*44/12</f>
        <v>0</v>
      </c>
      <c r="HJ78" s="22">
        <f t="shared" si="84"/>
        <v>50.756621578291941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7.2</v>
      </c>
      <c r="N79" s="13">
        <f>IF('Données projet'!$A$36&gt;35,N78+M79-V78,IF(A79&lt;'Données projet'!$A$36,$K$205^A79,IF(A79='Données projet'!$A$36,'Données projet'!$B$36,N78+M79-V78)))</f>
        <v>291.20000000000005</v>
      </c>
      <c r="O79" s="13">
        <f>N79*VLOOKUP('Données projet'!$B$9,Paramètres!$A$1:$I$89,3,0)*VLOOKUP('Données projet'!$B$9,Paramètres!$A$1:$I$89,5,0)</f>
        <v>263.47776000000005</v>
      </c>
      <c r="P79" s="13">
        <f t="shared" si="87"/>
        <v>63.46312159763346</v>
      </c>
      <c r="Q79" s="20">
        <f t="shared" si="54"/>
        <v>569.42203544921165</v>
      </c>
      <c r="R79" s="59">
        <f t="shared" si="55"/>
        <v>862.75536878254502</v>
      </c>
      <c r="S79" s="59">
        <f ca="1">AVERAGE(OFFSET($R$3,0,0,'Données projet'!$E$9+1,1))-AVERAGE(OFFSET($H$3,0,0,'Données projet'!$E$9+1,1))</f>
        <v>439.19854273764042</v>
      </c>
      <c r="T79" s="59">
        <f t="shared" si="88"/>
        <v>278.21741231699929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73.867126599862928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73.867126599862928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7.2</v>
      </c>
      <c r="AI79" s="13">
        <f>IF('Données projet'!$A$62&gt;35,AI78+AH79-AQ78,IF(A79&lt;'Données projet'!$A$62,$AF$205^A79,IF(A79='Données projet'!$A$62,'Données projet'!$B$62,AI78+AH79-AQ78)))</f>
        <v>291.20000000000005</v>
      </c>
      <c r="AJ79" s="13">
        <f>AI79*VLOOKUP('Données projet'!$B$10,Paramètres!$A$1:$I$89,3,0)*VLOOKUP('Données projet'!$B$10,Paramètres!$A$1:$I$89,5,0)</f>
        <v>295.27680000000004</v>
      </c>
      <c r="AK79" s="13">
        <f t="shared" si="89"/>
        <v>70.185386686980493</v>
      </c>
      <c r="AL79" s="20">
        <f t="shared" si="58"/>
        <v>636.51330847982445</v>
      </c>
      <c r="AM79" s="59">
        <f t="shared" si="59"/>
        <v>929.8466418131577</v>
      </c>
      <c r="AN79" s="59">
        <f ca="1">AVERAGE(OFFSET($AM$3,0,0,'Données projet'!$E$10+1,1))-AVERAGE(OFFSET($H$3,0,0,'Données projet'!$E$10+1,1))</f>
        <v>487.18832528146936</v>
      </c>
      <c r="AO79" s="59">
        <f t="shared" si="90"/>
        <v>306.61893266146666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82.782124637777414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82.782124637777414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369.00000000000023</v>
      </c>
      <c r="BE79" s="13">
        <f>BD79*VLOOKUP('Données projet'!$B$11,Paramètres!$A$1:$I$89,3,0)*VLOOKUP('Données projet'!$B$11,Paramètres!$A$1:$I$89,5,0)</f>
        <v>333.87120000000021</v>
      </c>
      <c r="BF79" s="13">
        <f t="shared" si="91"/>
        <v>78.23236011137638</v>
      </c>
      <c r="BG79" s="20">
        <f t="shared" si="61"/>
        <v>717.74703386064755</v>
      </c>
      <c r="BH79" s="59">
        <f t="shared" si="62"/>
        <v>1011.0803671939809</v>
      </c>
      <c r="BI79" s="59">
        <f ca="1">AVERAGE(OFFSET($BH$3,0,0,'Données projet'!$E$11+1,1))-AVERAGE(OFFSET($H$3,0,0,'Données projet'!$E$11+1,1))</f>
        <v>436.23918637269577</v>
      </c>
      <c r="BJ79" s="59">
        <f t="shared" si="92"/>
        <v>611.43967996341894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4.2509346600926516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4.2509346600926516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224.00000000000006</v>
      </c>
      <c r="BZ79" s="13">
        <f>BY79*VLOOKUP('Données projet'!$B$12,Paramètres!$A$1:$I$89,3,0)*VLOOKUP('Données projet'!$B$12,Paramètres!$A$1:$I$89,5,0)</f>
        <v>195.68640000000008</v>
      </c>
      <c r="CA79" s="13">
        <f t="shared" si="93"/>
        <v>48.794969360985156</v>
      </c>
      <c r="CB79" s="20">
        <f t="shared" si="64"/>
        <v>425.8050516370493</v>
      </c>
      <c r="CC79" s="59">
        <f t="shared" si="65"/>
        <v>719.13838497038262</v>
      </c>
      <c r="CD79" s="59">
        <f ca="1">AVERAGE(OFFSET($CC$3,0,0,'Données projet'!$E$12+1,1))-AVERAGE(OFFSET($H$3,0,0,'Données projet'!$E$12+1,1))</f>
        <v>304.32767345253382</v>
      </c>
      <c r="CE79" s="59">
        <f t="shared" si="94"/>
        <v>427.16091343339173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45.905789413372133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45.905789413372133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739.99999999999966</v>
      </c>
      <c r="CU79" s="17">
        <f>CT79*VLOOKUP('Données projet'!$B$13,Paramètres!$A$1:$I$89,3,0)*VLOOKUP('Données projet'!$B$13,Paramètres!$A$1:$I$89,5,0)</f>
        <v>413.65999999999985</v>
      </c>
      <c r="CV79" s="13">
        <f t="shared" si="95"/>
        <v>94.540585122244352</v>
      </c>
      <c r="CW79" s="20">
        <f t="shared" si="67"/>
        <v>885.11601908790863</v>
      </c>
      <c r="CX79" s="59">
        <f t="shared" si="68"/>
        <v>1178.4493524212419</v>
      </c>
      <c r="CY79" s="59">
        <f ca="1">AVERAGE(OFFSET($CX$3,0,0,'Données projet'!$E$13+1,1))-AVERAGE(OFFSET($H$3,0,0,'Données projet'!$E$13+1,1))</f>
        <v>555.15881087162279</v>
      </c>
      <c r="CZ79" s="59">
        <f t="shared" si="96"/>
        <v>668.20427590250733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89.957935501632392</v>
      </c>
      <c r="DG79" s="21">
        <f>EXP(-LN(2)/25)*DG78+(1-EXP(-LN(2)/25))/(LN(2)/25)*Calculateur!DB79*Calculateur!DD79*VLOOKUP('Données projet'!$B$13,Paramètres!$A$1:$I$89,3,0)*0.475*44/12</f>
        <v>16.139674701961752</v>
      </c>
      <c r="DH79" s="21">
        <f>EXP(-LN(2)/2)*DH78+(1-EXP(-LN(2)/2))/(LN(2)/2)*DB79*DE79*VLOOKUP('Données projet'!$B$13,Paramètres!$A$1:$I$89,3,0)*0.475*44/12</f>
        <v>1.0138551792369666E-7</v>
      </c>
      <c r="DI79" s="22">
        <f t="shared" si="69"/>
        <v>106.09761030497967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17.8</v>
      </c>
      <c r="DO79" s="12">
        <f>IF('Données projet'!$A$166&gt;35,DO78+DN79-DW78,IF(A79&lt;'Données projet'!$A$166,$DL$205^A79,IF(A79='Données projet'!$A$166,'Données projet'!$B$166,DO78+DN79-DW78)))</f>
        <v>892.79999999999916</v>
      </c>
      <c r="DP79" s="17">
        <f>DO79*VLOOKUP('Données projet'!$B$14,Paramètres!$A$1:$I$89,3,0)*VLOOKUP('Données projet'!$B$14,Paramètres!$A$1:$I$89,5,0)</f>
        <v>417.8303999999996</v>
      </c>
      <c r="DQ79" s="13">
        <f t="shared" si="97"/>
        <v>95.382279118575255</v>
      </c>
      <c r="DR79" s="20">
        <f t="shared" si="70"/>
        <v>893.84541613151794</v>
      </c>
      <c r="DS79" s="59">
        <f t="shared" si="71"/>
        <v>1187.1787494648513</v>
      </c>
      <c r="DT79" s="59">
        <f ca="1">AVERAGE(OFFSET($DS$3,0,0,'Données projet'!$E$14+1,1))-AVERAGE(OFFSET($H$3,0,0,'Données projet'!$E$14+1,1))</f>
        <v>523.79180230463714</v>
      </c>
      <c r="DU79" s="59">
        <f t="shared" si="98"/>
        <v>459.3547783500515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141.65857564909865</v>
      </c>
      <c r="EB79" s="21">
        <f>EXP(-LN(2)/25)*EB78+(1-EXP(-LN(2)/25))/(LN(2)/25)*Calculateur!DW79*Calculateur!DY79*VLOOKUP('Données projet'!$B$14,Paramètres!$A$1:$I$89,3,0)*0.475*44/12</f>
        <v>14.927156535050022</v>
      </c>
      <c r="EC79" s="21">
        <f>EXP(-LN(2)/2)*EC78+(1-EXP(-LN(2)/2))/(LN(2)/2)*DW79*DZ79*VLOOKUP('Données projet'!$B$14,Paramètres!$A$1:$I$89,3,0)*0.475*44/12</f>
        <v>1.4212615600769142E-7</v>
      </c>
      <c r="ED79" s="22">
        <f t="shared" si="72"/>
        <v>156.58573232627484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4</v>
      </c>
      <c r="EJ79" s="12">
        <f>IF('Données projet'!$A$192&gt;35,EJ78+EI79-ER78,IF(A79&lt;'Données projet'!$A$192,$EG$205^A79,IF(A79='Données projet'!$A$192,'Données projet'!$B$192,EJ78+EI79-ER78)))</f>
        <v>364.99999999999972</v>
      </c>
      <c r="EK79" s="17">
        <f>EJ79*VLOOKUP('Données projet'!$B$15,Paramètres!$A$1:$I$89,3,0)*VLOOKUP('Données projet'!$B$15,Paramètres!$A$1:$I$89,5,0)</f>
        <v>353.02799999999974</v>
      </c>
      <c r="EL79" s="13">
        <f t="shared" si="99"/>
        <v>82.185694952754559</v>
      </c>
      <c r="EM79" s="20">
        <f t="shared" si="73"/>
        <v>757.99718537604701</v>
      </c>
      <c r="EN79" s="59">
        <f t="shared" si="74"/>
        <v>1051.3305187093804</v>
      </c>
      <c r="EO79" s="59">
        <f ca="1">AVERAGE(OFFSET($EN$3,0,0,'Données projet'!$E$15+1,1))-AVERAGE(OFFSET($H$3,0,0,'Données projet'!$E$15+1,1))</f>
        <v>484.41278617935654</v>
      </c>
      <c r="EP79" s="59">
        <f t="shared" si="100"/>
        <v>467.97490540700738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59.330798877551551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59.330798877551551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4</v>
      </c>
      <c r="FE79" s="12">
        <f>IF('Données projet'!$A$218&gt;35,FE78+FD79-FM78,IF(A79&lt;'Données projet'!$A$218,$FB$205^A79,IF(A79='Données projet'!$A$218,'Données projet'!$B$218,FE78+FD79-FM78)))</f>
        <v>364.99999999999972</v>
      </c>
      <c r="FF79" s="17">
        <f>FE79*VLOOKUP('Données projet'!$B$16,Paramètres!$A$1:$I$89,3,0)*VLOOKUP('Données projet'!$B$16,Paramètres!$A$1:$I$89,5,0)</f>
        <v>392.88599999999968</v>
      </c>
      <c r="FG79" s="13">
        <f t="shared" si="101"/>
        <v>90.33290806339042</v>
      </c>
      <c r="FH79" s="20">
        <f t="shared" si="76"/>
        <v>841.60626487707111</v>
      </c>
      <c r="FI79" s="59">
        <f t="shared" si="77"/>
        <v>1134.9395982104045</v>
      </c>
      <c r="FJ79" s="59">
        <f ca="1">AVERAGE(OFFSET($FI$3,0,0,'Données projet'!$E$16+1,1))-AVERAGE(OFFSET($H$3,0,0,'Données projet'!$E$16+1,1))</f>
        <v>534.54020133239135</v>
      </c>
      <c r="FK79" s="59">
        <f t="shared" si="102"/>
        <v>515.48696069008815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66.029437460500944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66.029437460500944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5.6</v>
      </c>
      <c r="FZ79" s="12">
        <f>IF('Données projet'!$A$244&gt;35,FZ78+FY79-GH78,IF(A79&lt;'Données projet'!$A$244,$FW$205^A79,IF(A79='Données projet'!$A$244,'Données projet'!$B$244,FZ78+FY79-GH78)))</f>
        <v>245.59999999999997</v>
      </c>
      <c r="GA79" s="17">
        <f>FZ79*VLOOKUP('Données projet'!$B$17,Paramètres!$A$1:$I$89,3,0)*VLOOKUP('Données projet'!$B$17,Paramètres!$A$1:$I$89,5,0)</f>
        <v>233.71295999999998</v>
      </c>
      <c r="GB79" s="13">
        <f t="shared" si="103"/>
        <v>57.084760495224131</v>
      </c>
      <c r="GC79" s="20">
        <f t="shared" si="79"/>
        <v>506.47269652918186</v>
      </c>
      <c r="GD79" s="59">
        <f t="shared" si="80"/>
        <v>799.80602986251517</v>
      </c>
      <c r="GE79" s="59">
        <f ca="1">AVERAGE(OFFSET($GD$3,0,0,'Données projet'!$E$17+1,1))-AVERAGE(OFFSET($H$3,0,0,'Données projet'!$E$17+1,1))</f>
        <v>455.71329051283936</v>
      </c>
      <c r="GF79" s="59">
        <f t="shared" si="104"/>
        <v>479.3743231122258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81.476273239412166</v>
      </c>
      <c r="GM79" s="21">
        <f>EXP(-LN(2)/25)*GM78+(1-EXP(-LN(2)/25))/(LN(2)/25)*Calculateur!GH79*Calculateur!GJ79*VLOOKUP('Données projet'!$B$17,Paramètres!$A$1:$I$89,3,0)*0.475*44/12</f>
        <v>0</v>
      </c>
      <c r="GN79" s="21">
        <f>EXP(-LN(2)/2)*GN78+(1-EXP(-LN(2)/2))/(LN(2)/2)*GH79*GK79*VLOOKUP('Données projet'!$B$17,Paramètres!$A$1:$I$89,3,0)*0.475*44/12</f>
        <v>0</v>
      </c>
      <c r="GO79" s="21">
        <f t="shared" si="81"/>
        <v>81.476273239412166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4</v>
      </c>
      <c r="GU79" s="12">
        <f>IF('Données projet'!$A$270&gt;35,GU78+GT79-HC78,IF(A79&lt;'Données projet'!$A$270,$GR$205^A79,IF(A79='Données projet'!$A$270,'Données projet'!$B$270,GU78+GT79-HC78)))</f>
        <v>364.99999999999972</v>
      </c>
      <c r="GV79" s="17">
        <f>GU79*VLOOKUP('Données projet'!$B$18,Paramètres!$A$1:$I$89,3,0)*VLOOKUP('Données projet'!$B$18,Paramètres!$A$1:$I$89,5,0)</f>
        <v>296.08799999999979</v>
      </c>
      <c r="GW79" s="13">
        <f t="shared" si="105"/>
        <v>70.35573257182898</v>
      </c>
      <c r="GX79" s="20">
        <f t="shared" si="82"/>
        <v>638.22283422926841</v>
      </c>
      <c r="GY79" s="59">
        <f t="shared" si="83"/>
        <v>931.55616756260179</v>
      </c>
      <c r="GZ79" s="59">
        <f ca="1">AVERAGE(OFFSET($GY$3,0,0,'Données projet'!$E$18+1,1))-AVERAGE(OFFSET($H$3,0,0,'Données projet'!$E$18+1,1))</f>
        <v>412.59676769258488</v>
      </c>
      <c r="HA79" s="59">
        <f t="shared" si="106"/>
        <v>399.90063795152133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49.7613151876239</v>
      </c>
      <c r="HH79" s="21">
        <f>EXP(-LN(2)/25)*HH78+(1-EXP(-LN(2)/25))/(LN(2)/25)*Calculateur!HC79*Calculateur!HE79*VLOOKUP('Données projet'!$B$18,Paramètres!$A$1:$I$89,3,0)*0.475*44/12</f>
        <v>0</v>
      </c>
      <c r="HI79" s="21">
        <f>EXP(-LN(2)/2)*HI78+(1-EXP(-LN(2)/2))/(LN(2)/2)*HC79*HF79*VLOOKUP('Données projet'!$B$18,Paramètres!$A$1:$I$89,3,0)*0.475*44/12</f>
        <v>0</v>
      </c>
      <c r="HJ79" s="22">
        <f t="shared" si="84"/>
        <v>49.7613151876239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7.2</v>
      </c>
      <c r="N80" s="13">
        <f>IF('Données projet'!$A$36&gt;35,N79+M80-V79,IF(A80&lt;'Données projet'!$A$36,$K$205^A80,IF(A80='Données projet'!$A$36,'Données projet'!$B$36,N79+M80-V79)))</f>
        <v>298.40000000000003</v>
      </c>
      <c r="O80" s="13">
        <f>N80*VLOOKUP('Données projet'!$B$9,Paramètres!$A$1:$I$89,3,0)*VLOOKUP('Données projet'!$B$9,Paramètres!$A$1:$I$89,5,0)</f>
        <v>269.99232000000001</v>
      </c>
      <c r="P80" s="13">
        <f t="shared" si="87"/>
        <v>64.847639395310296</v>
      </c>
      <c r="Q80" s="20">
        <f t="shared" si="54"/>
        <v>583.17959594683214</v>
      </c>
      <c r="R80" s="59">
        <f t="shared" si="55"/>
        <v>876.51292928016551</v>
      </c>
      <c r="S80" s="59">
        <f ca="1">AVERAGE(OFFSET($R$3,0,0,'Données projet'!$E$9+1,1))-AVERAGE(OFFSET($H$3,0,0,'Données projet'!$E$9+1,1))</f>
        <v>439.19854273764042</v>
      </c>
      <c r="T80" s="59">
        <f t="shared" si="88"/>
        <v>278.21741231699929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72.418637301738073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72.418637301738073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7.2</v>
      </c>
      <c r="AI80" s="13">
        <f>IF('Données projet'!$A$62&gt;35,AI79+AH80-AQ79,IF(A80&lt;'Données projet'!$A$62,$AF$205^A80,IF(A80='Données projet'!$A$62,'Données projet'!$B$62,AI79+AH80-AQ79)))</f>
        <v>298.40000000000003</v>
      </c>
      <c r="AJ80" s="13">
        <f>AI80*VLOOKUP('Données projet'!$B$10,Paramètres!$A$1:$I$89,3,0)*VLOOKUP('Données projet'!$B$10,Paramètres!$A$1:$I$89,5,0)</f>
        <v>302.57760000000007</v>
      </c>
      <c r="AK80" s="13">
        <f t="shared" si="89"/>
        <v>71.716558091076294</v>
      </c>
      <c r="AL80" s="20">
        <f t="shared" si="58"/>
        <v>651.89565867529132</v>
      </c>
      <c r="AM80" s="59">
        <f t="shared" si="59"/>
        <v>945.22899200862457</v>
      </c>
      <c r="AN80" s="59">
        <f ca="1">AVERAGE(OFFSET($AM$3,0,0,'Données projet'!$E$10+1,1))-AVERAGE(OFFSET($H$3,0,0,'Données projet'!$E$10+1,1))</f>
        <v>487.18832528146936</v>
      </c>
      <c r="AO80" s="59">
        <f t="shared" si="90"/>
        <v>306.61893266146666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81.158817665740941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81.158817665740941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369.00000000000023</v>
      </c>
      <c r="BE80" s="13">
        <f>BD80*VLOOKUP('Données projet'!$B$11,Paramètres!$A$1:$I$89,3,0)*VLOOKUP('Données projet'!$B$11,Paramètres!$A$1:$I$89,5,0)</f>
        <v>333.87120000000021</v>
      </c>
      <c r="BF80" s="13">
        <f t="shared" si="91"/>
        <v>78.23236011137638</v>
      </c>
      <c r="BG80" s="20">
        <f t="shared" si="61"/>
        <v>717.74703386064755</v>
      </c>
      <c r="BH80" s="59">
        <f t="shared" si="62"/>
        <v>1011.0803671939809</v>
      </c>
      <c r="BI80" s="59">
        <f ca="1">AVERAGE(OFFSET($BH$3,0,0,'Données projet'!$E$11+1,1))-AVERAGE(OFFSET($H$3,0,0,'Données projet'!$E$11+1,1))</f>
        <v>436.23918637269577</v>
      </c>
      <c r="BJ80" s="59">
        <f t="shared" si="92"/>
        <v>611.43967996341894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4.1675764242223581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4.1675764242223581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224.00000000000006</v>
      </c>
      <c r="BZ80" s="13">
        <f>BY80*VLOOKUP('Données projet'!$B$12,Paramètres!$A$1:$I$89,3,0)*VLOOKUP('Données projet'!$B$12,Paramètres!$A$1:$I$89,5,0)</f>
        <v>195.68640000000008</v>
      </c>
      <c r="CA80" s="13">
        <f t="shared" si="93"/>
        <v>48.794969360985156</v>
      </c>
      <c r="CB80" s="20">
        <f t="shared" si="64"/>
        <v>425.8050516370493</v>
      </c>
      <c r="CC80" s="59">
        <f t="shared" si="65"/>
        <v>719.13838497038262</v>
      </c>
      <c r="CD80" s="59">
        <f ca="1">AVERAGE(OFFSET($CC$3,0,0,'Données projet'!$E$12+1,1))-AVERAGE(OFFSET($H$3,0,0,'Données projet'!$E$12+1,1))</f>
        <v>304.32767345253382</v>
      </c>
      <c r="CE80" s="59">
        <f t="shared" si="94"/>
        <v>427.16091343339173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45.005604882742702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45.005604882742702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739.99999999999966</v>
      </c>
      <c r="CU80" s="17">
        <f>CT80*VLOOKUP('Données projet'!$B$13,Paramètres!$A$1:$I$89,3,0)*VLOOKUP('Données projet'!$B$13,Paramètres!$A$1:$I$89,5,0)</f>
        <v>413.65999999999985</v>
      </c>
      <c r="CV80" s="13">
        <f t="shared" si="95"/>
        <v>94.540585122244352</v>
      </c>
      <c r="CW80" s="20">
        <f t="shared" si="67"/>
        <v>885.11601908790863</v>
      </c>
      <c r="CX80" s="59">
        <f t="shared" si="68"/>
        <v>1178.4493524212419</v>
      </c>
      <c r="CY80" s="59">
        <f ca="1">AVERAGE(OFFSET($CX$3,0,0,'Données projet'!$E$13+1,1))-AVERAGE(OFFSET($H$3,0,0,'Données projet'!$E$13+1,1))</f>
        <v>555.15881087162279</v>
      </c>
      <c r="CZ80" s="59">
        <f t="shared" si="96"/>
        <v>668.20427590250733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88.193915255368182</v>
      </c>
      <c r="DG80" s="21">
        <f>EXP(-LN(2)/25)*DG79+(1-EXP(-LN(2)/25))/(LN(2)/25)*Calculateur!DB80*Calculateur!DD80*VLOOKUP('Données projet'!$B$13,Paramètres!$A$1:$I$89,3,0)*0.475*44/12</f>
        <v>15.698334448488003</v>
      </c>
      <c r="DH80" s="21">
        <f>EXP(-LN(2)/2)*DH79+(1-EXP(-LN(2)/2))/(LN(2)/2)*DB80*DE80*VLOOKUP('Données projet'!$B$13,Paramètres!$A$1:$I$89,3,0)*0.475*44/12</f>
        <v>7.1690387237956162E-8</v>
      </c>
      <c r="DI80" s="22">
        <f t="shared" si="69"/>
        <v>103.89224977554657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17.8</v>
      </c>
      <c r="DO80" s="12">
        <f>IF('Données projet'!$A$166&gt;35,DO79+DN80-DW79,IF(A80&lt;'Données projet'!$A$166,$DL$205^A80,IF(A80='Données projet'!$A$166,'Données projet'!$B$166,DO79+DN80-DW79)))</f>
        <v>910.59999999999911</v>
      </c>
      <c r="DP80" s="17">
        <f>DO80*VLOOKUP('Données projet'!$B$14,Paramètres!$A$1:$I$89,3,0)*VLOOKUP('Données projet'!$B$14,Paramètres!$A$1:$I$89,5,0)</f>
        <v>426.1607999999996</v>
      </c>
      <c r="DQ80" s="13">
        <f t="shared" si="97"/>
        <v>97.060652958029095</v>
      </c>
      <c r="DR80" s="20">
        <f t="shared" si="70"/>
        <v>911.27736390190012</v>
      </c>
      <c r="DS80" s="59">
        <f t="shared" si="71"/>
        <v>1204.6106972352334</v>
      </c>
      <c r="DT80" s="59">
        <f ca="1">AVERAGE(OFFSET($DS$3,0,0,'Données projet'!$E$14+1,1))-AVERAGE(OFFSET($H$3,0,0,'Données projet'!$E$14+1,1))</f>
        <v>523.79180230463714</v>
      </c>
      <c r="DU80" s="59">
        <f t="shared" si="98"/>
        <v>459.3547783500515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138.88073738381937</v>
      </c>
      <c r="EB80" s="21">
        <f>EXP(-LN(2)/25)*EB79+(1-EXP(-LN(2)/25))/(LN(2)/25)*Calculateur!DW80*Calculateur!DY80*VLOOKUP('Données projet'!$B$14,Paramètres!$A$1:$I$89,3,0)*0.475*44/12</f>
        <v>14.518972654614034</v>
      </c>
      <c r="EC80" s="21">
        <f>EXP(-LN(2)/2)*EC79+(1-EXP(-LN(2)/2))/(LN(2)/2)*DW80*DZ80*VLOOKUP('Données projet'!$B$14,Paramètres!$A$1:$I$89,3,0)*0.475*44/12</f>
        <v>1.0049836869701578E-7</v>
      </c>
      <c r="ED80" s="22">
        <f t="shared" si="72"/>
        <v>153.39971013893177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4</v>
      </c>
      <c r="EJ80" s="12">
        <f>IF('Données projet'!$A$192&gt;35,EJ79+EI80-ER79,IF(A80&lt;'Données projet'!$A$192,$EG$205^A80,IF(A80='Données projet'!$A$192,'Données projet'!$B$192,EJ79+EI80-ER79)))</f>
        <v>368.99999999999972</v>
      </c>
      <c r="EK80" s="17">
        <f>EJ80*VLOOKUP('Données projet'!$B$15,Paramètres!$A$1:$I$89,3,0)*VLOOKUP('Données projet'!$B$15,Paramètres!$A$1:$I$89,5,0)</f>
        <v>356.89679999999976</v>
      </c>
      <c r="EL80" s="13">
        <f t="shared" si="99"/>
        <v>82.981017152077428</v>
      </c>
      <c r="EM80" s="20">
        <f t="shared" si="73"/>
        <v>766.12053153986756</v>
      </c>
      <c r="EN80" s="59">
        <f t="shared" si="74"/>
        <v>1059.4538648732009</v>
      </c>
      <c r="EO80" s="59">
        <f ca="1">AVERAGE(OFFSET($EN$3,0,0,'Données projet'!$E$15+1,1))-AVERAGE(OFFSET($H$3,0,0,'Données projet'!$E$15+1,1))</f>
        <v>484.41278617935654</v>
      </c>
      <c r="EP80" s="59">
        <f t="shared" si="100"/>
        <v>467.97490540700738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58.167358099776791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58.167358099776791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4</v>
      </c>
      <c r="FE80" s="12">
        <f>IF('Données projet'!$A$218&gt;35,FE79+FD80-FM79,IF(A80&lt;'Données projet'!$A$218,$FB$205^A80,IF(A80='Données projet'!$A$218,'Données projet'!$B$218,FE79+FD80-FM79)))</f>
        <v>368.99999999999972</v>
      </c>
      <c r="FF80" s="17">
        <f>FE80*VLOOKUP('Données projet'!$B$16,Paramètres!$A$1:$I$89,3,0)*VLOOKUP('Données projet'!$B$16,Paramètres!$A$1:$I$89,5,0)</f>
        <v>397.19159999999965</v>
      </c>
      <c r="FG80" s="13">
        <f t="shared" si="101"/>
        <v>91.207071957161716</v>
      </c>
      <c r="FH80" s="20">
        <f t="shared" si="76"/>
        <v>850.62768699205606</v>
      </c>
      <c r="FI80" s="59">
        <f t="shared" si="77"/>
        <v>1143.9610203253894</v>
      </c>
      <c r="FJ80" s="59">
        <f ca="1">AVERAGE(OFFSET($FI$3,0,0,'Données projet'!$E$16+1,1))-AVERAGE(OFFSET($H$3,0,0,'Données projet'!$E$16+1,1))</f>
        <v>534.54020133239135</v>
      </c>
      <c r="FK80" s="59">
        <f t="shared" si="102"/>
        <v>515.48696069008815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64.734640465880645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64.734640465880645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5.6</v>
      </c>
      <c r="FZ80" s="12">
        <f>IF('Données projet'!$A$244&gt;35,FZ79+FY80-GH79,IF(A80&lt;'Données projet'!$A$244,$FW$205^A80,IF(A80='Données projet'!$A$244,'Données projet'!$B$244,FZ79+FY80-GH79)))</f>
        <v>251.19999999999996</v>
      </c>
      <c r="GA80" s="17">
        <f>FZ80*VLOOKUP('Données projet'!$B$17,Paramètres!$A$1:$I$89,3,0)*VLOOKUP('Données projet'!$B$17,Paramètres!$A$1:$I$89,5,0)</f>
        <v>239.04191999999998</v>
      </c>
      <c r="GB80" s="13">
        <f t="shared" si="103"/>
        <v>58.233346939347648</v>
      </c>
      <c r="GC80" s="20">
        <f t="shared" si="79"/>
        <v>517.75442325269705</v>
      </c>
      <c r="GD80" s="59">
        <f t="shared" si="80"/>
        <v>811.08775658603031</v>
      </c>
      <c r="GE80" s="59">
        <f ca="1">AVERAGE(OFFSET($GD$3,0,0,'Données projet'!$E$17+1,1))-AVERAGE(OFFSET($H$3,0,0,'Données projet'!$E$17+1,1))</f>
        <v>455.71329051283936</v>
      </c>
      <c r="GF80" s="59">
        <f t="shared" si="104"/>
        <v>479.3743231122258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79.878573216806927</v>
      </c>
      <c r="GM80" s="21">
        <f>EXP(-LN(2)/25)*GM79+(1-EXP(-LN(2)/25))/(LN(2)/25)*Calculateur!GH80*Calculateur!GJ80*VLOOKUP('Données projet'!$B$17,Paramètres!$A$1:$I$89,3,0)*0.475*44/12</f>
        <v>0</v>
      </c>
      <c r="GN80" s="21">
        <f>EXP(-LN(2)/2)*GN79+(1-EXP(-LN(2)/2))/(LN(2)/2)*GH80*GK80*VLOOKUP('Données projet'!$B$17,Paramètres!$A$1:$I$89,3,0)*0.475*44/12</f>
        <v>0</v>
      </c>
      <c r="GO80" s="21">
        <f t="shared" si="81"/>
        <v>79.878573216806927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4</v>
      </c>
      <c r="GU80" s="12">
        <f>IF('Données projet'!$A$270&gt;35,GU79+GT80-HC79,IF(A80&lt;'Données projet'!$A$270,$GR$205^A80,IF(A80='Données projet'!$A$270,'Données projet'!$B$270,GU79+GT80-HC79)))</f>
        <v>368.99999999999972</v>
      </c>
      <c r="GV80" s="17">
        <f>GU80*VLOOKUP('Données projet'!$B$18,Paramètres!$A$1:$I$89,3,0)*VLOOKUP('Données projet'!$B$18,Paramètres!$A$1:$I$89,5,0)</f>
        <v>299.33279999999979</v>
      </c>
      <c r="GW80" s="13">
        <f t="shared" si="105"/>
        <v>71.03657460883025</v>
      </c>
      <c r="GX80" s="20">
        <f t="shared" si="82"/>
        <v>645.05999411037908</v>
      </c>
      <c r="GY80" s="59">
        <f t="shared" si="83"/>
        <v>938.39332744371245</v>
      </c>
      <c r="GZ80" s="59">
        <f ca="1">AVERAGE(OFFSET($GY$3,0,0,'Données projet'!$E$18+1,1))-AVERAGE(OFFSET($H$3,0,0,'Données projet'!$E$18+1,1))</f>
        <v>412.59676769258488</v>
      </c>
      <c r="HA80" s="59">
        <f t="shared" si="106"/>
        <v>399.90063795152133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48.785526148199907</v>
      </c>
      <c r="HH80" s="21">
        <f>EXP(-LN(2)/25)*HH79+(1-EXP(-LN(2)/25))/(LN(2)/25)*Calculateur!HC80*Calculateur!HE80*VLOOKUP('Données projet'!$B$18,Paramètres!$A$1:$I$89,3,0)*0.475*44/12</f>
        <v>0</v>
      </c>
      <c r="HI80" s="21">
        <f>EXP(-LN(2)/2)*HI79+(1-EXP(-LN(2)/2))/(LN(2)/2)*HC80*HF80*VLOOKUP('Données projet'!$B$18,Paramètres!$A$1:$I$89,3,0)*0.475*44/12</f>
        <v>0</v>
      </c>
      <c r="HJ80" s="22">
        <f t="shared" si="84"/>
        <v>48.785526148199907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7.2</v>
      </c>
      <c r="N81" s="13">
        <f>IF('Données projet'!$A$36&gt;35,N80+M81-V80,IF(A81&lt;'Données projet'!$A$36,$K$205^A81,IF(A81='Données projet'!$A$36,'Données projet'!$B$36,N80+M81-V80)))</f>
        <v>305.60000000000002</v>
      </c>
      <c r="O81" s="13">
        <f>N81*VLOOKUP('Données projet'!$B$9,Paramètres!$A$1:$I$89,3,0)*VLOOKUP('Données projet'!$B$9,Paramètres!$A$1:$I$89,5,0)</f>
        <v>276.50687999999997</v>
      </c>
      <c r="P81" s="13">
        <f t="shared" si="87"/>
        <v>66.228273722513677</v>
      </c>
      <c r="Q81" s="20">
        <f t="shared" si="54"/>
        <v>596.93039273337797</v>
      </c>
      <c r="R81" s="59">
        <f t="shared" si="55"/>
        <v>890.26372606671134</v>
      </c>
      <c r="S81" s="59">
        <f ca="1">AVERAGE(OFFSET($R$3,0,0,'Données projet'!$E$9+1,1))-AVERAGE(OFFSET($H$3,0,0,'Données projet'!$E$9+1,1))</f>
        <v>439.19854273764042</v>
      </c>
      <c r="T81" s="59">
        <f t="shared" si="88"/>
        <v>278.21741231699929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70.998551995258225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70.998551995258225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7.2</v>
      </c>
      <c r="AI81" s="13">
        <f>IF('Données projet'!$A$62&gt;35,AI80+AH81-AQ80,IF(A81&lt;'Données projet'!$A$62,$AF$205^A81,IF(A81='Données projet'!$A$62,'Données projet'!$B$62,AI80+AH81-AQ80)))</f>
        <v>305.60000000000002</v>
      </c>
      <c r="AJ81" s="13">
        <f>AI81*VLOOKUP('Données projet'!$B$10,Paramètres!$A$1:$I$89,3,0)*VLOOKUP('Données projet'!$B$10,Paramètres!$A$1:$I$89,5,0)</f>
        <v>309.87840000000006</v>
      </c>
      <c r="AK81" s="13">
        <f t="shared" si="89"/>
        <v>73.243434672131556</v>
      </c>
      <c r="AL81" s="20">
        <f t="shared" si="58"/>
        <v>667.27052872062916</v>
      </c>
      <c r="AM81" s="59">
        <f t="shared" si="59"/>
        <v>960.60386205396253</v>
      </c>
      <c r="AN81" s="59">
        <f ca="1">AVERAGE(OFFSET($AM$3,0,0,'Données projet'!$E$10+1,1))-AVERAGE(OFFSET($H$3,0,0,'Données projet'!$E$10+1,1))</f>
        <v>487.18832528146936</v>
      </c>
      <c r="AO81" s="59">
        <f t="shared" si="90"/>
        <v>306.61893266146666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79.567342753306619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79.567342753306619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369.00000000000023</v>
      </c>
      <c r="BE81" s="13">
        <f>BD81*VLOOKUP('Données projet'!$B$11,Paramètres!$A$1:$I$89,3,0)*VLOOKUP('Données projet'!$B$11,Paramètres!$A$1:$I$89,5,0)</f>
        <v>333.87120000000021</v>
      </c>
      <c r="BF81" s="13">
        <f t="shared" si="91"/>
        <v>78.23236011137638</v>
      </c>
      <c r="BG81" s="20">
        <f t="shared" si="61"/>
        <v>717.74703386064755</v>
      </c>
      <c r="BH81" s="59">
        <f t="shared" si="62"/>
        <v>1011.0803671939809</v>
      </c>
      <c r="BI81" s="59">
        <f ca="1">AVERAGE(OFFSET($BH$3,0,0,'Données projet'!$E$11+1,1))-AVERAGE(OFFSET($H$3,0,0,'Données projet'!$E$11+1,1))</f>
        <v>436.23918637269577</v>
      </c>
      <c r="BJ81" s="59">
        <f t="shared" si="92"/>
        <v>611.43967996341894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4.085852792513978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4.085852792513978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224.00000000000006</v>
      </c>
      <c r="BZ81" s="13">
        <f>BY81*VLOOKUP('Données projet'!$B$12,Paramètres!$A$1:$I$89,3,0)*VLOOKUP('Données projet'!$B$12,Paramètres!$A$1:$I$89,5,0)</f>
        <v>195.68640000000008</v>
      </c>
      <c r="CA81" s="13">
        <f t="shared" si="93"/>
        <v>48.794969360985156</v>
      </c>
      <c r="CB81" s="20">
        <f t="shared" si="64"/>
        <v>425.8050516370493</v>
      </c>
      <c r="CC81" s="59">
        <f t="shared" si="65"/>
        <v>719.13838497038262</v>
      </c>
      <c r="CD81" s="59">
        <f ca="1">AVERAGE(OFFSET($CC$3,0,0,'Données projet'!$E$12+1,1))-AVERAGE(OFFSET($H$3,0,0,'Données projet'!$E$12+1,1))</f>
        <v>304.32767345253382</v>
      </c>
      <c r="CE81" s="59">
        <f t="shared" si="94"/>
        <v>427.16091343339173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44.123072421700563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44.123072421700563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739.99999999999966</v>
      </c>
      <c r="CU81" s="17">
        <f>CT81*VLOOKUP('Données projet'!$B$13,Paramètres!$A$1:$I$89,3,0)*VLOOKUP('Données projet'!$B$13,Paramètres!$A$1:$I$89,5,0)</f>
        <v>413.65999999999985</v>
      </c>
      <c r="CV81" s="13">
        <f t="shared" si="95"/>
        <v>94.540585122244352</v>
      </c>
      <c r="CW81" s="20">
        <f t="shared" si="67"/>
        <v>885.11601908790863</v>
      </c>
      <c r="CX81" s="59">
        <f t="shared" si="68"/>
        <v>1178.4493524212419</v>
      </c>
      <c r="CY81" s="59">
        <f ca="1">AVERAGE(OFFSET($CX$3,0,0,'Données projet'!$E$13+1,1))-AVERAGE(OFFSET($H$3,0,0,'Données projet'!$E$13+1,1))</f>
        <v>555.15881087162279</v>
      </c>
      <c r="CZ81" s="59">
        <f t="shared" si="96"/>
        <v>668.20427590250733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86.464486370187103</v>
      </c>
      <c r="DG81" s="21">
        <f>EXP(-LN(2)/25)*DG80+(1-EXP(-LN(2)/25))/(LN(2)/25)*Calculateur!DB81*Calculateur!DD81*VLOOKUP('Données projet'!$B$13,Paramètres!$A$1:$I$89,3,0)*0.475*44/12</f>
        <v>15.26906266745457</v>
      </c>
      <c r="DH81" s="21">
        <f>EXP(-LN(2)/2)*DH80+(1-EXP(-LN(2)/2))/(LN(2)/2)*DB81*DE81*VLOOKUP('Données projet'!$B$13,Paramètres!$A$1:$I$89,3,0)*0.475*44/12</f>
        <v>5.0692758961848328E-8</v>
      </c>
      <c r="DI81" s="22">
        <f t="shared" si="69"/>
        <v>101.73354908833443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17.8</v>
      </c>
      <c r="DO81" s="12">
        <f>IF('Données projet'!$A$166&gt;35,DO80+DN81-DW80,IF(A81&lt;'Données projet'!$A$166,$DL$205^A81,IF(A81='Données projet'!$A$166,'Données projet'!$B$166,DO80+DN81-DW80)))</f>
        <v>928.39999999999907</v>
      </c>
      <c r="DP81" s="17">
        <f>DO81*VLOOKUP('Données projet'!$B$14,Paramètres!$A$1:$I$89,3,0)*VLOOKUP('Données projet'!$B$14,Paramètres!$A$1:$I$89,5,0)</f>
        <v>434.49119999999954</v>
      </c>
      <c r="DQ81" s="13">
        <f t="shared" si="97"/>
        <v>98.73521201932671</v>
      </c>
      <c r="DR81" s="20">
        <f t="shared" si="70"/>
        <v>928.70266760032655</v>
      </c>
      <c r="DS81" s="59">
        <f t="shared" si="71"/>
        <v>1222.0360009336598</v>
      </c>
      <c r="DT81" s="59">
        <f ca="1">AVERAGE(OFFSET($DS$3,0,0,'Données projet'!$E$14+1,1))-AVERAGE(OFFSET($H$3,0,0,'Données projet'!$E$14+1,1))</f>
        <v>523.79180230463714</v>
      </c>
      <c r="DU81" s="59">
        <f t="shared" si="98"/>
        <v>459.3547783500515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136.15737083260817</v>
      </c>
      <c r="EB81" s="21">
        <f>EXP(-LN(2)/25)*EB80+(1-EXP(-LN(2)/25))/(LN(2)/25)*Calculateur!DW81*Calculateur!DY81*VLOOKUP('Données projet'!$B$14,Paramètres!$A$1:$I$89,3,0)*0.475*44/12</f>
        <v>14.121950583854025</v>
      </c>
      <c r="EC81" s="21">
        <f>EXP(-LN(2)/2)*EC80+(1-EXP(-LN(2)/2))/(LN(2)/2)*DW81*DZ81*VLOOKUP('Données projet'!$B$14,Paramètres!$A$1:$I$89,3,0)*0.475*44/12</f>
        <v>7.1063078003845712E-8</v>
      </c>
      <c r="ED81" s="22">
        <f t="shared" si="72"/>
        <v>150.27932148752527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4</v>
      </c>
      <c r="EJ81" s="12">
        <f>IF('Données projet'!$A$192&gt;35,EJ80+EI81-ER80,IF(A81&lt;'Données projet'!$A$192,$EG$205^A81,IF(A81='Données projet'!$A$192,'Données projet'!$B$192,EJ80+EI81-ER80)))</f>
        <v>372.99999999999972</v>
      </c>
      <c r="EK81" s="17">
        <f>EJ81*VLOOKUP('Données projet'!$B$15,Paramètres!$A$1:$I$89,3,0)*VLOOKUP('Données projet'!$B$15,Paramètres!$A$1:$I$89,5,0)</f>
        <v>360.76559999999972</v>
      </c>
      <c r="EL81" s="13">
        <f t="shared" si="99"/>
        <v>83.77533643498333</v>
      </c>
      <c r="EM81" s="20">
        <f t="shared" si="73"/>
        <v>774.24213095759535</v>
      </c>
      <c r="EN81" s="59">
        <f t="shared" si="74"/>
        <v>1067.5754642909287</v>
      </c>
      <c r="EO81" s="59">
        <f ca="1">AVERAGE(OFFSET($EN$3,0,0,'Données projet'!$E$15+1,1))-AVERAGE(OFFSET($H$3,0,0,'Données projet'!$E$15+1,1))</f>
        <v>484.41278617935654</v>
      </c>
      <c r="EP81" s="59">
        <f t="shared" si="100"/>
        <v>467.97490540700738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57.026731686025393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57.026731686025393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4</v>
      </c>
      <c r="FE81" s="12">
        <f>IF('Données projet'!$A$218&gt;35,FE80+FD81-FM80,IF(A81&lt;'Données projet'!$A$218,$FB$205^A81,IF(A81='Données projet'!$A$218,'Données projet'!$B$218,FE80+FD81-FM80)))</f>
        <v>372.99999999999972</v>
      </c>
      <c r="FF81" s="17">
        <f>FE81*VLOOKUP('Données projet'!$B$16,Paramètres!$A$1:$I$89,3,0)*VLOOKUP('Données projet'!$B$16,Paramètres!$A$1:$I$89,5,0)</f>
        <v>401.49719999999968</v>
      </c>
      <c r="FG81" s="13">
        <f t="shared" si="101"/>
        <v>92.080133513640277</v>
      </c>
      <c r="FH81" s="20">
        <f t="shared" si="76"/>
        <v>859.64718920292296</v>
      </c>
      <c r="FI81" s="59">
        <f t="shared" si="77"/>
        <v>1152.9805225362563</v>
      </c>
      <c r="FJ81" s="59">
        <f ca="1">AVERAGE(OFFSET($FI$3,0,0,'Données projet'!$E$16+1,1))-AVERAGE(OFFSET($H$3,0,0,'Données projet'!$E$16+1,1))</f>
        <v>534.54020133239135</v>
      </c>
      <c r="FK81" s="59">
        <f t="shared" si="102"/>
        <v>515.48696069008815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63.465233650576664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63.465233650576664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5.6</v>
      </c>
      <c r="FZ81" s="12">
        <f>IF('Données projet'!$A$244&gt;35,FZ80+FY81-GH80,IF(A81&lt;'Données projet'!$A$244,$FW$205^A81,IF(A81='Données projet'!$A$244,'Données projet'!$B$244,FZ80+FY81-GH80)))</f>
        <v>256.79999999999995</v>
      </c>
      <c r="GA81" s="17">
        <f>FZ81*VLOOKUP('Données projet'!$B$17,Paramètres!$A$1:$I$89,3,0)*VLOOKUP('Données projet'!$B$17,Paramètres!$A$1:$I$89,5,0)</f>
        <v>244.37087999999997</v>
      </c>
      <c r="GB81" s="13">
        <f t="shared" si="103"/>
        <v>59.378956514447331</v>
      </c>
      <c r="GC81" s="20">
        <f t="shared" si="79"/>
        <v>529.03096526266233</v>
      </c>
      <c r="GD81" s="59">
        <f t="shared" si="80"/>
        <v>822.36429859599571</v>
      </c>
      <c r="GE81" s="59">
        <f ca="1">AVERAGE(OFFSET($GD$3,0,0,'Données projet'!$E$17+1,1))-AVERAGE(OFFSET($H$3,0,0,'Données projet'!$E$17+1,1))</f>
        <v>455.71329051283936</v>
      </c>
      <c r="GF81" s="59">
        <f t="shared" si="104"/>
        <v>479.3743231122258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78.312203117144193</v>
      </c>
      <c r="GM81" s="21">
        <f>EXP(-LN(2)/25)*GM80+(1-EXP(-LN(2)/25))/(LN(2)/25)*Calculateur!GH81*Calculateur!GJ81*VLOOKUP('Données projet'!$B$17,Paramètres!$A$1:$I$89,3,0)*0.475*44/12</f>
        <v>0</v>
      </c>
      <c r="GN81" s="21">
        <f>EXP(-LN(2)/2)*GN80+(1-EXP(-LN(2)/2))/(LN(2)/2)*GH81*GK81*VLOOKUP('Données projet'!$B$17,Paramètres!$A$1:$I$89,3,0)*0.475*44/12</f>
        <v>0</v>
      </c>
      <c r="GO81" s="21">
        <f t="shared" si="81"/>
        <v>78.312203117144193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4</v>
      </c>
      <c r="GU81" s="12">
        <f>IF('Données projet'!$A$270&gt;35,GU80+GT81-HC80,IF(A81&lt;'Données projet'!$A$270,$GR$205^A81,IF(A81='Données projet'!$A$270,'Données projet'!$B$270,GU80+GT81-HC80)))</f>
        <v>372.99999999999972</v>
      </c>
      <c r="GV81" s="17">
        <f>GU81*VLOOKUP('Données projet'!$B$18,Paramètres!$A$1:$I$89,3,0)*VLOOKUP('Données projet'!$B$18,Paramètres!$A$1:$I$89,5,0)</f>
        <v>302.57759999999979</v>
      </c>
      <c r="GW81" s="13">
        <f t="shared" si="105"/>
        <v>71.716558091076237</v>
      </c>
      <c r="GX81" s="20">
        <f t="shared" si="82"/>
        <v>651.89565867529075</v>
      </c>
      <c r="GY81" s="59">
        <f t="shared" si="83"/>
        <v>945.22899200862412</v>
      </c>
      <c r="GZ81" s="59">
        <f ca="1">AVERAGE(OFFSET($GY$3,0,0,'Données projet'!$E$18+1,1))-AVERAGE(OFFSET($H$3,0,0,'Données projet'!$E$18+1,1))</f>
        <v>412.59676769258488</v>
      </c>
      <c r="HA81" s="59">
        <f t="shared" si="106"/>
        <v>399.90063795152133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47.828871736666471</v>
      </c>
      <c r="HH81" s="21">
        <f>EXP(-LN(2)/25)*HH80+(1-EXP(-LN(2)/25))/(LN(2)/25)*Calculateur!HC81*Calculateur!HE81*VLOOKUP('Données projet'!$B$18,Paramètres!$A$1:$I$89,3,0)*0.475*44/12</f>
        <v>0</v>
      </c>
      <c r="HI81" s="21">
        <f>EXP(-LN(2)/2)*HI80+(1-EXP(-LN(2)/2))/(LN(2)/2)*HC81*HF81*VLOOKUP('Données projet'!$B$18,Paramètres!$A$1:$I$89,3,0)*0.475*44/12</f>
        <v>0</v>
      </c>
      <c r="HJ81" s="22">
        <f t="shared" si="84"/>
        <v>47.828871736666471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7.2</v>
      </c>
      <c r="N82" s="13">
        <f>IF('Données projet'!$A$36&gt;35,N81+M82-V81,IF(A82&lt;'Données projet'!$A$36,$K$205^A82,IF(A82='Données projet'!$A$36,'Données projet'!$B$36,N81+M82-V81)))</f>
        <v>312.8</v>
      </c>
      <c r="O82" s="13">
        <f>N82*VLOOKUP('Données projet'!$B$9,Paramètres!$A$1:$I$89,3,0)*VLOOKUP('Données projet'!$B$9,Paramètres!$A$1:$I$89,5,0)</f>
        <v>283.02144000000004</v>
      </c>
      <c r="P82" s="13">
        <f t="shared" si="87"/>
        <v>67.605126603830598</v>
      </c>
      <c r="Q82" s="20">
        <f t="shared" si="54"/>
        <v>610.67460350167164</v>
      </c>
      <c r="R82" s="59">
        <f t="shared" si="55"/>
        <v>904.00793683500501</v>
      </c>
      <c r="S82" s="59">
        <f ca="1">AVERAGE(OFFSET($R$3,0,0,'Données projet'!$E$9+1,1))-AVERAGE(OFFSET($H$3,0,0,'Données projet'!$E$9+1,1))</f>
        <v>439.19854273764042</v>
      </c>
      <c r="T82" s="59">
        <f t="shared" si="88"/>
        <v>278.21741231699929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69.606313695471925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69.606313695471925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7.2</v>
      </c>
      <c r="AI82" s="13">
        <f>IF('Données projet'!$A$62&gt;35,AI81+AH82-AQ81,IF(A82&lt;'Données projet'!$A$62,$AF$205^A82,IF(A82='Données projet'!$A$62,'Données projet'!$B$62,AI81+AH82-AQ81)))</f>
        <v>312.8</v>
      </c>
      <c r="AJ82" s="13">
        <f>AI82*VLOOKUP('Données projet'!$B$10,Paramètres!$A$1:$I$89,3,0)*VLOOKUP('Données projet'!$B$10,Paramètres!$A$1:$I$89,5,0)</f>
        <v>317.17920000000004</v>
      </c>
      <c r="AK82" s="13">
        <f t="shared" si="89"/>
        <v>74.766129261581426</v>
      </c>
      <c r="AL82" s="20">
        <f t="shared" si="58"/>
        <v>682.63811513058772</v>
      </c>
      <c r="AM82" s="59">
        <f t="shared" si="59"/>
        <v>975.97144846392098</v>
      </c>
      <c r="AN82" s="59">
        <f ca="1">AVERAGE(OFFSET($AM$3,0,0,'Données projet'!$E$10+1,1))-AVERAGE(OFFSET($H$3,0,0,'Données projet'!$E$10+1,1))</f>
        <v>487.18832528146936</v>
      </c>
      <c r="AO82" s="59">
        <f t="shared" si="90"/>
        <v>306.61893266146666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78.007075693201287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78.007075693201287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369.00000000000023</v>
      </c>
      <c r="BE82" s="13">
        <f>BD82*VLOOKUP('Données projet'!$B$11,Paramètres!$A$1:$I$89,3,0)*VLOOKUP('Données projet'!$B$11,Paramètres!$A$1:$I$89,5,0)</f>
        <v>333.87120000000021</v>
      </c>
      <c r="BF82" s="13">
        <f t="shared" si="91"/>
        <v>78.23236011137638</v>
      </c>
      <c r="BG82" s="20">
        <f t="shared" si="61"/>
        <v>717.74703386064755</v>
      </c>
      <c r="BH82" s="59">
        <f t="shared" si="62"/>
        <v>1011.0803671939809</v>
      </c>
      <c r="BI82" s="59">
        <f ca="1">AVERAGE(OFFSET($BH$3,0,0,'Données projet'!$E$11+1,1))-AVERAGE(OFFSET($H$3,0,0,'Données projet'!$E$11+1,1))</f>
        <v>436.23918637269577</v>
      </c>
      <c r="BJ82" s="59">
        <f t="shared" si="92"/>
        <v>611.43967996341894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4.0057317113769058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4.0057317113769058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224.00000000000006</v>
      </c>
      <c r="BZ82" s="13">
        <f>BY82*VLOOKUP('Données projet'!$B$12,Paramètres!$A$1:$I$89,3,0)*VLOOKUP('Données projet'!$B$12,Paramètres!$A$1:$I$89,5,0)</f>
        <v>195.68640000000008</v>
      </c>
      <c r="CA82" s="13">
        <f t="shared" si="93"/>
        <v>48.794969360985156</v>
      </c>
      <c r="CB82" s="20">
        <f t="shared" si="64"/>
        <v>425.8050516370493</v>
      </c>
      <c r="CC82" s="59">
        <f t="shared" si="65"/>
        <v>719.13838497038262</v>
      </c>
      <c r="CD82" s="59">
        <f ca="1">AVERAGE(OFFSET($CC$3,0,0,'Données projet'!$E$12+1,1))-AVERAGE(OFFSET($H$3,0,0,'Données projet'!$E$12+1,1))</f>
        <v>304.32767345253382</v>
      </c>
      <c r="CE82" s="59">
        <f t="shared" si="94"/>
        <v>427.16091343339173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43.257845883927814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43.257845883927814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739.99999999999966</v>
      </c>
      <c r="CU82" s="17">
        <f>CT82*VLOOKUP('Données projet'!$B$13,Paramètres!$A$1:$I$89,3,0)*VLOOKUP('Données projet'!$B$13,Paramètres!$A$1:$I$89,5,0)</f>
        <v>413.65999999999985</v>
      </c>
      <c r="CV82" s="13">
        <f t="shared" si="95"/>
        <v>94.540585122244352</v>
      </c>
      <c r="CW82" s="20">
        <f t="shared" si="67"/>
        <v>885.11601908790863</v>
      </c>
      <c r="CX82" s="59">
        <f t="shared" si="68"/>
        <v>1178.4493524212419</v>
      </c>
      <c r="CY82" s="59">
        <f ca="1">AVERAGE(OFFSET($CX$3,0,0,'Données projet'!$E$13+1,1))-AVERAGE(OFFSET($H$3,0,0,'Données projet'!$E$13+1,1))</f>
        <v>555.15881087162279</v>
      </c>
      <c r="CZ82" s="59">
        <f t="shared" si="96"/>
        <v>668.20427590250733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84.76897053059696</v>
      </c>
      <c r="DG82" s="21">
        <f>EXP(-LN(2)/25)*DG81+(1-EXP(-LN(2)/25))/(LN(2)/25)*Calculateur!DB82*Calculateur!DD82*VLOOKUP('Données projet'!$B$13,Paramètres!$A$1:$I$89,3,0)*0.475*44/12</f>
        <v>14.851529345847917</v>
      </c>
      <c r="DH82" s="21">
        <f>EXP(-LN(2)/2)*DH81+(1-EXP(-LN(2)/2))/(LN(2)/2)*DB82*DE82*VLOOKUP('Données projet'!$B$13,Paramètres!$A$1:$I$89,3,0)*0.475*44/12</f>
        <v>3.5845193618978081E-8</v>
      </c>
      <c r="DI82" s="22">
        <f t="shared" si="69"/>
        <v>99.620499912290072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17.8</v>
      </c>
      <c r="DO82" s="12">
        <f>IF('Données projet'!$A$166&gt;35,DO81+DN82-DW81,IF(A82&lt;'Données projet'!$A$166,$DL$205^A82,IF(A82='Données projet'!$A$166,'Données projet'!$B$166,DO81+DN82-DW81)))</f>
        <v>946.19999999999902</v>
      </c>
      <c r="DP82" s="17">
        <f>DO82*VLOOKUP('Données projet'!$B$14,Paramètres!$A$1:$I$89,3,0)*VLOOKUP('Données projet'!$B$14,Paramètres!$A$1:$I$89,5,0)</f>
        <v>442.82159999999948</v>
      </c>
      <c r="DQ82" s="13">
        <f t="shared" si="97"/>
        <v>100.40603787485102</v>
      </c>
      <c r="DR82" s="20">
        <f t="shared" si="70"/>
        <v>946.12146929869789</v>
      </c>
      <c r="DS82" s="59">
        <f t="shared" si="71"/>
        <v>1239.4548026320313</v>
      </c>
      <c r="DT82" s="59">
        <f ca="1">AVERAGE(OFFSET($DS$3,0,0,'Données projet'!$E$14+1,1))-AVERAGE(OFFSET($H$3,0,0,'Données projet'!$E$14+1,1))</f>
        <v>523.79180230463714</v>
      </c>
      <c r="DU82" s="59">
        <f t="shared" si="98"/>
        <v>459.3547783500515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133.48740783837664</v>
      </c>
      <c r="EB82" s="21">
        <f>EXP(-LN(2)/25)*EB81+(1-EXP(-LN(2)/25))/(LN(2)/25)*Calculateur!DW82*Calculateur!DY82*VLOOKUP('Données projet'!$B$14,Paramètres!$A$1:$I$89,3,0)*0.475*44/12</f>
        <v>13.735785102497431</v>
      </c>
      <c r="EC82" s="21">
        <f>EXP(-LN(2)/2)*EC81+(1-EXP(-LN(2)/2))/(LN(2)/2)*DW82*DZ82*VLOOKUP('Données projet'!$B$14,Paramètres!$A$1:$I$89,3,0)*0.475*44/12</f>
        <v>5.0249184348507889E-8</v>
      </c>
      <c r="ED82" s="22">
        <f t="shared" si="72"/>
        <v>147.22319299112326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4</v>
      </c>
      <c r="EJ82" s="12">
        <f>IF('Données projet'!$A$192&gt;35,EJ81+EI82-ER81,IF(A82&lt;'Données projet'!$A$192,$EG$205^A82,IF(A82='Données projet'!$A$192,'Données projet'!$B$192,EJ81+EI82-ER81)))</f>
        <v>376.99999999999972</v>
      </c>
      <c r="EK82" s="17">
        <f>EJ82*VLOOKUP('Données projet'!$B$15,Paramètres!$A$1:$I$89,3,0)*VLOOKUP('Données projet'!$B$15,Paramètres!$A$1:$I$89,5,0)</f>
        <v>364.63439999999974</v>
      </c>
      <c r="EL82" s="13">
        <f t="shared" si="99"/>
        <v>84.568664801477581</v>
      </c>
      <c r="EM82" s="20">
        <f t="shared" si="73"/>
        <v>782.36200452923958</v>
      </c>
      <c r="EN82" s="59">
        <f t="shared" si="74"/>
        <v>1075.6953378625728</v>
      </c>
      <c r="EO82" s="59">
        <f ca="1">AVERAGE(OFFSET($EN$3,0,0,'Données projet'!$E$15+1,1))-AVERAGE(OFFSET($H$3,0,0,'Données projet'!$E$15+1,1))</f>
        <v>484.41278617935654</v>
      </c>
      <c r="EP82" s="59">
        <f t="shared" si="100"/>
        <v>467.97490540700738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55.908472260534239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55.908472260534239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4</v>
      </c>
      <c r="FE82" s="12">
        <f>IF('Données projet'!$A$218&gt;35,FE81+FD82-FM81,IF(A82&lt;'Données projet'!$A$218,$FB$205^A82,IF(A82='Données projet'!$A$218,'Données projet'!$B$218,FE81+FD82-FM81)))</f>
        <v>376.99999999999972</v>
      </c>
      <c r="FF82" s="17">
        <f>FE82*VLOOKUP('Données projet'!$B$16,Paramètres!$A$1:$I$89,3,0)*VLOOKUP('Données projet'!$B$16,Paramètres!$A$1:$I$89,5,0)</f>
        <v>405.80279999999965</v>
      </c>
      <c r="FG82" s="13">
        <f t="shared" si="101"/>
        <v>92.952105922412812</v>
      </c>
      <c r="FH82" s="20">
        <f t="shared" si="76"/>
        <v>868.66479448153507</v>
      </c>
      <c r="FI82" s="59">
        <f t="shared" si="77"/>
        <v>1161.9981278148684</v>
      </c>
      <c r="FJ82" s="59">
        <f ca="1">AVERAGE(OFFSET($FI$3,0,0,'Données projet'!$E$16+1,1))-AVERAGE(OFFSET($H$3,0,0,'Données projet'!$E$16+1,1))</f>
        <v>534.54020133239135</v>
      </c>
      <c r="FK82" s="59">
        <f t="shared" si="102"/>
        <v>515.48696069008815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62.220719128659091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62.220719128659091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5.6</v>
      </c>
      <c r="FZ82" s="12">
        <f>IF('Données projet'!$A$244&gt;35,FZ81+FY82-GH81,IF(A82&lt;'Données projet'!$A$244,$FW$205^A82,IF(A82='Données projet'!$A$244,'Données projet'!$B$244,FZ81+FY82-GH81)))</f>
        <v>262.39999999999998</v>
      </c>
      <c r="GA82" s="17">
        <f>FZ82*VLOOKUP('Données projet'!$B$17,Paramètres!$A$1:$I$89,3,0)*VLOOKUP('Données projet'!$B$17,Paramètres!$A$1:$I$89,5,0)</f>
        <v>249.69983999999999</v>
      </c>
      <c r="GB82" s="13">
        <f t="shared" si="103"/>
        <v>60.521661612597903</v>
      </c>
      <c r="GC82" s="20">
        <f t="shared" si="79"/>
        <v>540.30244864194128</v>
      </c>
      <c r="GD82" s="59">
        <f t="shared" si="80"/>
        <v>833.63578197527454</v>
      </c>
      <c r="GE82" s="59">
        <f ca="1">AVERAGE(OFFSET($GD$3,0,0,'Données projet'!$E$17+1,1))-AVERAGE(OFFSET($H$3,0,0,'Données projet'!$E$17+1,1))</f>
        <v>455.71329051283936</v>
      </c>
      <c r="GF82" s="59">
        <f t="shared" si="104"/>
        <v>479.3743231122258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76.776548579744428</v>
      </c>
      <c r="GM82" s="21">
        <f>EXP(-LN(2)/25)*GM81+(1-EXP(-LN(2)/25))/(LN(2)/25)*Calculateur!GH82*Calculateur!GJ82*VLOOKUP('Données projet'!$B$17,Paramètres!$A$1:$I$89,3,0)*0.475*44/12</f>
        <v>0</v>
      </c>
      <c r="GN82" s="21">
        <f>EXP(-LN(2)/2)*GN81+(1-EXP(-LN(2)/2))/(LN(2)/2)*GH82*GK82*VLOOKUP('Données projet'!$B$17,Paramètres!$A$1:$I$89,3,0)*0.475*44/12</f>
        <v>0</v>
      </c>
      <c r="GO82" s="21">
        <f t="shared" si="81"/>
        <v>76.776548579744428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4</v>
      </c>
      <c r="GU82" s="12">
        <f>IF('Données projet'!$A$270&gt;35,GU81+GT82-HC81,IF(A82&lt;'Données projet'!$A$270,$GR$205^A82,IF(A82='Données projet'!$A$270,'Données projet'!$B$270,GU81+GT82-HC81)))</f>
        <v>376.99999999999972</v>
      </c>
      <c r="GV82" s="17">
        <f>GU82*VLOOKUP('Données projet'!$B$18,Paramètres!$A$1:$I$89,3,0)*VLOOKUP('Données projet'!$B$18,Paramètres!$A$1:$I$89,5,0)</f>
        <v>305.82239999999979</v>
      </c>
      <c r="GW82" s="13">
        <f t="shared" si="105"/>
        <v>72.39569329126887</v>
      </c>
      <c r="GX82" s="20">
        <f t="shared" si="82"/>
        <v>658.72984581562616</v>
      </c>
      <c r="GY82" s="59">
        <f t="shared" si="83"/>
        <v>952.06317914895953</v>
      </c>
      <c r="GZ82" s="59">
        <f ca="1">AVERAGE(OFFSET($GY$3,0,0,'Données projet'!$E$18+1,1))-AVERAGE(OFFSET($H$3,0,0,'Données projet'!$E$18+1,1))</f>
        <v>412.59676769258488</v>
      </c>
      <c r="HA82" s="59">
        <f t="shared" si="106"/>
        <v>399.90063795152133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46.890976734641633</v>
      </c>
      <c r="HH82" s="21">
        <f>EXP(-LN(2)/25)*HH81+(1-EXP(-LN(2)/25))/(LN(2)/25)*Calculateur!HC82*Calculateur!HE82*VLOOKUP('Données projet'!$B$18,Paramètres!$A$1:$I$89,3,0)*0.475*44/12</f>
        <v>0</v>
      </c>
      <c r="HI82" s="21">
        <f>EXP(-LN(2)/2)*HI81+(1-EXP(-LN(2)/2))/(LN(2)/2)*HC82*HF82*VLOOKUP('Données projet'!$B$18,Paramètres!$A$1:$I$89,3,0)*0.475*44/12</f>
        <v>0</v>
      </c>
      <c r="HJ82" s="22">
        <f t="shared" si="84"/>
        <v>46.890976734641633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320</v>
      </c>
      <c r="L83" s="12">
        <f>VLOOKUP(A83,'Données projet'!$A$35:$I$55,9,0)</f>
        <v>7.2</v>
      </c>
      <c r="M83" s="12">
        <f t="array" ref="M83">INDEX(L:L,MIN(IF(ISNUMBER(L83:L279),ROW(L83:L279),"")))</f>
        <v>7.2</v>
      </c>
      <c r="N83" s="13">
        <f>IF('Données projet'!$A$36&gt;35,N82+M83-V82,IF(A83&lt;'Données projet'!$A$36,$K$205^A83,IF(A83='Données projet'!$A$36,'Données projet'!$B$36,N82+M83-V82)))</f>
        <v>320</v>
      </c>
      <c r="O83" s="13">
        <f>N83*VLOOKUP('Données projet'!$B$9,Paramètres!$A$1:$I$89,3,0)*VLOOKUP('Données projet'!$B$9,Paramètres!$A$1:$I$89,5,0)</f>
        <v>289.536</v>
      </c>
      <c r="P83" s="13">
        <f t="shared" si="87"/>
        <v>68.97829509904436</v>
      </c>
      <c r="Q83" s="20">
        <f t="shared" si="54"/>
        <v>624.41239729750225</v>
      </c>
      <c r="R83" s="59">
        <f t="shared" si="55"/>
        <v>917.74573063083562</v>
      </c>
      <c r="S83" s="59">
        <f ca="1">AVERAGE(OFFSET($R$3,0,0,'Données projet'!$E$9+1,1))-AVERAGE(OFFSET($H$3,0,0,'Données projet'!$E$9+1,1))</f>
        <v>439.19854273764042</v>
      </c>
      <c r="T83" s="59">
        <f t="shared" si="88"/>
        <v>278.21741231699929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28</v>
      </c>
      <c r="W83" s="16">
        <f>IF(ISNA(VLOOKUP(A83,'Données projet'!$A$35:$I$55,5,0)),0%,VLOOKUP(A83,'Données projet'!$A$35:$I$55,5,0)*VLOOKUP('Données projet'!$B$9,Paramètres!$A$1:$I$89,7,0))</f>
        <v>0.43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80.28414071635595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80.28414071635595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320</v>
      </c>
      <c r="AG83" s="12">
        <f>VLOOKUP(A83,'Données projet'!$A$61:$I$81,9,0)</f>
        <v>7.2</v>
      </c>
      <c r="AH83" s="12">
        <f t="array" ref="AH83">INDEX(AG:AG,MIN(IF(ISNUMBER(AG83:AG279),ROW(AG83:AG279),"")))</f>
        <v>7.2</v>
      </c>
      <c r="AI83" s="13">
        <f>IF('Données projet'!$A$62&gt;35,AI82+AH83-AQ82,IF(A83&lt;'Données projet'!$A$62,$AF$205^A83,IF(A83='Données projet'!$A$62,'Données projet'!$B$62,AI82+AH83-AQ82)))</f>
        <v>320</v>
      </c>
      <c r="AJ83" s="13">
        <f>AI83*VLOOKUP('Données projet'!$B$10,Paramètres!$A$1:$I$89,3,0)*VLOOKUP('Données projet'!$B$10,Paramètres!$A$1:$I$89,5,0)</f>
        <v>324.48</v>
      </c>
      <c r="AK83" s="13">
        <f t="shared" si="89"/>
        <v>76.284749200165578</v>
      </c>
      <c r="AL83" s="20">
        <f t="shared" si="58"/>
        <v>697.99860485695501</v>
      </c>
      <c r="AM83" s="59">
        <f t="shared" si="59"/>
        <v>991.33193819028838</v>
      </c>
      <c r="AN83" s="59">
        <f ca="1">AVERAGE(OFFSET($AM$3,0,0,'Données projet'!$E$10+1,1))-AVERAGE(OFFSET($H$3,0,0,'Données projet'!$E$10+1,1))</f>
        <v>487.18832528146936</v>
      </c>
      <c r="AO83" s="59">
        <f t="shared" si="90"/>
        <v>306.61893266146666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28</v>
      </c>
      <c r="AR83" s="16">
        <f>IF(ISNA(VLOOKUP(A83,'Données projet'!$A$61:$I$81,5,0)),0%,VLOOKUP(A83,'Données projet'!$A$61:$I$81,5,0)*VLOOKUP('Données projet'!$B$10,Paramètres!$A$1:$I$89,7,0))</f>
        <v>0.43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89.973605975226477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89.973605975226477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369.00000000000023</v>
      </c>
      <c r="BE83" s="13">
        <f>BD83*VLOOKUP('Données projet'!$B$11,Paramètres!$A$1:$I$89,3,0)*VLOOKUP('Données projet'!$B$11,Paramètres!$A$1:$I$89,5,0)</f>
        <v>333.87120000000021</v>
      </c>
      <c r="BF83" s="13">
        <f t="shared" si="91"/>
        <v>78.23236011137638</v>
      </c>
      <c r="BG83" s="20">
        <f t="shared" si="61"/>
        <v>717.74703386064755</v>
      </c>
      <c r="BH83" s="59">
        <f t="shared" si="62"/>
        <v>1011.0803671939809</v>
      </c>
      <c r="BI83" s="59">
        <f ca="1">AVERAGE(OFFSET($BH$3,0,0,'Données projet'!$E$11+1,1))-AVERAGE(OFFSET($H$3,0,0,'Données projet'!$E$11+1,1))</f>
        <v>436.23918637269577</v>
      </c>
      <c r="BJ83" s="59">
        <f t="shared" si="92"/>
        <v>611.43967996341894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3.9271817557718971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3.9271817557718971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224.00000000000006</v>
      </c>
      <c r="BZ83" s="13">
        <f>BY83*VLOOKUP('Données projet'!$B$12,Paramètres!$A$1:$I$89,3,0)*VLOOKUP('Données projet'!$B$12,Paramètres!$A$1:$I$89,5,0)</f>
        <v>195.68640000000008</v>
      </c>
      <c r="CA83" s="13">
        <f t="shared" si="93"/>
        <v>48.794969360985156</v>
      </c>
      <c r="CB83" s="20">
        <f t="shared" si="64"/>
        <v>425.8050516370493</v>
      </c>
      <c r="CC83" s="59">
        <f t="shared" si="65"/>
        <v>719.13838497038262</v>
      </c>
      <c r="CD83" s="59">
        <f ca="1">AVERAGE(OFFSET($CC$3,0,0,'Données projet'!$E$12+1,1))-AVERAGE(OFFSET($H$3,0,0,'Données projet'!$E$12+1,1))</f>
        <v>304.32767345253382</v>
      </c>
      <c r="CE83" s="59">
        <f t="shared" si="94"/>
        <v>427.16091343339173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42.40958591082471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42.40958591082471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739.99999999999966</v>
      </c>
      <c r="CU83" s="17">
        <f>CT83*VLOOKUP('Données projet'!$B$13,Paramètres!$A$1:$I$89,3,0)*VLOOKUP('Données projet'!$B$13,Paramètres!$A$1:$I$89,5,0)</f>
        <v>413.65999999999985</v>
      </c>
      <c r="CV83" s="13">
        <f t="shared" si="95"/>
        <v>94.540585122244352</v>
      </c>
      <c r="CW83" s="20">
        <f t="shared" si="67"/>
        <v>885.11601908790863</v>
      </c>
      <c r="CX83" s="59">
        <f t="shared" si="68"/>
        <v>1178.4493524212419</v>
      </c>
      <c r="CY83" s="59">
        <f ca="1">AVERAGE(OFFSET($CX$3,0,0,'Données projet'!$E$13+1,1))-AVERAGE(OFFSET($H$3,0,0,'Données projet'!$E$13+1,1))</f>
        <v>555.15881087162279</v>
      </c>
      <c r="CZ83" s="59">
        <f t="shared" si="96"/>
        <v>668.20427590250733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83.106702722458635</v>
      </c>
      <c r="DG83" s="21">
        <f>EXP(-LN(2)/25)*DG82+(1-EXP(-LN(2)/25))/(LN(2)/25)*Calculateur!DB83*Calculateur!DD83*VLOOKUP('Données projet'!$B$13,Paramètres!$A$1:$I$89,3,0)*0.475*44/12</f>
        <v>14.445413494877721</v>
      </c>
      <c r="DH83" s="21">
        <f>EXP(-LN(2)/2)*DH82+(1-EXP(-LN(2)/2))/(LN(2)/2)*DB83*DE83*VLOOKUP('Données projet'!$B$13,Paramètres!$A$1:$I$89,3,0)*0.475*44/12</f>
        <v>2.5346379480924164E-8</v>
      </c>
      <c r="DI83" s="22">
        <f t="shared" si="69"/>
        <v>97.552116242682743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964</v>
      </c>
      <c r="DM83" s="12">
        <f>VLOOKUP(A83,'Données projet'!$A$165:$I$185,9,0)</f>
        <v>17.8</v>
      </c>
      <c r="DN83" s="12">
        <f t="array" ref="DN83">INDEX(DM:DM,MIN(IF(ISNUMBER(DM83:DM279),ROW(DM83:DM279),"")))</f>
        <v>17.8</v>
      </c>
      <c r="DO83" s="12">
        <f>IF('Données projet'!$A$166&gt;35,DO82+DN83-DW82,IF(A83&lt;'Données projet'!$A$166,$DL$205^A83,IF(A83='Données projet'!$A$166,'Données projet'!$B$166,DO82+DN83-DW82)))</f>
        <v>963.99999999999898</v>
      </c>
      <c r="DP83" s="17">
        <f>DO83*VLOOKUP('Données projet'!$B$14,Paramètres!$A$1:$I$89,3,0)*VLOOKUP('Données projet'!$B$14,Paramètres!$A$1:$I$89,5,0)</f>
        <v>451.15199999999953</v>
      </c>
      <c r="DQ83" s="13">
        <f t="shared" si="97"/>
        <v>102.07320885224924</v>
      </c>
      <c r="DR83" s="20">
        <f t="shared" si="70"/>
        <v>963.53390541766657</v>
      </c>
      <c r="DS83" s="59">
        <f t="shared" si="71"/>
        <v>1256.8672387509998</v>
      </c>
      <c r="DT83" s="59">
        <f ca="1">AVERAGE(OFFSET($DS$3,0,0,'Données projet'!$E$14+1,1))-AVERAGE(OFFSET($H$3,0,0,'Données projet'!$E$14+1,1))</f>
        <v>523.79180230463714</v>
      </c>
      <c r="DU83" s="59">
        <f t="shared" si="98"/>
        <v>459.3547783500515</v>
      </c>
      <c r="DV83" s="15">
        <f>IF(ISNA(VLOOKUP(A83,'Données projet'!$A$165:$I$185,3,0)),0,VLOOKUP(A83,'Données projet'!$A$165:$I$185,3,0))</f>
        <v>13</v>
      </c>
      <c r="DW83" s="15">
        <f>IF(ISNA(VLOOKUP(A83,'Données projet'!$A$165:$I$185,4,0)),0,VLOOKUP(A83,'Données projet'!$A$165:$I$185,4,0))</f>
        <v>52</v>
      </c>
      <c r="DX83" s="16">
        <f>IF(ISNA(VLOOKUP(A83,'Données projet'!$A$165:$I$185,5,0)),0%,VLOOKUP(A83,'Données projet'!$A$165:$I$185,5,0)*VLOOKUP('Données projet'!$B$14,Paramètres!$A$1:$I$89,7,0))</f>
        <v>0.55000000000000004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148.62560111311254</v>
      </c>
      <c r="EB83" s="21">
        <f>EXP(-LN(2)/25)*EB82+(1-EXP(-LN(2)/25))/(LN(2)/25)*Calculateur!DW83*Calculateur!DY83*VLOOKUP('Données projet'!$B$14,Paramètres!$A$1:$I$89,3,0)*0.475*44/12</f>
        <v>13.360179336536094</v>
      </c>
      <c r="EC83" s="21">
        <f>EXP(-LN(2)/2)*EC82+(1-EXP(-LN(2)/2))/(LN(2)/2)*DW83*DZ83*VLOOKUP('Données projet'!$B$14,Paramètres!$A$1:$I$89,3,0)*0.475*44/12</f>
        <v>3.5531539001922856E-8</v>
      </c>
      <c r="ED83" s="22">
        <f t="shared" si="72"/>
        <v>161.98578048518019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381</v>
      </c>
      <c r="EH83" s="12">
        <f>VLOOKUP(A83,'Données projet'!$A$191:$I$211,9,0)</f>
        <v>4</v>
      </c>
      <c r="EI83" s="12">
        <f t="array" ref="EI83">INDEX(EH:EH,MIN(IF(ISNUMBER(EH83:EH279),ROW(EH83:EH279),"")))</f>
        <v>4</v>
      </c>
      <c r="EJ83" s="12">
        <f>IF('Données projet'!$A$192&gt;35,EJ82+EI83-ER82,IF(A83&lt;'Données projet'!$A$192,$EG$205^A83,IF(A83='Données projet'!$A$192,'Données projet'!$B$192,EJ82+EI83-ER82)))</f>
        <v>380.99999999999972</v>
      </c>
      <c r="EK83" s="17">
        <f>EJ83*VLOOKUP('Données projet'!$B$15,Paramètres!$A$1:$I$89,3,0)*VLOOKUP('Données projet'!$B$15,Paramètres!$A$1:$I$89,5,0)</f>
        <v>368.50319999999977</v>
      </c>
      <c r="EL83" s="13">
        <f t="shared" si="99"/>
        <v>85.361013982254164</v>
      </c>
      <c r="EM83" s="20">
        <f t="shared" si="73"/>
        <v>790.48017268575893</v>
      </c>
      <c r="EN83" s="59">
        <f t="shared" si="74"/>
        <v>1083.8135060190923</v>
      </c>
      <c r="EO83" s="59">
        <f ca="1">AVERAGE(OFFSET($EN$3,0,0,'Données projet'!$E$15+1,1))-AVERAGE(OFFSET($H$3,0,0,'Données projet'!$E$15+1,1))</f>
        <v>484.41278617935654</v>
      </c>
      <c r="EP83" s="59">
        <f t="shared" si="100"/>
        <v>467.97490540700738</v>
      </c>
      <c r="EQ83" s="15">
        <f>IF(ISNA(VLOOKUP(A83,'Données projet'!$A$191:$I$211,3,0)),0,VLOOKUP(A83,'Données projet'!$A$191:$I$211,3,0))</f>
        <v>15</v>
      </c>
      <c r="ER83" s="15">
        <f>IF(ISNA(VLOOKUP(A83,'Données projet'!$A$191:$I$211,4,0)),0,VLOOKUP(A83,'Données projet'!$A$191:$I$211,4,0))</f>
        <v>13</v>
      </c>
      <c r="ES83" s="16">
        <f>IF(ISNA(VLOOKUP(A83,'Données projet'!$A$191:$I$211,5,0)),0%,VLOOKUP(A83,'Données projet'!$A$191:$I$211,5,0)*VLOOKUP('Données projet'!$B$15,Paramètres!$A$1:$I$89,7,0))</f>
        <v>0.43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60.789030436867137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60.789030436867137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381</v>
      </c>
      <c r="FC83" s="12">
        <f>VLOOKUP(A83,'Données projet'!$A$217:$I$237,9,0)</f>
        <v>4</v>
      </c>
      <c r="FD83" s="12">
        <f t="array" ref="FD83">INDEX(FC:FC,MIN(IF(ISNUMBER(FC83:FC279),ROW(FC83:FC279),"")))</f>
        <v>4</v>
      </c>
      <c r="FE83" s="12">
        <f>IF('Données projet'!$A$218&gt;35,FE82+FD83-FM82,IF(A83&lt;'Données projet'!$A$218,$FB$205^A83,IF(A83='Données projet'!$A$218,'Données projet'!$B$218,FE82+FD83-FM82)))</f>
        <v>380.99999999999972</v>
      </c>
      <c r="FF83" s="17">
        <f>FE83*VLOOKUP('Données projet'!$B$16,Paramètres!$A$1:$I$89,3,0)*VLOOKUP('Données projet'!$B$16,Paramètres!$A$1:$I$89,5,0)</f>
        <v>410.10839999999962</v>
      </c>
      <c r="FG83" s="13">
        <f t="shared" si="101"/>
        <v>93.823002077057879</v>
      </c>
      <c r="FH83" s="20">
        <f t="shared" si="76"/>
        <v>877.68052528420856</v>
      </c>
      <c r="FI83" s="59">
        <f t="shared" si="77"/>
        <v>1171.0138586175419</v>
      </c>
      <c r="FJ83" s="59">
        <f ca="1">AVERAGE(OFFSET($FI$3,0,0,'Données projet'!$E$16+1,1))-AVERAGE(OFFSET($H$3,0,0,'Données projet'!$E$16+1,1))</f>
        <v>534.54020133239135</v>
      </c>
      <c r="FK83" s="59">
        <f t="shared" si="102"/>
        <v>515.48696069008815</v>
      </c>
      <c r="FL83" s="15">
        <f>IF(ISNA(VLOOKUP(A83,'Données projet'!$A$217:$I$237,3,0)),0,VLOOKUP(A83,'Données projet'!$A$217:$I$237,3,0))</f>
        <v>15</v>
      </c>
      <c r="FM83" s="15">
        <f>IF(ISNA(VLOOKUP(A83,'Données projet'!$A$217:$I$237,4,0)),0,VLOOKUP(A83,'Données projet'!$A$217:$I$237,4,0))</f>
        <v>13</v>
      </c>
      <c r="FN83" s="16">
        <f>IF(ISNA(VLOOKUP(A83,'Données projet'!$A$217:$I$237,5,0)),0%,VLOOKUP(A83,'Données projet'!$A$217:$I$237,5,0)*VLOOKUP('Données projet'!$B$16,Paramètres!$A$1:$I$89,7,0))</f>
        <v>0.43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67.652308066836014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67.652308066836014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268</v>
      </c>
      <c r="FX83" s="12">
        <f>VLOOKUP(A83,'Données projet'!$A$243:$I$263,9,0)</f>
        <v>5.6</v>
      </c>
      <c r="FY83" s="12">
        <f t="array" ref="FY83">INDEX(FX:FX,MIN(IF(ISNUMBER(FX83:FX279),ROW(FX83:FX279),"")))</f>
        <v>5.6</v>
      </c>
      <c r="FZ83" s="12">
        <f>IF('Données projet'!$A$244&gt;35,FZ82+FY83-GH82,IF(A83&lt;'Données projet'!$A$244,$FW$205^A83,IF(A83='Données projet'!$A$244,'Données projet'!$B$244,FZ82+FY83-GH82)))</f>
        <v>268</v>
      </c>
      <c r="GA83" s="17">
        <f>FZ83*VLOOKUP('Données projet'!$B$17,Paramètres!$A$1:$I$89,3,0)*VLOOKUP('Données projet'!$B$17,Paramètres!$A$1:$I$89,5,0)</f>
        <v>255.02879999999999</v>
      </c>
      <c r="GB83" s="13">
        <f t="shared" si="103"/>
        <v>61.661531359449384</v>
      </c>
      <c r="GC83" s="20">
        <f t="shared" si="79"/>
        <v>551.56899378437436</v>
      </c>
      <c r="GD83" s="59">
        <f t="shared" si="80"/>
        <v>844.90232711770773</v>
      </c>
      <c r="GE83" s="59">
        <f ca="1">AVERAGE(OFFSET($GD$3,0,0,'Données projet'!$E$17+1,1))-AVERAGE(OFFSET($H$3,0,0,'Données projet'!$E$17+1,1))</f>
        <v>455.71329051283936</v>
      </c>
      <c r="GF83" s="59">
        <f t="shared" si="104"/>
        <v>479.3743231122258</v>
      </c>
      <c r="GG83" s="15">
        <f>IF(ISNA(VLOOKUP(A83,'Données projet'!$A$243:$I$263,3,0)),0,VLOOKUP(A83,'Données projet'!$A$243:$I$263,3,0))</f>
        <v>15</v>
      </c>
      <c r="GH83" s="15">
        <f>IF(ISNA(VLOOKUP(A83,'Données projet'!$A$243:$I$263,4,0)),0,VLOOKUP(A83,'Données projet'!$A$243:$I$263,4,0))</f>
        <v>26</v>
      </c>
      <c r="GI83" s="16">
        <f>IF(ISNA(VLOOKUP(A83,'Données projet'!$A$243:$I$263,5,0)),0%,VLOOKUP(A83,'Données projet'!$A$243:$I$263,5,0)*VLOOKUP('Données projet'!$B$17,Paramètres!$A$1:$I$89,7,0))</f>
        <v>0.43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87.031982846334841</v>
      </c>
      <c r="GM83" s="21">
        <f>EXP(-LN(2)/25)*GM82+(1-EXP(-LN(2)/25))/(LN(2)/25)*Calculateur!GH83*Calculateur!GJ83*VLOOKUP('Données projet'!$B$17,Paramètres!$A$1:$I$89,3,0)*0.475*44/12</f>
        <v>0</v>
      </c>
      <c r="GN83" s="21">
        <f>EXP(-LN(2)/2)*GN82+(1-EXP(-LN(2)/2))/(LN(2)/2)*GH83*GK83*VLOOKUP('Données projet'!$B$17,Paramètres!$A$1:$I$89,3,0)*0.475*44/12</f>
        <v>0</v>
      </c>
      <c r="GO83" s="21">
        <f t="shared" si="81"/>
        <v>87.031982846334841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>
        <f>VLOOKUP(A83,'Données projet'!$A$269:$I$289,2,0)</f>
        <v>381</v>
      </c>
      <c r="GS83" s="12">
        <f>VLOOKUP(A83,'Données projet'!$A$269:$I$289,9,0)</f>
        <v>4</v>
      </c>
      <c r="GT83" s="12">
        <f t="array" ref="GT83">INDEX(GS:GS,MIN(IF(ISNUMBER(GS83:GS279),ROW(GS83:GS279),"")))</f>
        <v>4</v>
      </c>
      <c r="GU83" s="12">
        <f>IF('Données projet'!$A$270&gt;35,GU82+GT83-HC82,IF(A83&lt;'Données projet'!$A$270,$GR$205^A83,IF(A83='Données projet'!$A$270,'Données projet'!$B$270,GU82+GT83-HC82)))</f>
        <v>380.99999999999972</v>
      </c>
      <c r="GV83" s="17">
        <f>GU83*VLOOKUP('Données projet'!$B$18,Paramètres!$A$1:$I$89,3,0)*VLOOKUP('Données projet'!$B$18,Paramètres!$A$1:$I$89,5,0)</f>
        <v>309.06719999999979</v>
      </c>
      <c r="GW83" s="13">
        <f t="shared" si="105"/>
        <v>73.073990251564354</v>
      </c>
      <c r="GX83" s="20">
        <f t="shared" si="82"/>
        <v>665.56257302147412</v>
      </c>
      <c r="GY83" s="59">
        <f t="shared" si="83"/>
        <v>958.89590635480749</v>
      </c>
      <c r="GZ83" s="59">
        <f ca="1">AVERAGE(OFFSET($GY$3,0,0,'Données projet'!$E$18+1,1))-AVERAGE(OFFSET($H$3,0,0,'Données projet'!$E$18+1,1))</f>
        <v>412.59676769258488</v>
      </c>
      <c r="HA83" s="59">
        <f t="shared" si="106"/>
        <v>399.90063795152133</v>
      </c>
      <c r="HB83" s="15">
        <f>IF(ISNA(VLOOKUP(A83,'Données projet'!$A$269:$I$289,3,0)),0,VLOOKUP(A83,'Données projet'!$A$269:$I$289,3,0))</f>
        <v>15</v>
      </c>
      <c r="HC83" s="15">
        <f>IF(ISNA(VLOOKUP(A83,'Données projet'!$A$269:$I$289,4,0)),0,VLOOKUP(A83,'Données projet'!$A$269:$I$289,4,0))</f>
        <v>13</v>
      </c>
      <c r="HD83" s="16">
        <f>IF(ISNA(VLOOKUP(A83,'Données projet'!$A$269:$I$289,5,0)),0%,VLOOKUP(A83,'Données projet'!$A$269:$I$289,5,0)*VLOOKUP('Données projet'!$B$18,Paramètres!$A$1:$I$89,7,0))</f>
        <v>0.43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50.984348108340185</v>
      </c>
      <c r="HH83" s="21">
        <f>EXP(-LN(2)/25)*HH82+(1-EXP(-LN(2)/25))/(LN(2)/25)*Calculateur!HC83*Calculateur!HE83*VLOOKUP('Données projet'!$B$18,Paramètres!$A$1:$I$89,3,0)*0.475*44/12</f>
        <v>0</v>
      </c>
      <c r="HI83" s="21">
        <f>EXP(-LN(2)/2)*HI82+(1-EXP(-LN(2)/2))/(LN(2)/2)*HC83*HF83*VLOOKUP('Données projet'!$B$18,Paramètres!$A$1:$I$89,3,0)*0.475*44/12</f>
        <v>0</v>
      </c>
      <c r="HJ83" s="22">
        <f t="shared" si="84"/>
        <v>50.984348108340185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6.8</v>
      </c>
      <c r="N84" s="13">
        <f>IF('Données projet'!$A$36&gt;35,N83+M84-V83,IF(A84&lt;'Données projet'!$A$36,$K$205^A84,IF(A84='Données projet'!$A$36,'Données projet'!$B$36,N83+M84-V83)))</f>
        <v>298.8</v>
      </c>
      <c r="O84" s="13">
        <f>N84*VLOOKUP('Données projet'!$B$9,Paramètres!$A$1:$I$89,3,0)*VLOOKUP('Données projet'!$B$9,Paramètres!$A$1:$I$89,5,0)</f>
        <v>270.35424</v>
      </c>
      <c r="P84" s="13">
        <f t="shared" si="87"/>
        <v>64.924442218534367</v>
      </c>
      <c r="Q84" s="20">
        <f t="shared" si="54"/>
        <v>583.94370486394735</v>
      </c>
      <c r="R84" s="59">
        <f t="shared" si="55"/>
        <v>877.27703819728072</v>
      </c>
      <c r="S84" s="59">
        <f ca="1">AVERAGE(OFFSET($R$3,0,0,'Données projet'!$E$9+1,1))-AVERAGE(OFFSET($H$3,0,0,'Données projet'!$E$9+1,1))</f>
        <v>439.19854273764042</v>
      </c>
      <c r="T84" s="59">
        <f t="shared" si="88"/>
        <v>278.21741231699929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78.709817685398804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78.709817685398804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6.8</v>
      </c>
      <c r="AI84" s="13">
        <f>IF('Données projet'!$A$62&gt;35,AI83+AH84-AQ83,IF(A84&lt;'Données projet'!$A$62,$AF$205^A84,IF(A84='Données projet'!$A$62,'Données projet'!$B$62,AI83+AH84-AQ83)))</f>
        <v>298.8</v>
      </c>
      <c r="AJ84" s="13">
        <f>AI84*VLOOKUP('Données projet'!$B$10,Paramètres!$A$1:$I$89,3,0)*VLOOKUP('Données projet'!$B$10,Paramètres!$A$1:$I$89,5,0)</f>
        <v>302.98320000000007</v>
      </c>
      <c r="AK84" s="13">
        <f t="shared" si="89"/>
        <v>71.801496173397709</v>
      </c>
      <c r="AL84" s="20">
        <f t="shared" si="58"/>
        <v>652.75001250200114</v>
      </c>
      <c r="AM84" s="59">
        <f t="shared" si="59"/>
        <v>946.08334583533451</v>
      </c>
      <c r="AN84" s="59">
        <f ca="1">AVERAGE(OFFSET($AM$3,0,0,'Données projet'!$E$10+1,1))-AVERAGE(OFFSET($H$3,0,0,'Données projet'!$E$10+1,1))</f>
        <v>487.18832528146936</v>
      </c>
      <c r="AO84" s="59">
        <f t="shared" si="90"/>
        <v>306.61893266146666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88.209278440533126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88.209278440533126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369.00000000000023</v>
      </c>
      <c r="BE84" s="13">
        <f>BD84*VLOOKUP('Données projet'!$B$11,Paramètres!$A$1:$I$89,3,0)*VLOOKUP('Données projet'!$B$11,Paramètres!$A$1:$I$89,5,0)</f>
        <v>333.87120000000021</v>
      </c>
      <c r="BF84" s="13">
        <f t="shared" si="91"/>
        <v>78.23236011137638</v>
      </c>
      <c r="BG84" s="20">
        <f t="shared" si="61"/>
        <v>717.74703386064755</v>
      </c>
      <c r="BH84" s="59">
        <f t="shared" si="62"/>
        <v>1011.0803671939809</v>
      </c>
      <c r="BI84" s="59">
        <f ca="1">AVERAGE(OFFSET($BH$3,0,0,'Données projet'!$E$11+1,1))-AVERAGE(OFFSET($H$3,0,0,'Données projet'!$E$11+1,1))</f>
        <v>436.23918637269577</v>
      </c>
      <c r="BJ84" s="59">
        <f t="shared" si="92"/>
        <v>611.43967996341894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3.8501721168855605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3.8501721168855605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224.00000000000006</v>
      </c>
      <c r="BZ84" s="13">
        <f>BY84*VLOOKUP('Données projet'!$B$12,Paramètres!$A$1:$I$89,3,0)*VLOOKUP('Données projet'!$B$12,Paramètres!$A$1:$I$89,5,0)</f>
        <v>195.68640000000008</v>
      </c>
      <c r="CA84" s="13">
        <f t="shared" si="93"/>
        <v>48.794969360985156</v>
      </c>
      <c r="CB84" s="20">
        <f t="shared" si="64"/>
        <v>425.8050516370493</v>
      </c>
      <c r="CC84" s="59">
        <f t="shared" si="65"/>
        <v>719.13838497038262</v>
      </c>
      <c r="CD84" s="59">
        <f ca="1">AVERAGE(OFFSET($CC$3,0,0,'Données projet'!$E$12+1,1))-AVERAGE(OFFSET($H$3,0,0,'Données projet'!$E$12+1,1))</f>
        <v>304.32767345253382</v>
      </c>
      <c r="CE84" s="59">
        <f t="shared" si="94"/>
        <v>427.16091343339173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41.57795979840666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41.57795979840666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739.99999999999966</v>
      </c>
      <c r="CU84" s="17">
        <f>CT84*VLOOKUP('Données projet'!$B$13,Paramètres!$A$1:$I$89,3,0)*VLOOKUP('Données projet'!$B$13,Paramètres!$A$1:$I$89,5,0)</f>
        <v>413.65999999999985</v>
      </c>
      <c r="CV84" s="13">
        <f t="shared" si="95"/>
        <v>94.540585122244352</v>
      </c>
      <c r="CW84" s="20">
        <f t="shared" si="67"/>
        <v>885.11601908790863</v>
      </c>
      <c r="CX84" s="59">
        <f t="shared" si="68"/>
        <v>1178.4493524212419</v>
      </c>
      <c r="CY84" s="59">
        <f ca="1">AVERAGE(OFFSET($CX$3,0,0,'Données projet'!$E$13+1,1))-AVERAGE(OFFSET($H$3,0,0,'Données projet'!$E$13+1,1))</f>
        <v>555.15881087162279</v>
      </c>
      <c r="CZ84" s="59">
        <f t="shared" si="96"/>
        <v>668.20427590250733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81.477030972154651</v>
      </c>
      <c r="DG84" s="21">
        <f>EXP(-LN(2)/25)*DG83+(1-EXP(-LN(2)/25))/(LN(2)/25)*Calculateur!DB84*Calculateur!DD84*VLOOKUP('Données projet'!$B$13,Paramètres!$A$1:$I$89,3,0)*0.475*44/12</f>
        <v>14.05040290320901</v>
      </c>
      <c r="DH84" s="21">
        <f>EXP(-LN(2)/2)*DH83+(1-EXP(-LN(2)/2))/(LN(2)/2)*DB84*DE84*VLOOKUP('Données projet'!$B$13,Paramètres!$A$1:$I$89,3,0)*0.475*44/12</f>
        <v>1.792259680948904E-8</v>
      </c>
      <c r="DI84" s="22">
        <f t="shared" si="69"/>
        <v>95.527433893286258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911.99999999999898</v>
      </c>
      <c r="DP84" s="17">
        <f>DO84*VLOOKUP('Données projet'!$B$14,Paramètres!$A$1:$I$89,3,0)*VLOOKUP('Données projet'!$B$14,Paramètres!$A$1:$I$89,5,0)</f>
        <v>426.81599999999946</v>
      </c>
      <c r="DQ84" s="13">
        <f t="shared" si="97"/>
        <v>97.192496986872399</v>
      </c>
      <c r="DR84" s="20">
        <f t="shared" si="70"/>
        <v>912.64813225213504</v>
      </c>
      <c r="DS84" s="59">
        <f t="shared" si="71"/>
        <v>1205.9814655854684</v>
      </c>
      <c r="DT84" s="59">
        <f ca="1">AVERAGE(OFFSET($DS$3,0,0,'Données projet'!$E$14+1,1))-AVERAGE(OFFSET($H$3,0,0,'Données projet'!$E$14+1,1))</f>
        <v>523.79180230463714</v>
      </c>
      <c r="DU84" s="59">
        <f t="shared" si="98"/>
        <v>459.3547783500515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145.71114372794986</v>
      </c>
      <c r="EB84" s="21">
        <f>EXP(-LN(2)/25)*EB83+(1-EXP(-LN(2)/25))/(LN(2)/25)*Calculateur!DW84*Calculateur!DY84*VLOOKUP('Données projet'!$B$14,Paramètres!$A$1:$I$89,3,0)*0.475*44/12</f>
        <v>12.994844529997218</v>
      </c>
      <c r="EC84" s="21">
        <f>EXP(-LN(2)/2)*EC83+(1-EXP(-LN(2)/2))/(LN(2)/2)*DW84*DZ84*VLOOKUP('Données projet'!$B$14,Paramètres!$A$1:$I$89,3,0)*0.475*44/12</f>
        <v>2.5124592174253945E-8</v>
      </c>
      <c r="ED84" s="22">
        <f t="shared" si="72"/>
        <v>158.70598828307166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367.99999999999972</v>
      </c>
      <c r="EK84" s="17">
        <f>EJ84*VLOOKUP('Données projet'!$B$15,Paramètres!$A$1:$I$89,3,0)*VLOOKUP('Données projet'!$B$15,Paramètres!$A$1:$I$89,5,0)</f>
        <v>355.92959999999977</v>
      </c>
      <c r="EL84" s="13">
        <f t="shared" si="99"/>
        <v>82.782281100458206</v>
      </c>
      <c r="EM84" s="20">
        <f t="shared" si="73"/>
        <v>764.08985958329765</v>
      </c>
      <c r="EN84" s="59">
        <f t="shared" si="74"/>
        <v>1057.423192916631</v>
      </c>
      <c r="EO84" s="59">
        <f ca="1">AVERAGE(OFFSET($EN$3,0,0,'Données projet'!$E$15+1,1))-AVERAGE(OFFSET($H$3,0,0,'Données projet'!$E$15+1,1))</f>
        <v>484.41278617935654</v>
      </c>
      <c r="EP84" s="59">
        <f t="shared" si="100"/>
        <v>467.97490540700738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59.596994627647625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59.596994627647625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367.99999999999972</v>
      </c>
      <c r="FF84" s="17">
        <f>FE84*VLOOKUP('Données projet'!$B$16,Paramètres!$A$1:$I$89,3,0)*VLOOKUP('Données projet'!$B$16,Paramètres!$A$1:$I$89,5,0)</f>
        <v>396.11519999999967</v>
      </c>
      <c r="FG84" s="13">
        <f t="shared" si="101"/>
        <v>90.988634849704994</v>
      </c>
      <c r="FH84" s="20">
        <f t="shared" si="76"/>
        <v>848.37251236323561</v>
      </c>
      <c r="FI84" s="59">
        <f t="shared" si="77"/>
        <v>1141.705845696569</v>
      </c>
      <c r="FJ84" s="59">
        <f ca="1">AVERAGE(OFFSET($FI$3,0,0,'Données projet'!$E$16+1,1))-AVERAGE(OFFSET($H$3,0,0,'Données projet'!$E$16+1,1))</f>
        <v>534.54020133239135</v>
      </c>
      <c r="FK84" s="59">
        <f t="shared" si="102"/>
        <v>515.48696069008815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66.325687569478816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66.325687569478816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5.4</v>
      </c>
      <c r="FZ84" s="12">
        <f>IF('Données projet'!$A$244&gt;35,FZ83+FY84-GH83,IF(A84&lt;'Données projet'!$A$244,$FW$205^A84,IF(A84='Données projet'!$A$244,'Données projet'!$B$244,FZ83+FY84-GH83)))</f>
        <v>247.39999999999998</v>
      </c>
      <c r="GA84" s="17">
        <f>FZ84*VLOOKUP('Données projet'!$B$17,Paramètres!$A$1:$I$89,3,0)*VLOOKUP('Données projet'!$B$17,Paramètres!$A$1:$I$89,5,0)</f>
        <v>235.42583999999999</v>
      </c>
      <c r="GB84" s="13">
        <f t="shared" si="103"/>
        <v>57.454278198558761</v>
      </c>
      <c r="GC84" s="20">
        <f t="shared" si="79"/>
        <v>510.09953919582313</v>
      </c>
      <c r="GD84" s="59">
        <f t="shared" si="80"/>
        <v>803.43287252915638</v>
      </c>
      <c r="GE84" s="59">
        <f ca="1">AVERAGE(OFFSET($GD$3,0,0,'Données projet'!$E$17+1,1))-AVERAGE(OFFSET($H$3,0,0,'Données projet'!$E$17+1,1))</f>
        <v>455.71329051283936</v>
      </c>
      <c r="GF84" s="59">
        <f t="shared" si="104"/>
        <v>479.3743231122258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85.32533874698612</v>
      </c>
      <c r="GM84" s="21">
        <f>EXP(-LN(2)/25)*GM83+(1-EXP(-LN(2)/25))/(LN(2)/25)*Calculateur!GH84*Calculateur!GJ84*VLOOKUP('Données projet'!$B$17,Paramètres!$A$1:$I$89,3,0)*0.475*44/12</f>
        <v>0</v>
      </c>
      <c r="GN84" s="21">
        <f>EXP(-LN(2)/2)*GN83+(1-EXP(-LN(2)/2))/(LN(2)/2)*GH84*GK84*VLOOKUP('Données projet'!$B$17,Paramètres!$A$1:$I$89,3,0)*0.475*44/12</f>
        <v>0</v>
      </c>
      <c r="GO84" s="21">
        <f t="shared" si="81"/>
        <v>85.32533874698612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367.99999999999972</v>
      </c>
      <c r="GV84" s="17">
        <f>GU84*VLOOKUP('Données projet'!$B$18,Paramètres!$A$1:$I$89,3,0)*VLOOKUP('Données projet'!$B$18,Paramètres!$A$1:$I$89,5,0)</f>
        <v>298.52159999999981</v>
      </c>
      <c r="GW84" s="13">
        <f t="shared" si="105"/>
        <v>70.866444995542437</v>
      </c>
      <c r="GX84" s="20">
        <f t="shared" si="82"/>
        <v>643.35084503390271</v>
      </c>
      <c r="GY84" s="59">
        <f t="shared" si="83"/>
        <v>936.68417836723597</v>
      </c>
      <c r="GZ84" s="59">
        <f ca="1">AVERAGE(OFFSET($GY$3,0,0,'Données projet'!$E$18+1,1))-AVERAGE(OFFSET($H$3,0,0,'Données projet'!$E$18+1,1))</f>
        <v>412.59676769258488</v>
      </c>
      <c r="HA84" s="59">
        <f t="shared" si="106"/>
        <v>399.90063795152133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49.984576139317369</v>
      </c>
      <c r="HH84" s="21">
        <f>EXP(-LN(2)/25)*HH83+(1-EXP(-LN(2)/25))/(LN(2)/25)*Calculateur!HC84*Calculateur!HE84*VLOOKUP('Données projet'!$B$18,Paramètres!$A$1:$I$89,3,0)*0.475*44/12</f>
        <v>0</v>
      </c>
      <c r="HI84" s="21">
        <f>EXP(-LN(2)/2)*HI83+(1-EXP(-LN(2)/2))/(LN(2)/2)*HC84*HF84*VLOOKUP('Données projet'!$B$18,Paramètres!$A$1:$I$89,3,0)*0.475*44/12</f>
        <v>0</v>
      </c>
      <c r="HJ84" s="22">
        <f t="shared" si="84"/>
        <v>49.984576139317369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6.8</v>
      </c>
      <c r="N85" s="13">
        <f>IF('Données projet'!$A$36&gt;35,N84+M85-V84,IF(A85&lt;'Données projet'!$A$36,$K$205^A85,IF(A85='Données projet'!$A$36,'Données projet'!$B$36,N84+M85-V84)))</f>
        <v>305.60000000000002</v>
      </c>
      <c r="O85" s="13">
        <f>N85*VLOOKUP('Données projet'!$B$9,Paramètres!$A$1:$I$89,3,0)*VLOOKUP('Données projet'!$B$9,Paramètres!$A$1:$I$89,5,0)</f>
        <v>276.50687999999997</v>
      </c>
      <c r="P85" s="13">
        <f t="shared" si="87"/>
        <v>66.228273722513677</v>
      </c>
      <c r="Q85" s="20">
        <f t="shared" si="54"/>
        <v>596.93039273337797</v>
      </c>
      <c r="R85" s="59">
        <f t="shared" si="55"/>
        <v>890.26372606671134</v>
      </c>
      <c r="S85" s="59">
        <f ca="1">AVERAGE(OFFSET($R$3,0,0,'Données projet'!$E$9+1,1))-AVERAGE(OFFSET($H$3,0,0,'Données projet'!$E$9+1,1))</f>
        <v>439.19854273764042</v>
      </c>
      <c r="T85" s="59">
        <f t="shared" si="88"/>
        <v>278.21741231699929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77.166366168836504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77.166366168836504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6.8</v>
      </c>
      <c r="AI85" s="13">
        <f>IF('Données projet'!$A$62&gt;35,AI84+AH85-AQ84,IF(A85&lt;'Données projet'!$A$62,$AF$205^A85,IF(A85='Données projet'!$A$62,'Données projet'!$B$62,AI84+AH85-AQ84)))</f>
        <v>305.60000000000002</v>
      </c>
      <c r="AJ85" s="13">
        <f>AI85*VLOOKUP('Données projet'!$B$10,Paramètres!$A$1:$I$89,3,0)*VLOOKUP('Données projet'!$B$10,Paramètres!$A$1:$I$89,5,0)</f>
        <v>309.87840000000006</v>
      </c>
      <c r="AK85" s="13">
        <f t="shared" si="89"/>
        <v>73.243434672131556</v>
      </c>
      <c r="AL85" s="20">
        <f t="shared" si="58"/>
        <v>667.27052872062916</v>
      </c>
      <c r="AM85" s="59">
        <f t="shared" si="59"/>
        <v>960.60386205396253</v>
      </c>
      <c r="AN85" s="59">
        <f ca="1">AVERAGE(OFFSET($AM$3,0,0,'Données projet'!$E$10+1,1))-AVERAGE(OFFSET($H$3,0,0,'Données projet'!$E$10+1,1))</f>
        <v>487.18832528146936</v>
      </c>
      <c r="AO85" s="59">
        <f t="shared" si="90"/>
        <v>306.61893266146666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86.479548292661576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86.479548292661576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369.00000000000023</v>
      </c>
      <c r="BE85" s="13">
        <f>BD85*VLOOKUP('Données projet'!$B$11,Paramètres!$A$1:$I$89,3,0)*VLOOKUP('Données projet'!$B$11,Paramètres!$A$1:$I$89,5,0)</f>
        <v>333.87120000000021</v>
      </c>
      <c r="BF85" s="13">
        <f t="shared" si="91"/>
        <v>78.23236011137638</v>
      </c>
      <c r="BG85" s="20">
        <f t="shared" si="61"/>
        <v>717.74703386064755</v>
      </c>
      <c r="BH85" s="59">
        <f t="shared" si="62"/>
        <v>1011.0803671939809</v>
      </c>
      <c r="BI85" s="59">
        <f ca="1">AVERAGE(OFFSET($BH$3,0,0,'Données projet'!$E$11+1,1))-AVERAGE(OFFSET($H$3,0,0,'Données projet'!$E$11+1,1))</f>
        <v>436.23918637269577</v>
      </c>
      <c r="BJ85" s="59">
        <f t="shared" si="92"/>
        <v>611.43967996341894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3.7746725900465434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3.7746725900465434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224.00000000000006</v>
      </c>
      <c r="BZ85" s="13">
        <f>BY85*VLOOKUP('Données projet'!$B$12,Paramètres!$A$1:$I$89,3,0)*VLOOKUP('Données projet'!$B$12,Paramètres!$A$1:$I$89,5,0)</f>
        <v>195.68640000000008</v>
      </c>
      <c r="CA85" s="13">
        <f t="shared" si="93"/>
        <v>48.794969360985156</v>
      </c>
      <c r="CB85" s="20">
        <f t="shared" si="64"/>
        <v>425.8050516370493</v>
      </c>
      <c r="CC85" s="59">
        <f t="shared" si="65"/>
        <v>719.13838497038262</v>
      </c>
      <c r="CD85" s="59">
        <f ca="1">AVERAGE(OFFSET($CC$3,0,0,'Données projet'!$E$12+1,1))-AVERAGE(OFFSET($H$3,0,0,'Données projet'!$E$12+1,1))</f>
        <v>304.32767345253382</v>
      </c>
      <c r="CE85" s="59">
        <f t="shared" si="94"/>
        <v>427.16091343339173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40.762641366811287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40.762641366811287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739.99999999999966</v>
      </c>
      <c r="CU85" s="17">
        <f>CT85*VLOOKUP('Données projet'!$B$13,Paramètres!$A$1:$I$89,3,0)*VLOOKUP('Données projet'!$B$13,Paramètres!$A$1:$I$89,5,0)</f>
        <v>413.65999999999985</v>
      </c>
      <c r="CV85" s="13">
        <f t="shared" si="95"/>
        <v>94.540585122244352</v>
      </c>
      <c r="CW85" s="20">
        <f t="shared" si="67"/>
        <v>885.11601908790863</v>
      </c>
      <c r="CX85" s="59">
        <f t="shared" si="68"/>
        <v>1178.4493524212419</v>
      </c>
      <c r="CY85" s="59">
        <f ca="1">AVERAGE(OFFSET($CX$3,0,0,'Données projet'!$E$13+1,1))-AVERAGE(OFFSET($H$3,0,0,'Données projet'!$E$13+1,1))</f>
        <v>555.15881087162279</v>
      </c>
      <c r="CZ85" s="59">
        <f t="shared" si="96"/>
        <v>668.20427590250733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79.879316090872507</v>
      </c>
      <c r="DG85" s="21">
        <f>EXP(-LN(2)/25)*DG84+(1-EXP(-LN(2)/25))/(LN(2)/25)*Calculateur!DB85*Calculateur!DD85*VLOOKUP('Données projet'!$B$13,Paramètres!$A$1:$I$89,3,0)*0.475*44/12</f>
        <v>13.666193896942183</v>
      </c>
      <c r="DH85" s="21">
        <f>EXP(-LN(2)/2)*DH84+(1-EXP(-LN(2)/2))/(LN(2)/2)*DB85*DE85*VLOOKUP('Données projet'!$B$13,Paramètres!$A$1:$I$89,3,0)*0.475*44/12</f>
        <v>1.2673189740462082E-8</v>
      </c>
      <c r="DI85" s="22">
        <f t="shared" si="69"/>
        <v>93.545510000487866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911.99999999999898</v>
      </c>
      <c r="DP85" s="17">
        <f>DO85*VLOOKUP('Données projet'!$B$14,Paramètres!$A$1:$I$89,3,0)*VLOOKUP('Données projet'!$B$14,Paramètres!$A$1:$I$89,5,0)</f>
        <v>426.81599999999946</v>
      </c>
      <c r="DQ85" s="13">
        <f t="shared" si="97"/>
        <v>97.192496986872399</v>
      </c>
      <c r="DR85" s="20">
        <f t="shared" si="70"/>
        <v>912.64813225213504</v>
      </c>
      <c r="DS85" s="59">
        <f t="shared" si="71"/>
        <v>1205.9814655854684</v>
      </c>
      <c r="DT85" s="59">
        <f ca="1">AVERAGE(OFFSET($DS$3,0,0,'Données projet'!$E$14+1,1))-AVERAGE(OFFSET($H$3,0,0,'Données projet'!$E$14+1,1))</f>
        <v>523.79180230463714</v>
      </c>
      <c r="DU85" s="59">
        <f t="shared" si="98"/>
        <v>459.3547783500515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142.85383707446675</v>
      </c>
      <c r="EB85" s="21">
        <f>EXP(-LN(2)/25)*EB84+(1-EXP(-LN(2)/25))/(LN(2)/25)*Calculateur!DW85*Calculateur!DY85*VLOOKUP('Données projet'!$B$14,Paramètres!$A$1:$I$89,3,0)*0.475*44/12</f>
        <v>12.639499822955271</v>
      </c>
      <c r="EC85" s="21">
        <f>EXP(-LN(2)/2)*EC84+(1-EXP(-LN(2)/2))/(LN(2)/2)*DW85*DZ85*VLOOKUP('Données projet'!$B$14,Paramètres!$A$1:$I$89,3,0)*0.475*44/12</f>
        <v>1.7765769500961428E-8</v>
      </c>
      <c r="ED85" s="22">
        <f t="shared" si="72"/>
        <v>155.49333691518777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367.99999999999972</v>
      </c>
      <c r="EK85" s="17">
        <f>EJ85*VLOOKUP('Données projet'!$B$15,Paramètres!$A$1:$I$89,3,0)*VLOOKUP('Données projet'!$B$15,Paramètres!$A$1:$I$89,5,0)</f>
        <v>355.92959999999977</v>
      </c>
      <c r="EL85" s="13">
        <f t="shared" si="99"/>
        <v>82.782281100458206</v>
      </c>
      <c r="EM85" s="20">
        <f t="shared" si="73"/>
        <v>764.08985958329765</v>
      </c>
      <c r="EN85" s="59">
        <f t="shared" si="74"/>
        <v>1057.423192916631</v>
      </c>
      <c r="EO85" s="59">
        <f ca="1">AVERAGE(OFFSET($EN$3,0,0,'Données projet'!$E$15+1,1))-AVERAGE(OFFSET($H$3,0,0,'Données projet'!$E$15+1,1))</f>
        <v>484.41278617935654</v>
      </c>
      <c r="EP85" s="59">
        <f t="shared" si="100"/>
        <v>467.97490540700738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58.428333913576857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58.428333913576857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367.99999999999972</v>
      </c>
      <c r="FF85" s="17">
        <f>FE85*VLOOKUP('Données projet'!$B$16,Paramètres!$A$1:$I$89,3,0)*VLOOKUP('Données projet'!$B$16,Paramètres!$A$1:$I$89,5,0)</f>
        <v>396.11519999999967</v>
      </c>
      <c r="FG85" s="13">
        <f t="shared" si="101"/>
        <v>90.988634849704994</v>
      </c>
      <c r="FH85" s="20">
        <f t="shared" si="76"/>
        <v>848.37251236323561</v>
      </c>
      <c r="FI85" s="59">
        <f t="shared" si="77"/>
        <v>1141.705845696569</v>
      </c>
      <c r="FJ85" s="59">
        <f ca="1">AVERAGE(OFFSET($FI$3,0,0,'Données projet'!$E$16+1,1))-AVERAGE(OFFSET($H$3,0,0,'Données projet'!$E$16+1,1))</f>
        <v>534.54020133239135</v>
      </c>
      <c r="FK85" s="59">
        <f t="shared" si="102"/>
        <v>515.48696069008815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65.025081290916191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65.025081290916191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5.4</v>
      </c>
      <c r="FZ85" s="12">
        <f>IF('Données projet'!$A$244&gt;35,FZ84+FY85-GH84,IF(A85&lt;'Données projet'!$A$244,$FW$205^A85,IF(A85='Données projet'!$A$244,'Données projet'!$B$244,FZ84+FY85-GH84)))</f>
        <v>252.79999999999998</v>
      </c>
      <c r="GA85" s="17">
        <f>FZ85*VLOOKUP('Données projet'!$B$17,Paramètres!$A$1:$I$89,3,0)*VLOOKUP('Données projet'!$B$17,Paramètres!$A$1:$I$89,5,0)</f>
        <v>240.56448</v>
      </c>
      <c r="GB85" s="13">
        <f t="shared" si="103"/>
        <v>58.560964493612524</v>
      </c>
      <c r="GC85" s="20">
        <f t="shared" si="79"/>
        <v>520.97681582637517</v>
      </c>
      <c r="GD85" s="59">
        <f t="shared" si="80"/>
        <v>814.31014915970854</v>
      </c>
      <c r="GE85" s="59">
        <f ca="1">AVERAGE(OFFSET($GD$3,0,0,'Données projet'!$E$17+1,1))-AVERAGE(OFFSET($H$3,0,0,'Données projet'!$E$17+1,1))</f>
        <v>455.71329051283936</v>
      </c>
      <c r="GF85" s="59">
        <f t="shared" si="104"/>
        <v>479.3743231122258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83.652160897475511</v>
      </c>
      <c r="GM85" s="21">
        <f>EXP(-LN(2)/25)*GM84+(1-EXP(-LN(2)/25))/(LN(2)/25)*Calculateur!GH85*Calculateur!GJ85*VLOOKUP('Données projet'!$B$17,Paramètres!$A$1:$I$89,3,0)*0.475*44/12</f>
        <v>0</v>
      </c>
      <c r="GN85" s="21">
        <f>EXP(-LN(2)/2)*GN84+(1-EXP(-LN(2)/2))/(LN(2)/2)*GH85*GK85*VLOOKUP('Données projet'!$B$17,Paramètres!$A$1:$I$89,3,0)*0.475*44/12</f>
        <v>0</v>
      </c>
      <c r="GO85" s="21">
        <f t="shared" si="81"/>
        <v>83.652160897475511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367.99999999999972</v>
      </c>
      <c r="GV85" s="17">
        <f>GU85*VLOOKUP('Données projet'!$B$18,Paramètres!$A$1:$I$89,3,0)*VLOOKUP('Données projet'!$B$18,Paramètres!$A$1:$I$89,5,0)</f>
        <v>298.52159999999981</v>
      </c>
      <c r="GW85" s="13">
        <f t="shared" si="105"/>
        <v>70.866444995542437</v>
      </c>
      <c r="GX85" s="20">
        <f t="shared" si="82"/>
        <v>643.35084503390271</v>
      </c>
      <c r="GY85" s="59">
        <f t="shared" si="83"/>
        <v>936.68417836723597</v>
      </c>
      <c r="GZ85" s="59">
        <f ca="1">AVERAGE(OFFSET($GY$3,0,0,'Données projet'!$E$18+1,1))-AVERAGE(OFFSET($H$3,0,0,'Données projet'!$E$18+1,1))</f>
        <v>412.59676769258488</v>
      </c>
      <c r="HA85" s="59">
        <f t="shared" si="106"/>
        <v>399.90063795152133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49.004409088806405</v>
      </c>
      <c r="HH85" s="21">
        <f>EXP(-LN(2)/25)*HH84+(1-EXP(-LN(2)/25))/(LN(2)/25)*Calculateur!HC85*Calculateur!HE85*VLOOKUP('Données projet'!$B$18,Paramètres!$A$1:$I$89,3,0)*0.475*44/12</f>
        <v>0</v>
      </c>
      <c r="HI85" s="21">
        <f>EXP(-LN(2)/2)*HI84+(1-EXP(-LN(2)/2))/(LN(2)/2)*HC85*HF85*VLOOKUP('Données projet'!$B$18,Paramètres!$A$1:$I$89,3,0)*0.475*44/12</f>
        <v>0</v>
      </c>
      <c r="HJ85" s="22">
        <f t="shared" si="84"/>
        <v>49.004409088806405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6.8</v>
      </c>
      <c r="N86" s="13">
        <f>IF('Données projet'!$A$36&gt;35,N85+M86-V85,IF(A86&lt;'Données projet'!$A$36,$K$205^A86,IF(A86='Données projet'!$A$36,'Données projet'!$B$36,N85+M86-V85)))</f>
        <v>312.40000000000003</v>
      </c>
      <c r="O86" s="13">
        <f>N86*VLOOKUP('Données projet'!$B$9,Paramètres!$A$1:$I$89,3,0)*VLOOKUP('Données projet'!$B$9,Paramètres!$A$1:$I$89,5,0)</f>
        <v>282.65952000000004</v>
      </c>
      <c r="P86" s="13">
        <f t="shared" si="87"/>
        <v>67.528732309967324</v>
      </c>
      <c r="Q86" s="20">
        <f t="shared" si="54"/>
        <v>609.91120610652649</v>
      </c>
      <c r="R86" s="59">
        <f t="shared" si="55"/>
        <v>903.24453943985986</v>
      </c>
      <c r="S86" s="59">
        <f ca="1">AVERAGE(OFFSET($R$3,0,0,'Données projet'!$E$9+1,1))-AVERAGE(OFFSET($H$3,0,0,'Données projet'!$E$9+1,1))</f>
        <v>439.19854273764042</v>
      </c>
      <c r="T86" s="59">
        <f t="shared" si="88"/>
        <v>278.21741231699929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75.65318079510152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75.65318079510152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6.8</v>
      </c>
      <c r="AI86" s="13">
        <f>IF('Données projet'!$A$62&gt;35,AI85+AH86-AQ85,IF(A86&lt;'Données projet'!$A$62,$AF$205^A86,IF(A86='Données projet'!$A$62,'Données projet'!$B$62,AI85+AH86-AQ85)))</f>
        <v>312.40000000000003</v>
      </c>
      <c r="AJ86" s="13">
        <f>AI86*VLOOKUP('Données projet'!$B$10,Paramètres!$A$1:$I$89,3,0)*VLOOKUP('Données projet'!$B$10,Paramètres!$A$1:$I$89,5,0)</f>
        <v>316.77360000000004</v>
      </c>
      <c r="AK86" s="13">
        <f t="shared" si="89"/>
        <v>74.681642981668006</v>
      </c>
      <c r="AL86" s="20">
        <f t="shared" si="58"/>
        <v>681.78454819307183</v>
      </c>
      <c r="AM86" s="59">
        <f t="shared" si="59"/>
        <v>975.1178815264052</v>
      </c>
      <c r="AN86" s="59">
        <f ca="1">AVERAGE(OFFSET($AM$3,0,0,'Données projet'!$E$10+1,1))-AVERAGE(OFFSET($H$3,0,0,'Données projet'!$E$10+1,1))</f>
        <v>487.18832528146936</v>
      </c>
      <c r="AO86" s="59">
        <f t="shared" si="90"/>
        <v>306.61893266146666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84.783737097958578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84.783737097958578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369.00000000000023</v>
      </c>
      <c r="BE86" s="13">
        <f>BD86*VLOOKUP('Données projet'!$B$11,Paramètres!$A$1:$I$89,3,0)*VLOOKUP('Données projet'!$B$11,Paramètres!$A$1:$I$89,5,0)</f>
        <v>333.87120000000021</v>
      </c>
      <c r="BF86" s="13">
        <f t="shared" si="91"/>
        <v>78.23236011137638</v>
      </c>
      <c r="BG86" s="20">
        <f t="shared" si="61"/>
        <v>717.74703386064755</v>
      </c>
      <c r="BH86" s="59">
        <f t="shared" si="62"/>
        <v>1011.0803671939809</v>
      </c>
      <c r="BI86" s="59">
        <f ca="1">AVERAGE(OFFSET($BH$3,0,0,'Données projet'!$E$11+1,1))-AVERAGE(OFFSET($H$3,0,0,'Données projet'!$E$11+1,1))</f>
        <v>436.23918637269577</v>
      </c>
      <c r="BJ86" s="59">
        <f t="shared" si="92"/>
        <v>611.43967996341894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3.7006535628786752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3.7006535628786752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224.00000000000006</v>
      </c>
      <c r="BZ86" s="13">
        <f>BY86*VLOOKUP('Données projet'!$B$12,Paramètres!$A$1:$I$89,3,0)*VLOOKUP('Données projet'!$B$12,Paramètres!$A$1:$I$89,5,0)</f>
        <v>195.68640000000008</v>
      </c>
      <c r="CA86" s="13">
        <f t="shared" si="93"/>
        <v>48.794969360985156</v>
      </c>
      <c r="CB86" s="20">
        <f t="shared" si="64"/>
        <v>425.8050516370493</v>
      </c>
      <c r="CC86" s="59">
        <f t="shared" si="65"/>
        <v>719.13838497038262</v>
      </c>
      <c r="CD86" s="59">
        <f ca="1">AVERAGE(OFFSET($CC$3,0,0,'Données projet'!$E$12+1,1))-AVERAGE(OFFSET($H$3,0,0,'Données projet'!$E$12+1,1))</f>
        <v>304.32767345253382</v>
      </c>
      <c r="CE86" s="59">
        <f t="shared" si="94"/>
        <v>427.16091343339173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39.963310832364357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39.963310832364357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739.99999999999966</v>
      </c>
      <c r="CU86" s="17">
        <f>CT86*VLOOKUP('Données projet'!$B$13,Paramètres!$A$1:$I$89,3,0)*VLOOKUP('Données projet'!$B$13,Paramètres!$A$1:$I$89,5,0)</f>
        <v>413.65999999999985</v>
      </c>
      <c r="CV86" s="13">
        <f t="shared" si="95"/>
        <v>94.540585122244352</v>
      </c>
      <c r="CW86" s="20">
        <f t="shared" si="67"/>
        <v>885.11601908790863</v>
      </c>
      <c r="CX86" s="59">
        <f t="shared" si="68"/>
        <v>1178.4493524212419</v>
      </c>
      <c r="CY86" s="59">
        <f ca="1">AVERAGE(OFFSET($CX$3,0,0,'Données projet'!$E$13+1,1))-AVERAGE(OFFSET($H$3,0,0,'Données projet'!$E$13+1,1))</f>
        <v>555.15881087162279</v>
      </c>
      <c r="CZ86" s="59">
        <f t="shared" si="96"/>
        <v>668.20427590250733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78.312931423902455</v>
      </c>
      <c r="DG86" s="21">
        <f>EXP(-LN(2)/25)*DG85+(1-EXP(-LN(2)/25))/(LN(2)/25)*Calculateur!DB86*Calculateur!DD86*VLOOKUP('Données projet'!$B$13,Paramètres!$A$1:$I$89,3,0)*0.475*44/12</f>
        <v>13.292491106156396</v>
      </c>
      <c r="DH86" s="21">
        <f>EXP(-LN(2)/2)*DH85+(1-EXP(-LN(2)/2))/(LN(2)/2)*DB86*DE86*VLOOKUP('Données projet'!$B$13,Paramètres!$A$1:$I$89,3,0)*0.475*44/12</f>
        <v>8.9612984047445202E-9</v>
      </c>
      <c r="DI86" s="22">
        <f t="shared" si="69"/>
        <v>91.60542253902014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911.99999999999898</v>
      </c>
      <c r="DP86" s="17">
        <f>DO86*VLOOKUP('Données projet'!$B$14,Paramètres!$A$1:$I$89,3,0)*VLOOKUP('Données projet'!$B$14,Paramètres!$A$1:$I$89,5,0)</f>
        <v>426.81599999999946</v>
      </c>
      <c r="DQ86" s="13">
        <f t="shared" si="97"/>
        <v>97.192496986872399</v>
      </c>
      <c r="DR86" s="20">
        <f t="shared" si="70"/>
        <v>912.64813225213504</v>
      </c>
      <c r="DS86" s="59">
        <f t="shared" si="71"/>
        <v>1205.9814655854684</v>
      </c>
      <c r="DT86" s="59">
        <f ca="1">AVERAGE(OFFSET($DS$3,0,0,'Données projet'!$E$14+1,1))-AVERAGE(OFFSET($H$3,0,0,'Données projet'!$E$14+1,1))</f>
        <v>523.79180230463714</v>
      </c>
      <c r="DU86" s="59">
        <f t="shared" si="98"/>
        <v>459.3547783500515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140.05256046167349</v>
      </c>
      <c r="EB86" s="21">
        <f>EXP(-LN(2)/25)*EB85+(1-EXP(-LN(2)/25))/(LN(2)/25)*Calculateur!DW86*Calculateur!DY86*VLOOKUP('Données projet'!$B$14,Paramètres!$A$1:$I$89,3,0)*0.475*44/12</f>
        <v>12.293872035614152</v>
      </c>
      <c r="EC86" s="21">
        <f>EXP(-LN(2)/2)*EC85+(1-EXP(-LN(2)/2))/(LN(2)/2)*DW86*DZ86*VLOOKUP('Données projet'!$B$14,Paramètres!$A$1:$I$89,3,0)*0.475*44/12</f>
        <v>1.2562296087126972E-8</v>
      </c>
      <c r="ED86" s="22">
        <f t="shared" si="72"/>
        <v>152.34643250984993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367.99999999999972</v>
      </c>
      <c r="EK86" s="17">
        <f>EJ86*VLOOKUP('Données projet'!$B$15,Paramètres!$A$1:$I$89,3,0)*VLOOKUP('Données projet'!$B$15,Paramètres!$A$1:$I$89,5,0)</f>
        <v>355.92959999999977</v>
      </c>
      <c r="EL86" s="13">
        <f t="shared" si="99"/>
        <v>82.782281100458206</v>
      </c>
      <c r="EM86" s="20">
        <f t="shared" si="73"/>
        <v>764.08985958329765</v>
      </c>
      <c r="EN86" s="59">
        <f t="shared" si="74"/>
        <v>1057.423192916631</v>
      </c>
      <c r="EO86" s="59">
        <f ca="1">AVERAGE(OFFSET($EN$3,0,0,'Données projet'!$E$15+1,1))-AVERAGE(OFFSET($H$3,0,0,'Données projet'!$E$15+1,1))</f>
        <v>484.41278617935654</v>
      </c>
      <c r="EP86" s="59">
        <f t="shared" si="100"/>
        <v>467.97490540700738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57.282589923296364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57.282589923296364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367.99999999999972</v>
      </c>
      <c r="FF86" s="17">
        <f>FE86*VLOOKUP('Données projet'!$B$16,Paramètres!$A$1:$I$89,3,0)*VLOOKUP('Données projet'!$B$16,Paramètres!$A$1:$I$89,5,0)</f>
        <v>396.11519999999967</v>
      </c>
      <c r="FG86" s="13">
        <f t="shared" si="101"/>
        <v>90.988634849704994</v>
      </c>
      <c r="FH86" s="20">
        <f t="shared" si="76"/>
        <v>848.37251236323561</v>
      </c>
      <c r="FI86" s="59">
        <f t="shared" si="77"/>
        <v>1141.705845696569</v>
      </c>
      <c r="FJ86" s="59">
        <f ca="1">AVERAGE(OFFSET($FI$3,0,0,'Données projet'!$E$16+1,1))-AVERAGE(OFFSET($H$3,0,0,'Données projet'!$E$16+1,1))</f>
        <v>534.54020133239135</v>
      </c>
      <c r="FK86" s="59">
        <f t="shared" si="102"/>
        <v>515.48696069008815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63.749979108184675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63.749979108184675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5.4</v>
      </c>
      <c r="FZ86" s="12">
        <f>IF('Données projet'!$A$244&gt;35,FZ85+FY86-GH85,IF(A86&lt;'Données projet'!$A$244,$FW$205^A86,IF(A86='Données projet'!$A$244,'Données projet'!$B$244,FZ85+FY86-GH85)))</f>
        <v>258.2</v>
      </c>
      <c r="GA86" s="17">
        <f>FZ86*VLOOKUP('Données projet'!$B$17,Paramètres!$A$1:$I$89,3,0)*VLOOKUP('Données projet'!$B$17,Paramètres!$A$1:$I$89,5,0)</f>
        <v>245.70311999999998</v>
      </c>
      <c r="GB86" s="13">
        <f t="shared" si="103"/>
        <v>59.664902329356607</v>
      </c>
      <c r="GC86" s="20">
        <f t="shared" si="79"/>
        <v>531.84930555696269</v>
      </c>
      <c r="GD86" s="59">
        <f t="shared" si="80"/>
        <v>825.18263889029595</v>
      </c>
      <c r="GE86" s="59">
        <f ca="1">AVERAGE(OFFSET($GD$3,0,0,'Données projet'!$E$17+1,1))-AVERAGE(OFFSET($H$3,0,0,'Données projet'!$E$17+1,1))</f>
        <v>455.71329051283936</v>
      </c>
      <c r="GF86" s="59">
        <f t="shared" si="104"/>
        <v>479.3743231122258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82.011793045056081</v>
      </c>
      <c r="GM86" s="21">
        <f>EXP(-LN(2)/25)*GM85+(1-EXP(-LN(2)/25))/(LN(2)/25)*Calculateur!GH86*Calculateur!GJ86*VLOOKUP('Données projet'!$B$17,Paramètres!$A$1:$I$89,3,0)*0.475*44/12</f>
        <v>0</v>
      </c>
      <c r="GN86" s="21">
        <f>EXP(-LN(2)/2)*GN85+(1-EXP(-LN(2)/2))/(LN(2)/2)*GH86*GK86*VLOOKUP('Données projet'!$B$17,Paramètres!$A$1:$I$89,3,0)*0.475*44/12</f>
        <v>0</v>
      </c>
      <c r="GO86" s="21">
        <f t="shared" si="81"/>
        <v>82.011793045056081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367.99999999999972</v>
      </c>
      <c r="GV86" s="17">
        <f>GU86*VLOOKUP('Données projet'!$B$18,Paramètres!$A$1:$I$89,3,0)*VLOOKUP('Données projet'!$B$18,Paramètres!$A$1:$I$89,5,0)</f>
        <v>298.52159999999981</v>
      </c>
      <c r="GW86" s="13">
        <f t="shared" si="105"/>
        <v>70.866444995542437</v>
      </c>
      <c r="GX86" s="20">
        <f t="shared" si="82"/>
        <v>643.35084503390271</v>
      </c>
      <c r="GY86" s="59">
        <f t="shared" si="83"/>
        <v>936.68417836723597</v>
      </c>
      <c r="GZ86" s="59">
        <f ca="1">AVERAGE(OFFSET($GY$3,0,0,'Données projet'!$E$18+1,1))-AVERAGE(OFFSET($H$3,0,0,'Données projet'!$E$18+1,1))</f>
        <v>412.59676769258488</v>
      </c>
      <c r="HA86" s="59">
        <f t="shared" si="106"/>
        <v>399.90063795152133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48.043462516313092</v>
      </c>
      <c r="HH86" s="21">
        <f>EXP(-LN(2)/25)*HH85+(1-EXP(-LN(2)/25))/(LN(2)/25)*Calculateur!HC86*Calculateur!HE86*VLOOKUP('Données projet'!$B$18,Paramètres!$A$1:$I$89,3,0)*0.475*44/12</f>
        <v>0</v>
      </c>
      <c r="HI86" s="21">
        <f>EXP(-LN(2)/2)*HI85+(1-EXP(-LN(2)/2))/(LN(2)/2)*HC86*HF86*VLOOKUP('Données projet'!$B$18,Paramètres!$A$1:$I$89,3,0)*0.475*44/12</f>
        <v>0</v>
      </c>
      <c r="HJ86" s="22">
        <f t="shared" si="84"/>
        <v>48.043462516313092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6.8</v>
      </c>
      <c r="N87" s="13">
        <f>IF('Données projet'!$A$36&gt;35,N86+M87-V86,IF(A87&lt;'Données projet'!$A$36,$K$205^A87,IF(A87='Données projet'!$A$36,'Données projet'!$B$36,N86+M87-V86)))</f>
        <v>319.20000000000005</v>
      </c>
      <c r="O87" s="13">
        <f>N87*VLOOKUP('Données projet'!$B$9,Paramètres!$A$1:$I$89,3,0)*VLOOKUP('Données projet'!$B$9,Paramètres!$A$1:$I$89,5,0)</f>
        <v>288.81216000000006</v>
      </c>
      <c r="P87" s="13">
        <f t="shared" si="87"/>
        <v>68.825899854238159</v>
      </c>
      <c r="Q87" s="20">
        <f t="shared" si="54"/>
        <v>622.88628757946492</v>
      </c>
      <c r="R87" s="59">
        <f t="shared" si="55"/>
        <v>916.21962091279829</v>
      </c>
      <c r="S87" s="59">
        <f ca="1">AVERAGE(OFFSET($R$3,0,0,'Données projet'!$E$9+1,1))-AVERAGE(OFFSET($H$3,0,0,'Données projet'!$E$9+1,1))</f>
        <v>439.19854273764042</v>
      </c>
      <c r="T87" s="59">
        <f t="shared" si="88"/>
        <v>278.21741231699929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74.169668063593534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74.169668063593534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6.8</v>
      </c>
      <c r="AI87" s="13">
        <f>IF('Données projet'!$A$62&gt;35,AI86+AH87-AQ86,IF(A87&lt;'Données projet'!$A$62,$AF$205^A87,IF(A87='Données projet'!$A$62,'Données projet'!$B$62,AI86+AH87-AQ86)))</f>
        <v>319.20000000000005</v>
      </c>
      <c r="AJ87" s="13">
        <f>AI87*VLOOKUP('Données projet'!$B$10,Paramètres!$A$1:$I$89,3,0)*VLOOKUP('Données projet'!$B$10,Paramètres!$A$1:$I$89,5,0)</f>
        <v>323.66880000000009</v>
      </c>
      <c r="AK87" s="13">
        <f t="shared" si="89"/>
        <v>76.11621164769852</v>
      </c>
      <c r="AL87" s="20">
        <f t="shared" si="58"/>
        <v>696.29222861974176</v>
      </c>
      <c r="AM87" s="59">
        <f t="shared" si="59"/>
        <v>989.62556195307502</v>
      </c>
      <c r="AN87" s="59">
        <f ca="1">AVERAGE(OFFSET($AM$3,0,0,'Données projet'!$E$10+1,1))-AVERAGE(OFFSET($H$3,0,0,'Données projet'!$E$10+1,1))</f>
        <v>487.18832528146936</v>
      </c>
      <c r="AO87" s="59">
        <f t="shared" si="90"/>
        <v>306.61893266146666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83.121179726441014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83.121179726441014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369.00000000000023</v>
      </c>
      <c r="BE87" s="13">
        <f>BD87*VLOOKUP('Données projet'!$B$11,Paramètres!$A$1:$I$89,3,0)*VLOOKUP('Données projet'!$B$11,Paramètres!$A$1:$I$89,5,0)</f>
        <v>333.87120000000021</v>
      </c>
      <c r="BF87" s="13">
        <f t="shared" si="91"/>
        <v>78.23236011137638</v>
      </c>
      <c r="BG87" s="20">
        <f t="shared" si="61"/>
        <v>717.74703386064755</v>
      </c>
      <c r="BH87" s="59">
        <f t="shared" si="62"/>
        <v>1011.0803671939809</v>
      </c>
      <c r="BI87" s="59">
        <f ca="1">AVERAGE(OFFSET($BH$3,0,0,'Données projet'!$E$11+1,1))-AVERAGE(OFFSET($H$3,0,0,'Données projet'!$E$11+1,1))</f>
        <v>436.23918637269577</v>
      </c>
      <c r="BJ87" s="59">
        <f t="shared" si="92"/>
        <v>611.43967996341894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3.6280860036864202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3.6280860036864202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224.00000000000006</v>
      </c>
      <c r="BZ87" s="13">
        <f>BY87*VLOOKUP('Données projet'!$B$12,Paramètres!$A$1:$I$89,3,0)*VLOOKUP('Données projet'!$B$12,Paramètres!$A$1:$I$89,5,0)</f>
        <v>195.68640000000008</v>
      </c>
      <c r="CA87" s="13">
        <f t="shared" si="93"/>
        <v>48.794969360985156</v>
      </c>
      <c r="CB87" s="20">
        <f t="shared" si="64"/>
        <v>425.8050516370493</v>
      </c>
      <c r="CC87" s="59">
        <f t="shared" si="65"/>
        <v>719.13838497038262</v>
      </c>
      <c r="CD87" s="59">
        <f ca="1">AVERAGE(OFFSET($CC$3,0,0,'Données projet'!$E$12+1,1))-AVERAGE(OFFSET($H$3,0,0,'Données projet'!$E$12+1,1))</f>
        <v>304.32767345253382</v>
      </c>
      <c r="CE87" s="59">
        <f t="shared" si="94"/>
        <v>427.16091343339173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39.17965468215445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39.17965468215445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739.99999999999966</v>
      </c>
      <c r="CU87" s="17">
        <f>CT87*VLOOKUP('Données projet'!$B$13,Paramètres!$A$1:$I$89,3,0)*VLOOKUP('Données projet'!$B$13,Paramètres!$A$1:$I$89,5,0)</f>
        <v>413.65999999999985</v>
      </c>
      <c r="CV87" s="13">
        <f t="shared" si="95"/>
        <v>94.540585122244352</v>
      </c>
      <c r="CW87" s="20">
        <f t="shared" si="67"/>
        <v>885.11601908790863</v>
      </c>
      <c r="CX87" s="59">
        <f t="shared" si="68"/>
        <v>1178.4493524212419</v>
      </c>
      <c r="CY87" s="59">
        <f ca="1">AVERAGE(OFFSET($CX$3,0,0,'Données projet'!$E$13+1,1))-AVERAGE(OFFSET($H$3,0,0,'Données projet'!$E$13+1,1))</f>
        <v>555.15881087162279</v>
      </c>
      <c r="CZ87" s="59">
        <f t="shared" si="96"/>
        <v>668.20427590250733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76.777262604851373</v>
      </c>
      <c r="DG87" s="21">
        <f>EXP(-LN(2)/25)*DG86+(1-EXP(-LN(2)/25))/(LN(2)/25)*Calculateur!DB87*Calculateur!DD87*VLOOKUP('Données projet'!$B$13,Paramètres!$A$1:$I$89,3,0)*0.475*44/12</f>
        <v>12.929007237836823</v>
      </c>
      <c r="DH87" s="21">
        <f>EXP(-LN(2)/2)*DH86+(1-EXP(-LN(2)/2))/(LN(2)/2)*DB87*DE87*VLOOKUP('Données projet'!$B$13,Paramètres!$A$1:$I$89,3,0)*0.475*44/12</f>
        <v>6.336594870231041E-9</v>
      </c>
      <c r="DI87" s="22">
        <f t="shared" si="69"/>
        <v>89.706269849024793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911.99999999999898</v>
      </c>
      <c r="DP87" s="17">
        <f>DO87*VLOOKUP('Données projet'!$B$14,Paramètres!$A$1:$I$89,3,0)*VLOOKUP('Données projet'!$B$14,Paramètres!$A$1:$I$89,5,0)</f>
        <v>426.81599999999946</v>
      </c>
      <c r="DQ87" s="13">
        <f t="shared" si="97"/>
        <v>97.192496986872399</v>
      </c>
      <c r="DR87" s="20">
        <f t="shared" si="70"/>
        <v>912.64813225213504</v>
      </c>
      <c r="DS87" s="59">
        <f t="shared" si="71"/>
        <v>1205.9814655854684</v>
      </c>
      <c r="DT87" s="59">
        <f ca="1">AVERAGE(OFFSET($DS$3,0,0,'Données projet'!$E$14+1,1))-AVERAGE(OFFSET($H$3,0,0,'Données projet'!$E$14+1,1))</f>
        <v>523.79180230463714</v>
      </c>
      <c r="DU87" s="59">
        <f t="shared" si="98"/>
        <v>459.3547783500515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137.30621517464706</v>
      </c>
      <c r="EB87" s="21">
        <f>EXP(-LN(2)/25)*EB86+(1-EXP(-LN(2)/25))/(LN(2)/25)*Calculateur!DW87*Calculateur!DY87*VLOOKUP('Données projet'!$B$14,Paramètres!$A$1:$I$89,3,0)*0.475*44/12</f>
        <v>11.957695458293651</v>
      </c>
      <c r="EC87" s="21">
        <f>EXP(-LN(2)/2)*EC86+(1-EXP(-LN(2)/2))/(LN(2)/2)*DW87*DZ87*VLOOKUP('Données projet'!$B$14,Paramètres!$A$1:$I$89,3,0)*0.475*44/12</f>
        <v>8.8828847504807141E-9</v>
      </c>
      <c r="ED87" s="22">
        <f t="shared" si="72"/>
        <v>149.2639106418236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367.99999999999972</v>
      </c>
      <c r="EK87" s="17">
        <f>EJ87*VLOOKUP('Données projet'!$B$15,Paramètres!$A$1:$I$89,3,0)*VLOOKUP('Données projet'!$B$15,Paramètres!$A$1:$I$89,5,0)</f>
        <v>355.92959999999977</v>
      </c>
      <c r="EL87" s="13">
        <f t="shared" si="99"/>
        <v>82.782281100458206</v>
      </c>
      <c r="EM87" s="20">
        <f t="shared" si="73"/>
        <v>764.08985958329765</v>
      </c>
      <c r="EN87" s="59">
        <f t="shared" si="74"/>
        <v>1057.423192916631</v>
      </c>
      <c r="EO87" s="59">
        <f ca="1">AVERAGE(OFFSET($EN$3,0,0,'Données projet'!$E$15+1,1))-AVERAGE(OFFSET($H$3,0,0,'Données projet'!$E$15+1,1))</f>
        <v>484.41278617935654</v>
      </c>
      <c r="EP87" s="59">
        <f t="shared" si="100"/>
        <v>467.97490540700738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56.159313273830442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56.159313273830442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367.99999999999972</v>
      </c>
      <c r="FF87" s="17">
        <f>FE87*VLOOKUP('Données projet'!$B$16,Paramètres!$A$1:$I$89,3,0)*VLOOKUP('Données projet'!$B$16,Paramètres!$A$1:$I$89,5,0)</f>
        <v>396.11519999999967</v>
      </c>
      <c r="FG87" s="13">
        <f t="shared" si="101"/>
        <v>90.988634849704994</v>
      </c>
      <c r="FH87" s="20">
        <f t="shared" si="76"/>
        <v>848.37251236323561</v>
      </c>
      <c r="FI87" s="59">
        <f t="shared" si="77"/>
        <v>1141.705845696569</v>
      </c>
      <c r="FJ87" s="59">
        <f ca="1">AVERAGE(OFFSET($FI$3,0,0,'Données projet'!$E$16+1,1))-AVERAGE(OFFSET($H$3,0,0,'Données projet'!$E$16+1,1))</f>
        <v>534.54020133239135</v>
      </c>
      <c r="FK87" s="59">
        <f t="shared" si="102"/>
        <v>515.48696069008815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62.499880901520989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62.499880901520989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5.4</v>
      </c>
      <c r="FZ87" s="12">
        <f>IF('Données projet'!$A$244&gt;35,FZ86+FY87-GH86,IF(A87&lt;'Données projet'!$A$244,$FW$205^A87,IF(A87='Données projet'!$A$244,'Données projet'!$B$244,FZ86+FY87-GH86)))</f>
        <v>263.59999999999997</v>
      </c>
      <c r="GA87" s="17">
        <f>FZ87*VLOOKUP('Données projet'!$B$17,Paramètres!$A$1:$I$89,3,0)*VLOOKUP('Données projet'!$B$17,Paramètres!$A$1:$I$89,5,0)</f>
        <v>250.84175999999997</v>
      </c>
      <c r="GB87" s="13">
        <f t="shared" si="103"/>
        <v>60.766155809340432</v>
      </c>
      <c r="GC87" s="20">
        <f t="shared" si="79"/>
        <v>542.71712003460118</v>
      </c>
      <c r="GD87" s="59">
        <f t="shared" si="80"/>
        <v>836.05045336793455</v>
      </c>
      <c r="GE87" s="59">
        <f ca="1">AVERAGE(OFFSET($GD$3,0,0,'Données projet'!$E$17+1,1))-AVERAGE(OFFSET($H$3,0,0,'Données projet'!$E$17+1,1))</f>
        <v>455.71329051283936</v>
      </c>
      <c r="GF87" s="59">
        <f t="shared" si="104"/>
        <v>479.3743231122258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80.403591805697005</v>
      </c>
      <c r="GM87" s="21">
        <f>EXP(-LN(2)/25)*GM86+(1-EXP(-LN(2)/25))/(LN(2)/25)*Calculateur!GH87*Calculateur!GJ87*VLOOKUP('Données projet'!$B$17,Paramètres!$A$1:$I$89,3,0)*0.475*44/12</f>
        <v>0</v>
      </c>
      <c r="GN87" s="21">
        <f>EXP(-LN(2)/2)*GN86+(1-EXP(-LN(2)/2))/(LN(2)/2)*GH87*GK87*VLOOKUP('Données projet'!$B$17,Paramètres!$A$1:$I$89,3,0)*0.475*44/12</f>
        <v>0</v>
      </c>
      <c r="GO87" s="21">
        <f t="shared" si="81"/>
        <v>80.403591805697005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367.99999999999972</v>
      </c>
      <c r="GV87" s="17">
        <f>GU87*VLOOKUP('Données projet'!$B$18,Paramètres!$A$1:$I$89,3,0)*VLOOKUP('Données projet'!$B$18,Paramètres!$A$1:$I$89,5,0)</f>
        <v>298.52159999999981</v>
      </c>
      <c r="GW87" s="13">
        <f t="shared" si="105"/>
        <v>70.866444995542437</v>
      </c>
      <c r="GX87" s="20">
        <f t="shared" si="82"/>
        <v>643.35084503390271</v>
      </c>
      <c r="GY87" s="59">
        <f t="shared" si="83"/>
        <v>936.68417836723597</v>
      </c>
      <c r="GZ87" s="59">
        <f ca="1">AVERAGE(OFFSET($GY$3,0,0,'Données projet'!$E$18+1,1))-AVERAGE(OFFSET($H$3,0,0,'Données projet'!$E$18+1,1))</f>
        <v>412.59676769258488</v>
      </c>
      <c r="HA87" s="59">
        <f t="shared" si="106"/>
        <v>399.90063795152133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47.101359519986836</v>
      </c>
      <c r="HH87" s="21">
        <f>EXP(-LN(2)/25)*HH86+(1-EXP(-LN(2)/25))/(LN(2)/25)*Calculateur!HC87*Calculateur!HE87*VLOOKUP('Données projet'!$B$18,Paramètres!$A$1:$I$89,3,0)*0.475*44/12</f>
        <v>0</v>
      </c>
      <c r="HI87" s="21">
        <f>EXP(-LN(2)/2)*HI86+(1-EXP(-LN(2)/2))/(LN(2)/2)*HC87*HF87*VLOOKUP('Données projet'!$B$18,Paramètres!$A$1:$I$89,3,0)*0.475*44/12</f>
        <v>0</v>
      </c>
      <c r="HJ87" s="22">
        <f t="shared" si="84"/>
        <v>47.101359519986836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326</v>
      </c>
      <c r="L88" s="12">
        <f>VLOOKUP(A88,'Données projet'!$A$35:$I$55,9,0)</f>
        <v>6.8</v>
      </c>
      <c r="M88" s="12">
        <f t="array" ref="M88">INDEX(L:L,MIN(IF(ISNUMBER(L88:L284),ROW(L88:L284),"")))</f>
        <v>6.8</v>
      </c>
      <c r="N88" s="13">
        <f>IF('Données projet'!$A$36&gt;35,N87+M88-V87,IF(A88&lt;'Données projet'!$A$36,$K$205^A88,IF(A88='Données projet'!$A$36,'Données projet'!$B$36,N87+M88-V87)))</f>
        <v>326.00000000000006</v>
      </c>
      <c r="O88" s="13">
        <f>N88*VLOOKUP('Données projet'!$B$9,Paramètres!$A$1:$I$89,3,0)*VLOOKUP('Données projet'!$B$9,Paramètres!$A$1:$I$89,5,0)</f>
        <v>294.96480000000003</v>
      </c>
      <c r="P88" s="13">
        <f t="shared" si="87"/>
        <v>70.119854541045001</v>
      </c>
      <c r="Q88" s="20">
        <f t="shared" si="54"/>
        <v>635.85577332565333</v>
      </c>
      <c r="R88" s="59">
        <f t="shared" si="55"/>
        <v>929.1891066589867</v>
      </c>
      <c r="S88" s="59">
        <f ca="1">AVERAGE(OFFSET($R$3,0,0,'Données projet'!$E$9+1,1))-AVERAGE(OFFSET($H$3,0,0,'Données projet'!$E$9+1,1))</f>
        <v>439.19854273764042</v>
      </c>
      <c r="T88" s="59">
        <f t="shared" si="88"/>
        <v>278.21741231699929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28</v>
      </c>
      <c r="W88" s="16">
        <f>IF(ISNA(VLOOKUP(A88,'Données projet'!$A$35:$I$55,5,0)),0%,VLOOKUP(A88,'Données projet'!$A$35:$I$55,5,0)*VLOOKUP('Données projet'!$B$9,Paramètres!$A$1:$I$89,7,0))</f>
        <v>0.43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84.758010488690019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84.758010488690019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326</v>
      </c>
      <c r="AG88" s="12">
        <f>VLOOKUP(A88,'Données projet'!$A$61:$I$81,9,0)</f>
        <v>6.8</v>
      </c>
      <c r="AH88" s="12">
        <f t="array" ref="AH88">INDEX(AG:AG,MIN(IF(ISNUMBER(AG88:AG284),ROW(AG88:AG284),"")))</f>
        <v>6.8</v>
      </c>
      <c r="AI88" s="13">
        <f>IF('Données projet'!$A$62&gt;35,AI87+AH88-AQ87,IF(A88&lt;'Données projet'!$A$62,$AF$205^A88,IF(A88='Données projet'!$A$62,'Données projet'!$B$62,AI87+AH88-AQ87)))</f>
        <v>326.00000000000006</v>
      </c>
      <c r="AJ88" s="13">
        <f>AI88*VLOOKUP('Données projet'!$B$10,Paramètres!$A$1:$I$89,3,0)*VLOOKUP('Données projet'!$B$10,Paramètres!$A$1:$I$89,5,0)</f>
        <v>330.56400000000008</v>
      </c>
      <c r="AK88" s="13">
        <f t="shared" si="89"/>
        <v>77.547227137682853</v>
      </c>
      <c r="AL88" s="20">
        <f t="shared" si="58"/>
        <v>710.79372059813113</v>
      </c>
      <c r="AM88" s="59">
        <f t="shared" si="59"/>
        <v>1004.1270539314644</v>
      </c>
      <c r="AN88" s="59">
        <f ca="1">AVERAGE(OFFSET($AM$3,0,0,'Données projet'!$E$10+1,1))-AVERAGE(OFFSET($H$3,0,0,'Données projet'!$E$10+1,1))</f>
        <v>487.18832528146936</v>
      </c>
      <c r="AO88" s="59">
        <f t="shared" si="90"/>
        <v>306.61893266146666</v>
      </c>
      <c r="AP88" s="15">
        <f>IF(ISNA(VLOOKUP(A88,'Données projet'!$A$61:$I$81,3,0)),0,VLOOKUP(A88,'Données projet'!$A$61:$I$81,3,0))</f>
        <v>14</v>
      </c>
      <c r="AQ88" s="15">
        <f>IF(ISNA(VLOOKUP(A88,'Données projet'!$A$61:$I$81,4,0)),0,VLOOKUP(A88,'Données projet'!$A$61:$I$81,4,0))</f>
        <v>28</v>
      </c>
      <c r="AR88" s="16">
        <f>IF(ISNA(VLOOKUP(A88,'Données projet'!$A$61:$I$81,5,0)),0%,VLOOKUP(A88,'Données projet'!$A$61:$I$81,5,0)*VLOOKUP('Données projet'!$B$10,Paramètres!$A$1:$I$89,7,0))</f>
        <v>0.43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94.987425547669829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94.987425547669829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369.00000000000023</v>
      </c>
      <c r="BE88" s="13">
        <f>BD88*VLOOKUP('Données projet'!$B$11,Paramètres!$A$1:$I$89,3,0)*VLOOKUP('Données projet'!$B$11,Paramètres!$A$1:$I$89,5,0)</f>
        <v>333.87120000000021</v>
      </c>
      <c r="BF88" s="13">
        <f t="shared" si="91"/>
        <v>78.23236011137638</v>
      </c>
      <c r="BG88" s="20">
        <f t="shared" si="61"/>
        <v>717.74703386064755</v>
      </c>
      <c r="BH88" s="59">
        <f t="shared" si="62"/>
        <v>1011.0803671939809</v>
      </c>
      <c r="BI88" s="59">
        <f ca="1">AVERAGE(OFFSET($BH$3,0,0,'Données projet'!$E$11+1,1))-AVERAGE(OFFSET($H$3,0,0,'Données projet'!$E$11+1,1))</f>
        <v>436.23918637269577</v>
      </c>
      <c r="BJ88" s="59">
        <f t="shared" si="92"/>
        <v>611.43967996341894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3.5569414500680847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3.5569414500680847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224.00000000000006</v>
      </c>
      <c r="BZ88" s="13">
        <f>BY88*VLOOKUP('Données projet'!$B$12,Paramètres!$A$1:$I$89,3,0)*VLOOKUP('Données projet'!$B$12,Paramètres!$A$1:$I$89,5,0)</f>
        <v>195.68640000000008</v>
      </c>
      <c r="CA88" s="13">
        <f t="shared" si="93"/>
        <v>48.794969360985156</v>
      </c>
      <c r="CB88" s="20">
        <f t="shared" si="64"/>
        <v>425.8050516370493</v>
      </c>
      <c r="CC88" s="59">
        <f t="shared" si="65"/>
        <v>719.13838497038262</v>
      </c>
      <c r="CD88" s="59">
        <f ca="1">AVERAGE(OFFSET($CC$3,0,0,'Données projet'!$E$12+1,1))-AVERAGE(OFFSET($H$3,0,0,'Données projet'!$E$12+1,1))</f>
        <v>304.32767345253382</v>
      </c>
      <c r="CE88" s="59">
        <f t="shared" si="94"/>
        <v>427.16091343339173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38.411365551067099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38.411365551067099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739.99999999999966</v>
      </c>
      <c r="CU88" s="17">
        <f>CT88*VLOOKUP('Données projet'!$B$13,Paramètres!$A$1:$I$89,3,0)*VLOOKUP('Données projet'!$B$13,Paramètres!$A$1:$I$89,5,0)</f>
        <v>413.65999999999985</v>
      </c>
      <c r="CV88" s="13">
        <f t="shared" si="95"/>
        <v>94.540585122244352</v>
      </c>
      <c r="CW88" s="20">
        <f t="shared" si="67"/>
        <v>885.11601908790863</v>
      </c>
      <c r="CX88" s="59">
        <f t="shared" si="68"/>
        <v>1178.4493524212419</v>
      </c>
      <c r="CY88" s="59">
        <f ca="1">AVERAGE(OFFSET($CX$3,0,0,'Données projet'!$E$13+1,1))-AVERAGE(OFFSET($H$3,0,0,'Données projet'!$E$13+1,1))</f>
        <v>555.15881087162279</v>
      </c>
      <c r="CZ88" s="59">
        <f t="shared" si="96"/>
        <v>668.20427590250733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75.271707314676391</v>
      </c>
      <c r="DG88" s="21">
        <f>EXP(-LN(2)/25)*DG87+(1-EXP(-LN(2)/25))/(LN(2)/25)*Calculateur!DB88*Calculateur!DD88*VLOOKUP('Données projet'!$B$13,Paramètres!$A$1:$I$89,3,0)*0.475*44/12</f>
        <v>12.575462855011233</v>
      </c>
      <c r="DH88" s="21">
        <f>EXP(-LN(2)/2)*DH87+(1-EXP(-LN(2)/2))/(LN(2)/2)*DB88*DE88*VLOOKUP('Données projet'!$B$13,Paramètres!$A$1:$I$89,3,0)*0.475*44/12</f>
        <v>4.4806492023722601E-9</v>
      </c>
      <c r="DI88" s="22">
        <f t="shared" si="69"/>
        <v>87.847170174168284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911.99999999999898</v>
      </c>
      <c r="DP88" s="17">
        <f>DO88*VLOOKUP('Données projet'!$B$14,Paramètres!$A$1:$I$89,3,0)*VLOOKUP('Données projet'!$B$14,Paramètres!$A$1:$I$89,5,0)</f>
        <v>426.81599999999946</v>
      </c>
      <c r="DQ88" s="13">
        <f t="shared" si="97"/>
        <v>97.192496986872399</v>
      </c>
      <c r="DR88" s="20">
        <f t="shared" si="70"/>
        <v>912.64813225213504</v>
      </c>
      <c r="DS88" s="59">
        <f t="shared" si="71"/>
        <v>1205.9814655854684</v>
      </c>
      <c r="DT88" s="59">
        <f ca="1">AVERAGE(OFFSET($DS$3,0,0,'Données projet'!$E$14+1,1))-AVERAGE(OFFSET($H$3,0,0,'Données projet'!$E$14+1,1))</f>
        <v>523.79180230463714</v>
      </c>
      <c r="DU88" s="59">
        <f t="shared" si="98"/>
        <v>459.3547783500515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134.613724043594</v>
      </c>
      <c r="EB88" s="21">
        <f>EXP(-LN(2)/25)*EB87+(1-EXP(-LN(2)/25))/(LN(2)/25)*Calculateur!DW88*Calculateur!DY88*VLOOKUP('Données projet'!$B$14,Paramètres!$A$1:$I$89,3,0)*0.475*44/12</f>
        <v>11.630711647158737</v>
      </c>
      <c r="EC88" s="21">
        <f>EXP(-LN(2)/2)*EC87+(1-EXP(-LN(2)/2))/(LN(2)/2)*DW88*DZ88*VLOOKUP('Données projet'!$B$14,Paramètres!$A$1:$I$89,3,0)*0.475*44/12</f>
        <v>6.2811480435634861E-9</v>
      </c>
      <c r="ED88" s="22">
        <f t="shared" si="72"/>
        <v>146.24443569703388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367.99999999999972</v>
      </c>
      <c r="EK88" s="17">
        <f>EJ88*VLOOKUP('Données projet'!$B$15,Paramètres!$A$1:$I$89,3,0)*VLOOKUP('Données projet'!$B$15,Paramètres!$A$1:$I$89,5,0)</f>
        <v>355.92959999999977</v>
      </c>
      <c r="EL88" s="13">
        <f t="shared" si="99"/>
        <v>82.782281100458206</v>
      </c>
      <c r="EM88" s="20">
        <f t="shared" si="73"/>
        <v>764.08985958329765</v>
      </c>
      <c r="EN88" s="59">
        <f t="shared" si="74"/>
        <v>1057.423192916631</v>
      </c>
      <c r="EO88" s="59">
        <f ca="1">AVERAGE(OFFSET($EN$3,0,0,'Données projet'!$E$15+1,1))-AVERAGE(OFFSET($H$3,0,0,'Données projet'!$E$15+1,1))</f>
        <v>484.41278617935654</v>
      </c>
      <c r="EP88" s="59">
        <f t="shared" si="100"/>
        <v>467.97490540700738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55.058063394329444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55.058063394329444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367.99999999999972</v>
      </c>
      <c r="FF88" s="17">
        <f>FE88*VLOOKUP('Données projet'!$B$16,Paramètres!$A$1:$I$89,3,0)*VLOOKUP('Données projet'!$B$16,Paramètres!$A$1:$I$89,5,0)</f>
        <v>396.11519999999967</v>
      </c>
      <c r="FG88" s="13">
        <f t="shared" si="101"/>
        <v>90.988634849704994</v>
      </c>
      <c r="FH88" s="20">
        <f t="shared" si="76"/>
        <v>848.37251236323561</v>
      </c>
      <c r="FI88" s="59">
        <f t="shared" si="77"/>
        <v>1141.705845696569</v>
      </c>
      <c r="FJ88" s="59">
        <f ca="1">AVERAGE(OFFSET($FI$3,0,0,'Données projet'!$E$16+1,1))-AVERAGE(OFFSET($H$3,0,0,'Données projet'!$E$16+1,1))</f>
        <v>534.54020133239135</v>
      </c>
      <c r="FK88" s="59">
        <f t="shared" si="102"/>
        <v>515.48696069008815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61.274296358205362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61.274296358205362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>
        <f>VLOOKUP(A88,'Données projet'!$A$243:$I$263,2,0)</f>
        <v>269</v>
      </c>
      <c r="FX88" s="12">
        <f>VLOOKUP(A88,'Données projet'!$A$243:$I$263,9,0)</f>
        <v>5.4</v>
      </c>
      <c r="FY88" s="12">
        <f t="array" ref="FY88">INDEX(FX:FX,MIN(IF(ISNUMBER(FX88:FX284),ROW(FX88:FX284),"")))</f>
        <v>5.4</v>
      </c>
      <c r="FZ88" s="12">
        <f>IF('Données projet'!$A$244&gt;35,FZ87+FY88-GH87,IF(A88&lt;'Données projet'!$A$244,$FW$205^A88,IF(A88='Données projet'!$A$244,'Données projet'!$B$244,FZ87+FY88-GH87)))</f>
        <v>268.99999999999994</v>
      </c>
      <c r="GA88" s="17">
        <f>FZ88*VLOOKUP('Données projet'!$B$17,Paramètres!$A$1:$I$89,3,0)*VLOOKUP('Données projet'!$B$17,Paramètres!$A$1:$I$89,5,0)</f>
        <v>255.98039999999997</v>
      </c>
      <c r="GB88" s="13">
        <f t="shared" si="103"/>
        <v>61.864786260587792</v>
      </c>
      <c r="GC88" s="20">
        <f t="shared" si="79"/>
        <v>553.58036607052361</v>
      </c>
      <c r="GD88" s="59">
        <f t="shared" si="80"/>
        <v>846.91369940385698</v>
      </c>
      <c r="GE88" s="59">
        <f ca="1">AVERAGE(OFFSET($GD$3,0,0,'Données projet'!$E$17+1,1))-AVERAGE(OFFSET($H$3,0,0,'Données projet'!$E$17+1,1))</f>
        <v>455.71329051283936</v>
      </c>
      <c r="GF88" s="59">
        <f t="shared" si="104"/>
        <v>479.3743231122258</v>
      </c>
      <c r="GG88" s="15">
        <f>IF(ISNA(VLOOKUP(A88,'Données projet'!$A$243:$I$263,3,0)),0,VLOOKUP(A88,'Données projet'!$A$243:$I$263,3,0))</f>
        <v>16</v>
      </c>
      <c r="GH88" s="15">
        <f>IF(ISNA(VLOOKUP(A88,'Données projet'!$A$243:$I$263,4,0)),0,VLOOKUP(A88,'Données projet'!$A$243:$I$263,4,0))</f>
        <v>25</v>
      </c>
      <c r="GI88" s="16">
        <f>IF(ISNA(VLOOKUP(A88,'Données projet'!$A$243:$I$263,5,0)),0%,VLOOKUP(A88,'Données projet'!$A$243:$I$263,5,0)*VLOOKUP('Données projet'!$B$17,Paramètres!$A$1:$I$89,7,0))</f>
        <v>0.43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90.135556753244074</v>
      </c>
      <c r="GM88" s="21">
        <f>EXP(-LN(2)/25)*GM87+(1-EXP(-LN(2)/25))/(LN(2)/25)*Calculateur!GH88*Calculateur!GJ88*VLOOKUP('Données projet'!$B$17,Paramètres!$A$1:$I$89,3,0)*0.475*44/12</f>
        <v>0</v>
      </c>
      <c r="GN88" s="21">
        <f>EXP(-LN(2)/2)*GN87+(1-EXP(-LN(2)/2))/(LN(2)/2)*GH88*GK88*VLOOKUP('Données projet'!$B$17,Paramètres!$A$1:$I$89,3,0)*0.475*44/12</f>
        <v>0</v>
      </c>
      <c r="GO88" s="21">
        <f t="shared" si="81"/>
        <v>90.135556753244074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367.99999999999972</v>
      </c>
      <c r="GV88" s="17">
        <f>GU88*VLOOKUP('Données projet'!$B$18,Paramètres!$A$1:$I$89,3,0)*VLOOKUP('Données projet'!$B$18,Paramètres!$A$1:$I$89,5,0)</f>
        <v>298.52159999999981</v>
      </c>
      <c r="GW88" s="13">
        <f t="shared" si="105"/>
        <v>70.866444995542437</v>
      </c>
      <c r="GX88" s="20">
        <f t="shared" si="82"/>
        <v>643.35084503390271</v>
      </c>
      <c r="GY88" s="59">
        <f t="shared" si="83"/>
        <v>936.68417836723597</v>
      </c>
      <c r="GZ88" s="59">
        <f ca="1">AVERAGE(OFFSET($GY$3,0,0,'Données projet'!$E$18+1,1))-AVERAGE(OFFSET($H$3,0,0,'Données projet'!$E$18+1,1))</f>
        <v>412.59676769258488</v>
      </c>
      <c r="HA88" s="59">
        <f t="shared" si="106"/>
        <v>399.90063795152133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46.17773058879245</v>
      </c>
      <c r="HH88" s="21">
        <f>EXP(-LN(2)/25)*HH87+(1-EXP(-LN(2)/25))/(LN(2)/25)*Calculateur!HC88*Calculateur!HE88*VLOOKUP('Données projet'!$B$18,Paramètres!$A$1:$I$89,3,0)*0.475*44/12</f>
        <v>0</v>
      </c>
      <c r="HI88" s="21">
        <f>EXP(-LN(2)/2)*HI87+(1-EXP(-LN(2)/2))/(LN(2)/2)*HC88*HF88*VLOOKUP('Données projet'!$B$18,Paramètres!$A$1:$I$89,3,0)*0.475*44/12</f>
        <v>0</v>
      </c>
      <c r="HJ88" s="22">
        <f t="shared" si="84"/>
        <v>46.17773058879245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6.4</v>
      </c>
      <c r="N89" s="13">
        <f>IF('Données projet'!$A$36&gt;35,N88+M89-V88,IF(A89&lt;'Données projet'!$A$36,$K$205^A89,IF(A89='Données projet'!$A$36,'Données projet'!$B$36,N88+M89-V88)))</f>
        <v>304.40000000000003</v>
      </c>
      <c r="O89" s="13">
        <f>N89*VLOOKUP('Données projet'!$B$9,Paramètres!$A$1:$I$89,3,0)*VLOOKUP('Données projet'!$B$9,Paramètres!$A$1:$I$89,5,0)</f>
        <v>275.42112000000003</v>
      </c>
      <c r="P89" s="13">
        <f t="shared" si="87"/>
        <v>65.998433293601067</v>
      </c>
      <c r="Q89" s="20">
        <f t="shared" si="54"/>
        <v>594.63905531968851</v>
      </c>
      <c r="R89" s="59">
        <f t="shared" si="55"/>
        <v>887.97238865302188</v>
      </c>
      <c r="S89" s="59">
        <f ca="1">AVERAGE(OFFSET($R$3,0,0,'Données projet'!$E$9+1,1))-AVERAGE(OFFSET($H$3,0,0,'Données projet'!$E$9+1,1))</f>
        <v>439.19854273764042</v>
      </c>
      <c r="T89" s="59">
        <f t="shared" si="88"/>
        <v>278.21741231699929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83.095957600288529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83.095957600288529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6.4</v>
      </c>
      <c r="AI89" s="13">
        <f>IF('Données projet'!$A$62&gt;35,AI88+AH89-AQ88,IF(A89&lt;'Données projet'!$A$62,$AF$205^A89,IF(A89='Données projet'!$A$62,'Données projet'!$B$62,AI88+AH89-AQ88)))</f>
        <v>304.40000000000003</v>
      </c>
      <c r="AJ89" s="13">
        <f>AI89*VLOOKUP('Données projet'!$B$10,Paramètres!$A$1:$I$89,3,0)*VLOOKUP('Données projet'!$B$10,Paramètres!$A$1:$I$89,5,0)</f>
        <v>308.66160000000008</v>
      </c>
      <c r="AK89" s="13">
        <f t="shared" si="89"/>
        <v>72.98924863505313</v>
      </c>
      <c r="AL89" s="20">
        <f t="shared" si="58"/>
        <v>664.70856137271755</v>
      </c>
      <c r="AM89" s="59">
        <f t="shared" si="59"/>
        <v>958.04189470605093</v>
      </c>
      <c r="AN89" s="59">
        <f ca="1">AVERAGE(OFFSET($AM$3,0,0,'Données projet'!$E$10+1,1))-AVERAGE(OFFSET($H$3,0,0,'Données projet'!$E$10+1,1))</f>
        <v>487.18832528146936</v>
      </c>
      <c r="AO89" s="59">
        <f t="shared" si="90"/>
        <v>306.61893266146666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93.124780069288846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93.124780069288846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369.00000000000023</v>
      </c>
      <c r="BE89" s="13">
        <f>BD89*VLOOKUP('Données projet'!$B$11,Paramètres!$A$1:$I$89,3,0)*VLOOKUP('Données projet'!$B$11,Paramètres!$A$1:$I$89,5,0)</f>
        <v>333.87120000000021</v>
      </c>
      <c r="BF89" s="13">
        <f t="shared" si="91"/>
        <v>78.23236011137638</v>
      </c>
      <c r="BG89" s="20">
        <f t="shared" si="61"/>
        <v>717.74703386064755</v>
      </c>
      <c r="BH89" s="59">
        <f t="shared" si="62"/>
        <v>1011.0803671939809</v>
      </c>
      <c r="BI89" s="59">
        <f ca="1">AVERAGE(OFFSET($BH$3,0,0,'Données projet'!$E$11+1,1))-AVERAGE(OFFSET($H$3,0,0,'Données projet'!$E$11+1,1))</f>
        <v>436.23918637269577</v>
      </c>
      <c r="BJ89" s="59">
        <f t="shared" si="92"/>
        <v>611.43967996341894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3.4871919977523116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3.4871919977523116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224.00000000000006</v>
      </c>
      <c r="BZ89" s="13">
        <f>BY89*VLOOKUP('Données projet'!$B$12,Paramètres!$A$1:$I$89,3,0)*VLOOKUP('Données projet'!$B$12,Paramètres!$A$1:$I$89,5,0)</f>
        <v>195.68640000000008</v>
      </c>
      <c r="CA89" s="13">
        <f t="shared" si="93"/>
        <v>48.794969360985156</v>
      </c>
      <c r="CB89" s="20">
        <f t="shared" si="64"/>
        <v>425.8050516370493</v>
      </c>
      <c r="CC89" s="59">
        <f t="shared" si="65"/>
        <v>719.13838497038262</v>
      </c>
      <c r="CD89" s="59">
        <f ca="1">AVERAGE(OFFSET($CC$3,0,0,'Données projet'!$E$12+1,1))-AVERAGE(OFFSET($H$3,0,0,'Données projet'!$E$12+1,1))</f>
        <v>304.32767345253382</v>
      </c>
      <c r="CE89" s="59">
        <f t="shared" si="94"/>
        <v>427.16091343339173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37.658142101230276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37.658142101230276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739.99999999999966</v>
      </c>
      <c r="CU89" s="17">
        <f>CT89*VLOOKUP('Données projet'!$B$13,Paramètres!$A$1:$I$89,3,0)*VLOOKUP('Données projet'!$B$13,Paramètres!$A$1:$I$89,5,0)</f>
        <v>413.65999999999985</v>
      </c>
      <c r="CV89" s="13">
        <f t="shared" si="95"/>
        <v>94.540585122244352</v>
      </c>
      <c r="CW89" s="20">
        <f t="shared" si="67"/>
        <v>885.11601908790863</v>
      </c>
      <c r="CX89" s="59">
        <f t="shared" si="68"/>
        <v>1178.4493524212419</v>
      </c>
      <c r="CY89" s="59">
        <f ca="1">AVERAGE(OFFSET($CX$3,0,0,'Données projet'!$E$13+1,1))-AVERAGE(OFFSET($H$3,0,0,'Données projet'!$E$13+1,1))</f>
        <v>555.15881087162279</v>
      </c>
      <c r="CZ89" s="59">
        <f t="shared" si="96"/>
        <v>668.20427590250733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73.795675045443687</v>
      </c>
      <c r="DG89" s="21">
        <f>EXP(-LN(2)/25)*DG88+(1-EXP(-LN(2)/25))/(LN(2)/25)*Calculateur!DB89*Calculateur!DD89*VLOOKUP('Données projet'!$B$13,Paramètres!$A$1:$I$89,3,0)*0.475*44/12</f>
        <v>12.231586161926101</v>
      </c>
      <c r="DH89" s="21">
        <f>EXP(-LN(2)/2)*DH88+(1-EXP(-LN(2)/2))/(LN(2)/2)*DB89*DE89*VLOOKUP('Données projet'!$B$13,Paramètres!$A$1:$I$89,3,0)*0.475*44/12</f>
        <v>3.1682974351155205E-9</v>
      </c>
      <c r="DI89" s="22">
        <f t="shared" si="69"/>
        <v>86.027261210538086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911.99999999999898</v>
      </c>
      <c r="DP89" s="17">
        <f>DO89*VLOOKUP('Données projet'!$B$14,Paramètres!$A$1:$I$89,3,0)*VLOOKUP('Données projet'!$B$14,Paramètres!$A$1:$I$89,5,0)</f>
        <v>426.81599999999946</v>
      </c>
      <c r="DQ89" s="13">
        <f t="shared" si="97"/>
        <v>97.192496986872399</v>
      </c>
      <c r="DR89" s="20">
        <f t="shared" si="70"/>
        <v>912.64813225213504</v>
      </c>
      <c r="DS89" s="59">
        <f t="shared" si="71"/>
        <v>1205.9814655854684</v>
      </c>
      <c r="DT89" s="59">
        <f ca="1">AVERAGE(OFFSET($DS$3,0,0,'Données projet'!$E$14+1,1))-AVERAGE(OFFSET($H$3,0,0,'Données projet'!$E$14+1,1))</f>
        <v>523.79180230463714</v>
      </c>
      <c r="DU89" s="59">
        <f t="shared" si="98"/>
        <v>459.3547783500515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131.97403102136346</v>
      </c>
      <c r="EB89" s="21">
        <f>EXP(-LN(2)/25)*EB88+(1-EXP(-LN(2)/25))/(LN(2)/25)*Calculateur!DW89*Calculateur!DY89*VLOOKUP('Données projet'!$B$14,Paramètres!$A$1:$I$89,3,0)*0.475*44/12</f>
        <v>11.312669225534638</v>
      </c>
      <c r="EC89" s="21">
        <f>EXP(-LN(2)/2)*EC88+(1-EXP(-LN(2)/2))/(LN(2)/2)*DW89*DZ89*VLOOKUP('Données projet'!$B$14,Paramètres!$A$1:$I$89,3,0)*0.475*44/12</f>
        <v>4.441442375240357E-9</v>
      </c>
      <c r="ED89" s="22">
        <f t="shared" si="72"/>
        <v>143.28670025133954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367.99999999999972</v>
      </c>
      <c r="EK89" s="17">
        <f>EJ89*VLOOKUP('Données projet'!$B$15,Paramètres!$A$1:$I$89,3,0)*VLOOKUP('Données projet'!$B$15,Paramètres!$A$1:$I$89,5,0)</f>
        <v>355.92959999999977</v>
      </c>
      <c r="EL89" s="13">
        <f t="shared" si="99"/>
        <v>82.782281100458206</v>
      </c>
      <c r="EM89" s="20">
        <f t="shared" si="73"/>
        <v>764.08985958329765</v>
      </c>
      <c r="EN89" s="59">
        <f t="shared" si="74"/>
        <v>1057.423192916631</v>
      </c>
      <c r="EO89" s="59">
        <f ca="1">AVERAGE(OFFSET($EN$3,0,0,'Données projet'!$E$15+1,1))-AVERAGE(OFFSET($H$3,0,0,'Données projet'!$E$15+1,1))</f>
        <v>484.41278617935654</v>
      </c>
      <c r="EP89" s="59">
        <f t="shared" si="100"/>
        <v>467.97490540700738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53.978408353269359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53.978408353269359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367.99999999999972</v>
      </c>
      <c r="FF89" s="17">
        <f>FE89*VLOOKUP('Données projet'!$B$16,Paramètres!$A$1:$I$89,3,0)*VLOOKUP('Données projet'!$B$16,Paramètres!$A$1:$I$89,5,0)</f>
        <v>396.11519999999967</v>
      </c>
      <c r="FG89" s="13">
        <f t="shared" si="101"/>
        <v>90.988634849704994</v>
      </c>
      <c r="FH89" s="20">
        <f t="shared" si="76"/>
        <v>848.37251236323561</v>
      </c>
      <c r="FI89" s="59">
        <f t="shared" si="77"/>
        <v>1141.705845696569</v>
      </c>
      <c r="FJ89" s="59">
        <f ca="1">AVERAGE(OFFSET($FI$3,0,0,'Données projet'!$E$16+1,1))-AVERAGE(OFFSET($H$3,0,0,'Données projet'!$E$16+1,1))</f>
        <v>534.54020133239135</v>
      </c>
      <c r="FK89" s="59">
        <f t="shared" si="102"/>
        <v>515.48696069008815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60.072744780251391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60.072744780251391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5</v>
      </c>
      <c r="FZ89" s="12">
        <f>IF('Données projet'!$A$244&gt;35,FZ88+FY89-GH88,IF(A89&lt;'Données projet'!$A$244,$FW$205^A89,IF(A89='Données projet'!$A$244,'Données projet'!$B$244,FZ88+FY89-GH88)))</f>
        <v>248.99999999999994</v>
      </c>
      <c r="GA89" s="17">
        <f>FZ89*VLOOKUP('Données projet'!$B$17,Paramètres!$A$1:$I$89,3,0)*VLOOKUP('Données projet'!$B$17,Paramètres!$A$1:$I$89,5,0)</f>
        <v>236.94839999999994</v>
      </c>
      <c r="GB89" s="13">
        <f t="shared" si="103"/>
        <v>57.782475694292401</v>
      </c>
      <c r="GC89" s="20">
        <f t="shared" si="79"/>
        <v>513.32294183422573</v>
      </c>
      <c r="GD89" s="59">
        <f t="shared" si="80"/>
        <v>806.65627516755899</v>
      </c>
      <c r="GE89" s="59">
        <f ca="1">AVERAGE(OFFSET($GD$3,0,0,'Données projet'!$E$17+1,1))-AVERAGE(OFFSET($H$3,0,0,'Données projet'!$E$17+1,1))</f>
        <v>455.71329051283936</v>
      </c>
      <c r="GF89" s="59">
        <f t="shared" si="104"/>
        <v>479.3743231122258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88.368053462574025</v>
      </c>
      <c r="GM89" s="21">
        <f>EXP(-LN(2)/25)*GM88+(1-EXP(-LN(2)/25))/(LN(2)/25)*Calculateur!GH89*Calculateur!GJ89*VLOOKUP('Données projet'!$B$17,Paramètres!$A$1:$I$89,3,0)*0.475*44/12</f>
        <v>0</v>
      </c>
      <c r="GN89" s="21">
        <f>EXP(-LN(2)/2)*GN88+(1-EXP(-LN(2)/2))/(LN(2)/2)*GH89*GK89*VLOOKUP('Données projet'!$B$17,Paramètres!$A$1:$I$89,3,0)*0.475*44/12</f>
        <v>0</v>
      </c>
      <c r="GO89" s="21">
        <f t="shared" si="81"/>
        <v>88.368053462574025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367.99999999999972</v>
      </c>
      <c r="GV89" s="17">
        <f>GU89*VLOOKUP('Données projet'!$B$18,Paramètres!$A$1:$I$89,3,0)*VLOOKUP('Données projet'!$B$18,Paramètres!$A$1:$I$89,5,0)</f>
        <v>298.52159999999981</v>
      </c>
      <c r="GW89" s="13">
        <f t="shared" si="105"/>
        <v>70.866444995542437</v>
      </c>
      <c r="GX89" s="20">
        <f t="shared" si="82"/>
        <v>643.35084503390271</v>
      </c>
      <c r="GY89" s="59">
        <f t="shared" si="83"/>
        <v>936.68417836723597</v>
      </c>
      <c r="GZ89" s="59">
        <f ca="1">AVERAGE(OFFSET($GY$3,0,0,'Données projet'!$E$18+1,1))-AVERAGE(OFFSET($H$3,0,0,'Données projet'!$E$18+1,1))</f>
        <v>412.59676769258488</v>
      </c>
      <c r="HA89" s="59">
        <f t="shared" si="106"/>
        <v>399.90063795152133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45.272213457580762</v>
      </c>
      <c r="HH89" s="21">
        <f>EXP(-LN(2)/25)*HH88+(1-EXP(-LN(2)/25))/(LN(2)/25)*Calculateur!HC89*Calculateur!HE89*VLOOKUP('Données projet'!$B$18,Paramètres!$A$1:$I$89,3,0)*0.475*44/12</f>
        <v>0</v>
      </c>
      <c r="HI89" s="21">
        <f>EXP(-LN(2)/2)*HI88+(1-EXP(-LN(2)/2))/(LN(2)/2)*HC89*HF89*VLOOKUP('Données projet'!$B$18,Paramètres!$A$1:$I$89,3,0)*0.475*44/12</f>
        <v>0</v>
      </c>
      <c r="HJ89" s="22">
        <f t="shared" si="84"/>
        <v>45.272213457580762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6.4</v>
      </c>
      <c r="N90" s="13">
        <f>IF('Données projet'!$A$36&gt;35,N89+M90-V89,IF(A90&lt;'Données projet'!$A$36,$K$205^A90,IF(A90='Données projet'!$A$36,'Données projet'!$B$36,N89+M90-V89)))</f>
        <v>310.8</v>
      </c>
      <c r="O90" s="13">
        <f>N90*VLOOKUP('Données projet'!$B$9,Paramètres!$A$1:$I$89,3,0)*VLOOKUP('Données projet'!$B$9,Paramètres!$A$1:$I$89,5,0)</f>
        <v>281.21184</v>
      </c>
      <c r="P90" s="13">
        <f t="shared" si="87"/>
        <v>67.22304110496664</v>
      </c>
      <c r="Q90" s="20">
        <f t="shared" si="54"/>
        <v>606.85741792448357</v>
      </c>
      <c r="R90" s="59">
        <f t="shared" si="55"/>
        <v>900.19075125781683</v>
      </c>
      <c r="S90" s="59">
        <f ca="1">AVERAGE(OFFSET($R$3,0,0,'Données projet'!$E$9+1,1))-AVERAGE(OFFSET($H$3,0,0,'Données projet'!$E$9+1,1))</f>
        <v>439.19854273764042</v>
      </c>
      <c r="T90" s="59">
        <f t="shared" si="88"/>
        <v>278.21741231699929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81.466496555276422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81.466496555276422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6.4</v>
      </c>
      <c r="AI90" s="13">
        <f>IF('Données projet'!$A$62&gt;35,AI89+AH90-AQ89,IF(A90&lt;'Données projet'!$A$62,$AF$205^A90,IF(A90='Données projet'!$A$62,'Données projet'!$B$62,AI89+AH90-AQ89)))</f>
        <v>310.8</v>
      </c>
      <c r="AJ90" s="13">
        <f>AI90*VLOOKUP('Données projet'!$B$10,Paramètres!$A$1:$I$89,3,0)*VLOOKUP('Données projet'!$B$10,Paramètres!$A$1:$I$89,5,0)</f>
        <v>315.15120000000002</v>
      </c>
      <c r="AK90" s="13">
        <f t="shared" si="89"/>
        <v>74.343571754005879</v>
      </c>
      <c r="AL90" s="20">
        <f t="shared" si="58"/>
        <v>678.37006080489357</v>
      </c>
      <c r="AM90" s="59">
        <f t="shared" si="59"/>
        <v>971.70339413822694</v>
      </c>
      <c r="AN90" s="59">
        <f ca="1">AVERAGE(OFFSET($AM$3,0,0,'Données projet'!$E$10+1,1))-AVERAGE(OFFSET($H$3,0,0,'Données projet'!$E$10+1,1))</f>
        <v>487.18832528146936</v>
      </c>
      <c r="AO90" s="59">
        <f t="shared" si="90"/>
        <v>306.61893266146666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91.298659932637349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91.298659932637349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369.00000000000023</v>
      </c>
      <c r="BE90" s="13">
        <f>BD90*VLOOKUP('Données projet'!$B$11,Paramètres!$A$1:$I$89,3,0)*VLOOKUP('Données projet'!$B$11,Paramètres!$A$1:$I$89,5,0)</f>
        <v>333.87120000000021</v>
      </c>
      <c r="BF90" s="13">
        <f t="shared" si="91"/>
        <v>78.23236011137638</v>
      </c>
      <c r="BG90" s="20">
        <f t="shared" si="61"/>
        <v>717.74703386064755</v>
      </c>
      <c r="BH90" s="59">
        <f t="shared" si="62"/>
        <v>1011.0803671939809</v>
      </c>
      <c r="BI90" s="59">
        <f ca="1">AVERAGE(OFFSET($BH$3,0,0,'Données projet'!$E$11+1,1))-AVERAGE(OFFSET($H$3,0,0,'Données projet'!$E$11+1,1))</f>
        <v>436.23918637269577</v>
      </c>
      <c r="BJ90" s="59">
        <f t="shared" si="92"/>
        <v>611.43967996341894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3.4188102896534858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3.4188102896534858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224.00000000000006</v>
      </c>
      <c r="BZ90" s="13">
        <f>BY90*VLOOKUP('Données projet'!$B$12,Paramètres!$A$1:$I$89,3,0)*VLOOKUP('Données projet'!$B$12,Paramètres!$A$1:$I$89,5,0)</f>
        <v>195.68640000000008</v>
      </c>
      <c r="CA90" s="13">
        <f t="shared" si="93"/>
        <v>48.794969360985156</v>
      </c>
      <c r="CB90" s="20">
        <f t="shared" si="64"/>
        <v>425.8050516370493</v>
      </c>
      <c r="CC90" s="59">
        <f t="shared" si="65"/>
        <v>719.13838497038262</v>
      </c>
      <c r="CD90" s="59">
        <f ca="1">AVERAGE(OFFSET($CC$3,0,0,'Données projet'!$E$12+1,1))-AVERAGE(OFFSET($H$3,0,0,'Données projet'!$E$12+1,1))</f>
        <v>304.32767345253382</v>
      </c>
      <c r="CE90" s="59">
        <f t="shared" si="94"/>
        <v>427.16091343339173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36.919688903823811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36.919688903823811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739.99999999999966</v>
      </c>
      <c r="CU90" s="17">
        <f>CT90*VLOOKUP('Données projet'!$B$13,Paramètres!$A$1:$I$89,3,0)*VLOOKUP('Données projet'!$B$13,Paramètres!$A$1:$I$89,5,0)</f>
        <v>413.65999999999985</v>
      </c>
      <c r="CV90" s="13">
        <f t="shared" si="95"/>
        <v>94.540585122244352</v>
      </c>
      <c r="CW90" s="20">
        <f t="shared" si="67"/>
        <v>885.11601908790863</v>
      </c>
      <c r="CX90" s="59">
        <f t="shared" si="68"/>
        <v>1178.4493524212419</v>
      </c>
      <c r="CY90" s="59">
        <f ca="1">AVERAGE(OFFSET($CX$3,0,0,'Données projet'!$E$13+1,1))-AVERAGE(OFFSET($H$3,0,0,'Données projet'!$E$13+1,1))</f>
        <v>555.15881087162279</v>
      </c>
      <c r="CZ90" s="59">
        <f t="shared" si="96"/>
        <v>668.20427590250733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72.348586868719849</v>
      </c>
      <c r="DG90" s="21">
        <f>EXP(-LN(2)/25)*DG89+(1-EXP(-LN(2)/25))/(LN(2)/25)*Calculateur!DB90*Calculateur!DD90*VLOOKUP('Données projet'!$B$13,Paramètres!$A$1:$I$89,3,0)*0.475*44/12</f>
        <v>11.897112795097071</v>
      </c>
      <c r="DH90" s="21">
        <f>EXP(-LN(2)/2)*DH89+(1-EXP(-LN(2)/2))/(LN(2)/2)*DB90*DE90*VLOOKUP('Données projet'!$B$13,Paramètres!$A$1:$I$89,3,0)*0.475*44/12</f>
        <v>2.24032460118613E-9</v>
      </c>
      <c r="DI90" s="22">
        <f t="shared" si="69"/>
        <v>84.245699666057249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911.99999999999898</v>
      </c>
      <c r="DP90" s="17">
        <f>DO90*VLOOKUP('Données projet'!$B$14,Paramètres!$A$1:$I$89,3,0)*VLOOKUP('Données projet'!$B$14,Paramètres!$A$1:$I$89,5,0)</f>
        <v>426.81599999999946</v>
      </c>
      <c r="DQ90" s="13">
        <f t="shared" si="97"/>
        <v>97.192496986872399</v>
      </c>
      <c r="DR90" s="20">
        <f t="shared" si="70"/>
        <v>912.64813225213504</v>
      </c>
      <c r="DS90" s="59">
        <f t="shared" si="71"/>
        <v>1205.9814655854684</v>
      </c>
      <c r="DT90" s="59">
        <f ca="1">AVERAGE(OFFSET($DS$3,0,0,'Données projet'!$E$14+1,1))-AVERAGE(OFFSET($H$3,0,0,'Données projet'!$E$14+1,1))</f>
        <v>523.79180230463714</v>
      </c>
      <c r="DU90" s="59">
        <f t="shared" si="98"/>
        <v>459.3547783500515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129.3861007692451</v>
      </c>
      <c r="EB90" s="21">
        <f>EXP(-LN(2)/25)*EB89+(1-EXP(-LN(2)/25))/(LN(2)/25)*Calculateur!DW90*Calculateur!DY90*VLOOKUP('Données projet'!$B$14,Paramètres!$A$1:$I$89,3,0)*0.475*44/12</f>
        <v>11.003323690654973</v>
      </c>
      <c r="EC90" s="21">
        <f>EXP(-LN(2)/2)*EC89+(1-EXP(-LN(2)/2))/(LN(2)/2)*DW90*DZ90*VLOOKUP('Données projet'!$B$14,Paramètres!$A$1:$I$89,3,0)*0.475*44/12</f>
        <v>3.1405740217817431E-9</v>
      </c>
      <c r="ED90" s="22">
        <f t="shared" si="72"/>
        <v>140.38942446304065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367.99999999999972</v>
      </c>
      <c r="EK90" s="17">
        <f>EJ90*VLOOKUP('Données projet'!$B$15,Paramètres!$A$1:$I$89,3,0)*VLOOKUP('Données projet'!$B$15,Paramètres!$A$1:$I$89,5,0)</f>
        <v>355.92959999999977</v>
      </c>
      <c r="EL90" s="13">
        <f t="shared" si="99"/>
        <v>82.782281100458206</v>
      </c>
      <c r="EM90" s="20">
        <f t="shared" si="73"/>
        <v>764.08985958329765</v>
      </c>
      <c r="EN90" s="59">
        <f t="shared" si="74"/>
        <v>1057.423192916631</v>
      </c>
      <c r="EO90" s="59">
        <f ca="1">AVERAGE(OFFSET($EN$3,0,0,'Données projet'!$E$15+1,1))-AVERAGE(OFFSET($H$3,0,0,'Données projet'!$E$15+1,1))</f>
        <v>484.41278617935654</v>
      </c>
      <c r="EP90" s="59">
        <f t="shared" si="100"/>
        <v>467.97490540700738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52.91992468903991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52.91992468903991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367.99999999999972</v>
      </c>
      <c r="FF90" s="17">
        <f>FE90*VLOOKUP('Données projet'!$B$16,Paramètres!$A$1:$I$89,3,0)*VLOOKUP('Données projet'!$B$16,Paramètres!$A$1:$I$89,5,0)</f>
        <v>396.11519999999967</v>
      </c>
      <c r="FG90" s="13">
        <f t="shared" si="101"/>
        <v>90.988634849704994</v>
      </c>
      <c r="FH90" s="20">
        <f t="shared" si="76"/>
        <v>848.37251236323561</v>
      </c>
      <c r="FI90" s="59">
        <f t="shared" si="77"/>
        <v>1141.705845696569</v>
      </c>
      <c r="FJ90" s="59">
        <f ca="1">AVERAGE(OFFSET($FI$3,0,0,'Données projet'!$E$16+1,1))-AVERAGE(OFFSET($H$3,0,0,'Données projet'!$E$16+1,1))</f>
        <v>534.54020133239135</v>
      </c>
      <c r="FK90" s="59">
        <f t="shared" si="102"/>
        <v>515.48696069008815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58.894754895867003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58.894754895867003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5</v>
      </c>
      <c r="FZ90" s="12">
        <f>IF('Données projet'!$A$244&gt;35,FZ89+FY90-GH89,IF(A90&lt;'Données projet'!$A$244,$FW$205^A90,IF(A90='Données projet'!$A$244,'Données projet'!$B$244,FZ89+FY90-GH89)))</f>
        <v>253.99999999999994</v>
      </c>
      <c r="GA90" s="17">
        <f>FZ90*VLOOKUP('Données projet'!$B$17,Paramètres!$A$1:$I$89,3,0)*VLOOKUP('Données projet'!$B$17,Paramètres!$A$1:$I$89,5,0)</f>
        <v>241.70639999999997</v>
      </c>
      <c r="GB90" s="13">
        <f t="shared" si="103"/>
        <v>58.806519231842536</v>
      </c>
      <c r="GC90" s="20">
        <f t="shared" si="79"/>
        <v>523.39333432879232</v>
      </c>
      <c r="GD90" s="59">
        <f t="shared" si="80"/>
        <v>816.72666766212569</v>
      </c>
      <c r="GE90" s="59">
        <f ca="1">AVERAGE(OFFSET($GD$3,0,0,'Données projet'!$E$17+1,1))-AVERAGE(OFFSET($H$3,0,0,'Données projet'!$E$17+1,1))</f>
        <v>455.71329051283936</v>
      </c>
      <c r="GF90" s="59">
        <f t="shared" si="104"/>
        <v>479.3743231122258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86.635209833363461</v>
      </c>
      <c r="GM90" s="21">
        <f>EXP(-LN(2)/25)*GM89+(1-EXP(-LN(2)/25))/(LN(2)/25)*Calculateur!GH90*Calculateur!GJ90*VLOOKUP('Données projet'!$B$17,Paramètres!$A$1:$I$89,3,0)*0.475*44/12</f>
        <v>0</v>
      </c>
      <c r="GN90" s="21">
        <f>EXP(-LN(2)/2)*GN89+(1-EXP(-LN(2)/2))/(LN(2)/2)*GH90*GK90*VLOOKUP('Données projet'!$B$17,Paramètres!$A$1:$I$89,3,0)*0.475*44/12</f>
        <v>0</v>
      </c>
      <c r="GO90" s="21">
        <f t="shared" si="81"/>
        <v>86.635209833363461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367.99999999999972</v>
      </c>
      <c r="GV90" s="17">
        <f>GU90*VLOOKUP('Données projet'!$B$18,Paramètres!$A$1:$I$89,3,0)*VLOOKUP('Données projet'!$B$18,Paramètres!$A$1:$I$89,5,0)</f>
        <v>298.52159999999981</v>
      </c>
      <c r="GW90" s="13">
        <f t="shared" si="105"/>
        <v>70.866444995542437</v>
      </c>
      <c r="GX90" s="20">
        <f t="shared" si="82"/>
        <v>643.35084503390271</v>
      </c>
      <c r="GY90" s="59">
        <f t="shared" si="83"/>
        <v>936.68417836723597</v>
      </c>
      <c r="GZ90" s="59">
        <f ca="1">AVERAGE(OFFSET($GY$3,0,0,'Données projet'!$E$18+1,1))-AVERAGE(OFFSET($H$3,0,0,'Données projet'!$E$18+1,1))</f>
        <v>412.59676769258488</v>
      </c>
      <c r="HA90" s="59">
        <f t="shared" si="106"/>
        <v>399.90063795152133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44.384452965001223</v>
      </c>
      <c r="HH90" s="21">
        <f>EXP(-LN(2)/25)*HH89+(1-EXP(-LN(2)/25))/(LN(2)/25)*Calculateur!HC90*Calculateur!HE90*VLOOKUP('Données projet'!$B$18,Paramètres!$A$1:$I$89,3,0)*0.475*44/12</f>
        <v>0</v>
      </c>
      <c r="HI90" s="21">
        <f>EXP(-LN(2)/2)*HI89+(1-EXP(-LN(2)/2))/(LN(2)/2)*HC90*HF90*VLOOKUP('Données projet'!$B$18,Paramètres!$A$1:$I$89,3,0)*0.475*44/12</f>
        <v>0</v>
      </c>
      <c r="HJ90" s="22">
        <f t="shared" si="84"/>
        <v>44.384452965001223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6.4</v>
      </c>
      <c r="N91" s="13">
        <f>IF('Données projet'!$A$36&gt;35,N90+M91-V90,IF(A91&lt;'Données projet'!$A$36,$K$205^A91,IF(A91='Données projet'!$A$36,'Données projet'!$B$36,N90+M91-V90)))</f>
        <v>317.2</v>
      </c>
      <c r="O91" s="13">
        <f>N91*VLOOKUP('Données projet'!$B$9,Paramètres!$A$1:$I$89,3,0)*VLOOKUP('Données projet'!$B$9,Paramètres!$A$1:$I$89,5,0)</f>
        <v>287.00255999999996</v>
      </c>
      <c r="P91" s="13">
        <f t="shared" si="87"/>
        <v>68.444716936118553</v>
      </c>
      <c r="Q91" s="20">
        <f t="shared" si="54"/>
        <v>619.07067399707296</v>
      </c>
      <c r="R91" s="59">
        <f t="shared" si="55"/>
        <v>912.40400733040633</v>
      </c>
      <c r="S91" s="59">
        <f ca="1">AVERAGE(OFFSET($R$3,0,0,'Données projet'!$E$9+1,1))-AVERAGE(OFFSET($H$3,0,0,'Données projet'!$E$9+1,1))</f>
        <v>439.19854273764042</v>
      </c>
      <c r="T91" s="59">
        <f t="shared" si="88"/>
        <v>278.21741231699929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79.868988247483898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79.868988247483898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6.4</v>
      </c>
      <c r="AI91" s="13">
        <f>IF('Données projet'!$A$62&gt;35,AI90+AH91-AQ90,IF(A91&lt;'Données projet'!$A$62,$AF$205^A91,IF(A91='Données projet'!$A$62,'Données projet'!$B$62,AI90+AH91-AQ90)))</f>
        <v>317.2</v>
      </c>
      <c r="AJ91" s="13">
        <f>AI91*VLOOKUP('Données projet'!$B$10,Paramètres!$A$1:$I$89,3,0)*VLOOKUP('Données projet'!$B$10,Paramètres!$A$1:$I$89,5,0)</f>
        <v>321.64080000000001</v>
      </c>
      <c r="AK91" s="13">
        <f t="shared" si="89"/>
        <v>75.694652325793228</v>
      </c>
      <c r="AL91" s="20">
        <f t="shared" si="58"/>
        <v>692.0259128007566</v>
      </c>
      <c r="AM91" s="59">
        <f t="shared" si="59"/>
        <v>985.35924613408997</v>
      </c>
      <c r="AN91" s="59">
        <f ca="1">AVERAGE(OFFSET($AM$3,0,0,'Données projet'!$E$10+1,1))-AVERAGE(OFFSET($H$3,0,0,'Données projet'!$E$10+1,1))</f>
        <v>487.18832528146936</v>
      </c>
      <c r="AO91" s="59">
        <f t="shared" si="90"/>
        <v>306.61893266146666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89.508348898042286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89.508348898042286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369.00000000000023</v>
      </c>
      <c r="BE91" s="13">
        <f>BD91*VLOOKUP('Données projet'!$B$11,Paramètres!$A$1:$I$89,3,0)*VLOOKUP('Données projet'!$B$11,Paramètres!$A$1:$I$89,5,0)</f>
        <v>333.87120000000021</v>
      </c>
      <c r="BF91" s="13">
        <f t="shared" si="91"/>
        <v>78.23236011137638</v>
      </c>
      <c r="BG91" s="20">
        <f t="shared" si="61"/>
        <v>717.74703386064755</v>
      </c>
      <c r="BH91" s="59">
        <f t="shared" si="62"/>
        <v>1011.0803671939809</v>
      </c>
      <c r="BI91" s="59">
        <f ca="1">AVERAGE(OFFSET($BH$3,0,0,'Données projet'!$E$11+1,1))-AVERAGE(OFFSET($H$3,0,0,'Données projet'!$E$11+1,1))</f>
        <v>436.23918637269577</v>
      </c>
      <c r="BJ91" s="59">
        <f t="shared" si="92"/>
        <v>611.43967996341894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3.3517695051417546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3.3517695051417546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224.00000000000006</v>
      </c>
      <c r="BZ91" s="13">
        <f>BY91*VLOOKUP('Données projet'!$B$12,Paramètres!$A$1:$I$89,3,0)*VLOOKUP('Données projet'!$B$12,Paramètres!$A$1:$I$89,5,0)</f>
        <v>195.68640000000008</v>
      </c>
      <c r="CA91" s="13">
        <f t="shared" si="93"/>
        <v>48.794969360985156</v>
      </c>
      <c r="CB91" s="20">
        <f t="shared" si="64"/>
        <v>425.8050516370493</v>
      </c>
      <c r="CC91" s="59">
        <f t="shared" si="65"/>
        <v>719.13838497038262</v>
      </c>
      <c r="CD91" s="59">
        <f ca="1">AVERAGE(OFFSET($CC$3,0,0,'Données projet'!$E$12+1,1))-AVERAGE(OFFSET($H$3,0,0,'Données projet'!$E$12+1,1))</f>
        <v>304.32767345253382</v>
      </c>
      <c r="CE91" s="59">
        <f t="shared" si="94"/>
        <v>427.16091343339173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36.195716323206511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36.195716323206511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739.99999999999966</v>
      </c>
      <c r="CU91" s="17">
        <f>CT91*VLOOKUP('Données projet'!$B$13,Paramètres!$A$1:$I$89,3,0)*VLOOKUP('Données projet'!$B$13,Paramètres!$A$1:$I$89,5,0)</f>
        <v>413.65999999999985</v>
      </c>
      <c r="CV91" s="13">
        <f t="shared" si="95"/>
        <v>94.540585122244352</v>
      </c>
      <c r="CW91" s="20">
        <f t="shared" si="67"/>
        <v>885.11601908790863</v>
      </c>
      <c r="CX91" s="59">
        <f t="shared" si="68"/>
        <v>1178.4493524212419</v>
      </c>
      <c r="CY91" s="59">
        <f ca="1">AVERAGE(OFFSET($CX$3,0,0,'Données projet'!$E$13+1,1))-AVERAGE(OFFSET($H$3,0,0,'Données projet'!$E$13+1,1))</f>
        <v>555.15881087162279</v>
      </c>
      <c r="CZ91" s="59">
        <f t="shared" si="96"/>
        <v>668.20427590250733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70.929875208504939</v>
      </c>
      <c r="DG91" s="21">
        <f>EXP(-LN(2)/25)*DG90+(1-EXP(-LN(2)/25))/(LN(2)/25)*Calculateur!DB91*Calculateur!DD91*VLOOKUP('Données projet'!$B$13,Paramètres!$A$1:$I$89,3,0)*0.475*44/12</f>
        <v>11.57178562007317</v>
      </c>
      <c r="DH91" s="21">
        <f>EXP(-LN(2)/2)*DH90+(1-EXP(-LN(2)/2))/(LN(2)/2)*DB91*DE91*VLOOKUP('Données projet'!$B$13,Paramètres!$A$1:$I$89,3,0)*0.475*44/12</f>
        <v>1.5841487175577602E-9</v>
      </c>
      <c r="DI91" s="22">
        <f t="shared" si="69"/>
        <v>82.501660830162265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911.99999999999898</v>
      </c>
      <c r="DP91" s="17">
        <f>DO91*VLOOKUP('Données projet'!$B$14,Paramètres!$A$1:$I$89,3,0)*VLOOKUP('Données projet'!$B$14,Paramètres!$A$1:$I$89,5,0)</f>
        <v>426.81599999999946</v>
      </c>
      <c r="DQ91" s="13">
        <f t="shared" si="97"/>
        <v>97.192496986872399</v>
      </c>
      <c r="DR91" s="20">
        <f t="shared" si="70"/>
        <v>912.64813225213504</v>
      </c>
      <c r="DS91" s="59">
        <f t="shared" si="71"/>
        <v>1205.9814655854684</v>
      </c>
      <c r="DT91" s="59">
        <f ca="1">AVERAGE(OFFSET($DS$3,0,0,'Données projet'!$E$14+1,1))-AVERAGE(OFFSET($H$3,0,0,'Données projet'!$E$14+1,1))</f>
        <v>523.79180230463714</v>
      </c>
      <c r="DU91" s="59">
        <f t="shared" si="98"/>
        <v>459.3547783500515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126.8489182508892</v>
      </c>
      <c r="EB91" s="21">
        <f>EXP(-LN(2)/25)*EB90+(1-EXP(-LN(2)/25))/(LN(2)/25)*Calculateur!DW91*Calculateur!DY91*VLOOKUP('Données projet'!$B$14,Paramètres!$A$1:$I$89,3,0)*0.475*44/12</f>
        <v>10.702437225694368</v>
      </c>
      <c r="EC91" s="21">
        <f>EXP(-LN(2)/2)*EC90+(1-EXP(-LN(2)/2))/(LN(2)/2)*DW91*DZ91*VLOOKUP('Données projet'!$B$14,Paramètres!$A$1:$I$89,3,0)*0.475*44/12</f>
        <v>2.2207211876201785E-9</v>
      </c>
      <c r="ED91" s="22">
        <f t="shared" si="72"/>
        <v>137.55135547880431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367.99999999999972</v>
      </c>
      <c r="EK91" s="17">
        <f>EJ91*VLOOKUP('Données projet'!$B$15,Paramètres!$A$1:$I$89,3,0)*VLOOKUP('Données projet'!$B$15,Paramètres!$A$1:$I$89,5,0)</f>
        <v>355.92959999999977</v>
      </c>
      <c r="EL91" s="13">
        <f t="shared" si="99"/>
        <v>82.782281100458206</v>
      </c>
      <c r="EM91" s="20">
        <f t="shared" si="73"/>
        <v>764.08985958329765</v>
      </c>
      <c r="EN91" s="59">
        <f t="shared" si="74"/>
        <v>1057.423192916631</v>
      </c>
      <c r="EO91" s="59">
        <f ca="1">AVERAGE(OFFSET($EN$3,0,0,'Données projet'!$E$15+1,1))-AVERAGE(OFFSET($H$3,0,0,'Données projet'!$E$15+1,1))</f>
        <v>484.41278617935654</v>
      </c>
      <c r="EP91" s="59">
        <f t="shared" si="100"/>
        <v>467.97490540700738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51.882197243854712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51.882197243854712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367.99999999999972</v>
      </c>
      <c r="FF91" s="17">
        <f>FE91*VLOOKUP('Données projet'!$B$16,Paramètres!$A$1:$I$89,3,0)*VLOOKUP('Données projet'!$B$16,Paramètres!$A$1:$I$89,5,0)</f>
        <v>396.11519999999967</v>
      </c>
      <c r="FG91" s="13">
        <f t="shared" si="101"/>
        <v>90.988634849704994</v>
      </c>
      <c r="FH91" s="20">
        <f t="shared" si="76"/>
        <v>848.37251236323561</v>
      </c>
      <c r="FI91" s="59">
        <f t="shared" si="77"/>
        <v>1141.705845696569</v>
      </c>
      <c r="FJ91" s="59">
        <f ca="1">AVERAGE(OFFSET($FI$3,0,0,'Données projet'!$E$16+1,1))-AVERAGE(OFFSET($H$3,0,0,'Données projet'!$E$16+1,1))</f>
        <v>534.54020133239135</v>
      </c>
      <c r="FK91" s="59">
        <f t="shared" si="102"/>
        <v>515.48696069008815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57.739864674612512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57.739864674612512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5</v>
      </c>
      <c r="FZ91" s="12">
        <f>IF('Données projet'!$A$244&gt;35,FZ90+FY91-GH90,IF(A91&lt;'Données projet'!$A$244,$FW$205^A91,IF(A91='Données projet'!$A$244,'Données projet'!$B$244,FZ90+FY91-GH90)))</f>
        <v>258.99999999999994</v>
      </c>
      <c r="GA91" s="17">
        <f>FZ91*VLOOKUP('Données projet'!$B$17,Paramètres!$A$1:$I$89,3,0)*VLOOKUP('Données projet'!$B$17,Paramètres!$A$1:$I$89,5,0)</f>
        <v>246.46439999999993</v>
      </c>
      <c r="GB91" s="13">
        <f t="shared" si="103"/>
        <v>59.828218865086768</v>
      </c>
      <c r="GC91" s="20">
        <f t="shared" si="79"/>
        <v>533.45964452335932</v>
      </c>
      <c r="GD91" s="59">
        <f t="shared" si="80"/>
        <v>826.79297785669269</v>
      </c>
      <c r="GE91" s="59">
        <f ca="1">AVERAGE(OFFSET($GD$3,0,0,'Données projet'!$E$17+1,1))-AVERAGE(OFFSET($H$3,0,0,'Données projet'!$E$17+1,1))</f>
        <v>455.71329051283936</v>
      </c>
      <c r="GF91" s="59">
        <f t="shared" si="104"/>
        <v>479.3743231122258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84.936346210791456</v>
      </c>
      <c r="GM91" s="21">
        <f>EXP(-LN(2)/25)*GM90+(1-EXP(-LN(2)/25))/(LN(2)/25)*Calculateur!GH91*Calculateur!GJ91*VLOOKUP('Données projet'!$B$17,Paramètres!$A$1:$I$89,3,0)*0.475*44/12</f>
        <v>0</v>
      </c>
      <c r="GN91" s="21">
        <f>EXP(-LN(2)/2)*GN90+(1-EXP(-LN(2)/2))/(LN(2)/2)*GH91*GK91*VLOOKUP('Données projet'!$B$17,Paramètres!$A$1:$I$89,3,0)*0.475*44/12</f>
        <v>0</v>
      </c>
      <c r="GO91" s="21">
        <f t="shared" si="81"/>
        <v>84.936346210791456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367.99999999999972</v>
      </c>
      <c r="GV91" s="17">
        <f>GU91*VLOOKUP('Données projet'!$B$18,Paramètres!$A$1:$I$89,3,0)*VLOOKUP('Données projet'!$B$18,Paramètres!$A$1:$I$89,5,0)</f>
        <v>298.52159999999981</v>
      </c>
      <c r="GW91" s="13">
        <f t="shared" si="105"/>
        <v>70.866444995542437</v>
      </c>
      <c r="GX91" s="20">
        <f t="shared" si="82"/>
        <v>643.35084503390271</v>
      </c>
      <c r="GY91" s="59">
        <f t="shared" si="83"/>
        <v>936.68417836723597</v>
      </c>
      <c r="GZ91" s="59">
        <f ca="1">AVERAGE(OFFSET($GY$3,0,0,'Données projet'!$E$18+1,1))-AVERAGE(OFFSET($H$3,0,0,'Données projet'!$E$18+1,1))</f>
        <v>412.59676769258488</v>
      </c>
      <c r="HA91" s="59">
        <f t="shared" si="106"/>
        <v>399.90063795152133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43.514100914200739</v>
      </c>
      <c r="HH91" s="21">
        <f>EXP(-LN(2)/25)*HH90+(1-EXP(-LN(2)/25))/(LN(2)/25)*Calculateur!HC91*Calculateur!HE91*VLOOKUP('Données projet'!$B$18,Paramètres!$A$1:$I$89,3,0)*0.475*44/12</f>
        <v>0</v>
      </c>
      <c r="HI91" s="21">
        <f>EXP(-LN(2)/2)*HI90+(1-EXP(-LN(2)/2))/(LN(2)/2)*HC91*HF91*VLOOKUP('Données projet'!$B$18,Paramètres!$A$1:$I$89,3,0)*0.475*44/12</f>
        <v>0</v>
      </c>
      <c r="HJ91" s="22">
        <f t="shared" si="84"/>
        <v>43.514100914200739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6.4</v>
      </c>
      <c r="N92" s="13">
        <f>IF('Données projet'!$A$36&gt;35,N91+M92-V91,IF(A92&lt;'Données projet'!$A$36,$K$205^A92,IF(A92='Données projet'!$A$36,'Données projet'!$B$36,N91+M92-V91)))</f>
        <v>323.59999999999997</v>
      </c>
      <c r="O92" s="13">
        <f>N92*VLOOKUP('Données projet'!$B$9,Paramètres!$A$1:$I$89,3,0)*VLOOKUP('Données projet'!$B$9,Paramètres!$A$1:$I$89,5,0)</f>
        <v>292.79327999999992</v>
      </c>
      <c r="P92" s="13">
        <f t="shared" si="87"/>
        <v>69.663526761731433</v>
      </c>
      <c r="Q92" s="20">
        <f t="shared" si="54"/>
        <v>631.27893844334869</v>
      </c>
      <c r="R92" s="59">
        <f t="shared" si="55"/>
        <v>924.61227177668206</v>
      </c>
      <c r="S92" s="59">
        <f ca="1">AVERAGE(OFFSET($R$3,0,0,'Données projet'!$E$9+1,1))-AVERAGE(OFFSET($H$3,0,0,'Données projet'!$E$9+1,1))</f>
        <v>439.19854273764042</v>
      </c>
      <c r="T92" s="59">
        <f t="shared" si="88"/>
        <v>278.21741231699929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78.302806103223332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78.302806103223332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6.4</v>
      </c>
      <c r="AI92" s="13">
        <f>IF('Données projet'!$A$62&gt;35,AI91+AH92-AQ91,IF(A92&lt;'Données projet'!$A$62,$AF$205^A92,IF(A92='Données projet'!$A$62,'Données projet'!$B$62,AI91+AH92-AQ91)))</f>
        <v>323.59999999999997</v>
      </c>
      <c r="AJ92" s="13">
        <f>AI92*VLOOKUP('Données projet'!$B$10,Paramètres!$A$1:$I$89,3,0)*VLOOKUP('Données projet'!$B$10,Paramètres!$A$1:$I$89,5,0)</f>
        <v>328.13039999999995</v>
      </c>
      <c r="AK92" s="13">
        <f t="shared" si="89"/>
        <v>77.042563313388285</v>
      </c>
      <c r="AL92" s="20">
        <f t="shared" si="58"/>
        <v>705.67624443748446</v>
      </c>
      <c r="AM92" s="59">
        <f t="shared" si="59"/>
        <v>999.00957777081771</v>
      </c>
      <c r="AN92" s="59">
        <f ca="1">AVERAGE(OFFSET($AM$3,0,0,'Données projet'!$E$10+1,1))-AVERAGE(OFFSET($H$3,0,0,'Données projet'!$E$10+1,1))</f>
        <v>487.18832528146936</v>
      </c>
      <c r="AO92" s="59">
        <f t="shared" si="90"/>
        <v>306.61893266146666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87.753144770853723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87.753144770853723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369.00000000000023</v>
      </c>
      <c r="BE92" s="13">
        <f>BD92*VLOOKUP('Données projet'!$B$11,Paramètres!$A$1:$I$89,3,0)*VLOOKUP('Données projet'!$B$11,Paramètres!$A$1:$I$89,5,0)</f>
        <v>333.87120000000021</v>
      </c>
      <c r="BF92" s="13">
        <f t="shared" si="91"/>
        <v>78.23236011137638</v>
      </c>
      <c r="BG92" s="20">
        <f t="shared" si="61"/>
        <v>717.74703386064755</v>
      </c>
      <c r="BH92" s="59">
        <f t="shared" si="62"/>
        <v>1011.0803671939809</v>
      </c>
      <c r="BI92" s="59">
        <f ca="1">AVERAGE(OFFSET($BH$3,0,0,'Données projet'!$E$11+1,1))-AVERAGE(OFFSET($H$3,0,0,'Données projet'!$E$11+1,1))</f>
        <v>436.23918637269577</v>
      </c>
      <c r="BJ92" s="59">
        <f t="shared" si="92"/>
        <v>611.43967996341894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3.2860433495234576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3.2860433495234576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224.00000000000006</v>
      </c>
      <c r="BZ92" s="13">
        <f>BY92*VLOOKUP('Données projet'!$B$12,Paramètres!$A$1:$I$89,3,0)*VLOOKUP('Données projet'!$B$12,Paramètres!$A$1:$I$89,5,0)</f>
        <v>195.68640000000008</v>
      </c>
      <c r="CA92" s="13">
        <f t="shared" si="93"/>
        <v>48.794969360985156</v>
      </c>
      <c r="CB92" s="20">
        <f t="shared" si="64"/>
        <v>425.8050516370493</v>
      </c>
      <c r="CC92" s="59">
        <f t="shared" si="65"/>
        <v>719.13838497038262</v>
      </c>
      <c r="CD92" s="59">
        <f ca="1">AVERAGE(OFFSET($CC$3,0,0,'Données projet'!$E$12+1,1))-AVERAGE(OFFSET($H$3,0,0,'Données projet'!$E$12+1,1))</f>
        <v>304.32767345253382</v>
      </c>
      <c r="CE92" s="59">
        <f t="shared" si="94"/>
        <v>427.16091343339173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35.485940403315446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35.485940403315446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739.99999999999966</v>
      </c>
      <c r="CU92" s="17">
        <f>CT92*VLOOKUP('Données projet'!$B$13,Paramètres!$A$1:$I$89,3,0)*VLOOKUP('Données projet'!$B$13,Paramètres!$A$1:$I$89,5,0)</f>
        <v>413.65999999999985</v>
      </c>
      <c r="CV92" s="13">
        <f t="shared" si="95"/>
        <v>94.540585122244352</v>
      </c>
      <c r="CW92" s="20">
        <f t="shared" si="67"/>
        <v>885.11601908790863</v>
      </c>
      <c r="CX92" s="59">
        <f t="shared" si="68"/>
        <v>1178.4493524212419</v>
      </c>
      <c r="CY92" s="59">
        <f ca="1">AVERAGE(OFFSET($CX$3,0,0,'Données projet'!$E$13+1,1))-AVERAGE(OFFSET($H$3,0,0,'Données projet'!$E$13+1,1))</f>
        <v>555.15881087162279</v>
      </c>
      <c r="CZ92" s="59">
        <f t="shared" si="96"/>
        <v>668.20427590250733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69.538983618618175</v>
      </c>
      <c r="DG92" s="21">
        <f>EXP(-LN(2)/25)*DG91+(1-EXP(-LN(2)/25))/(LN(2)/25)*Calculateur!DB92*Calculateur!DD92*VLOOKUP('Données projet'!$B$13,Paramètres!$A$1:$I$89,3,0)*0.475*44/12</f>
        <v>11.255354533758512</v>
      </c>
      <c r="DH92" s="21">
        <f>EXP(-LN(2)/2)*DH91+(1-EXP(-LN(2)/2))/(LN(2)/2)*DB92*DE92*VLOOKUP('Données projet'!$B$13,Paramètres!$A$1:$I$89,3,0)*0.475*44/12</f>
        <v>1.120162300593065E-9</v>
      </c>
      <c r="DI92" s="22">
        <f t="shared" si="69"/>
        <v>80.794338153496838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911.99999999999898</v>
      </c>
      <c r="DP92" s="17">
        <f>DO92*VLOOKUP('Données projet'!$B$14,Paramètres!$A$1:$I$89,3,0)*VLOOKUP('Données projet'!$B$14,Paramètres!$A$1:$I$89,5,0)</f>
        <v>426.81599999999946</v>
      </c>
      <c r="DQ92" s="13">
        <f t="shared" si="97"/>
        <v>97.192496986872399</v>
      </c>
      <c r="DR92" s="20">
        <f t="shared" si="70"/>
        <v>912.64813225213504</v>
      </c>
      <c r="DS92" s="59">
        <f t="shared" si="71"/>
        <v>1205.9814655854684</v>
      </c>
      <c r="DT92" s="59">
        <f ca="1">AVERAGE(OFFSET($DS$3,0,0,'Données projet'!$E$14+1,1))-AVERAGE(OFFSET($H$3,0,0,'Données projet'!$E$14+1,1))</f>
        <v>523.79180230463714</v>
      </c>
      <c r="DU92" s="59">
        <f t="shared" si="98"/>
        <v>459.3547783500515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124.36148833418972</v>
      </c>
      <c r="EB92" s="21">
        <f>EXP(-LN(2)/25)*EB91+(1-EXP(-LN(2)/25))/(LN(2)/25)*Calculateur!DW92*Calculateur!DY92*VLOOKUP('Données projet'!$B$14,Paramètres!$A$1:$I$89,3,0)*0.475*44/12</f>
        <v>10.409778516941042</v>
      </c>
      <c r="EC92" s="21">
        <f>EXP(-LN(2)/2)*EC91+(1-EXP(-LN(2)/2))/(LN(2)/2)*DW92*DZ92*VLOOKUP('Données projet'!$B$14,Paramètres!$A$1:$I$89,3,0)*0.475*44/12</f>
        <v>1.5702870108908715E-9</v>
      </c>
      <c r="ED92" s="22">
        <f t="shared" si="72"/>
        <v>134.77126685270105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367.99999999999972</v>
      </c>
      <c r="EK92" s="17">
        <f>EJ92*VLOOKUP('Données projet'!$B$15,Paramètres!$A$1:$I$89,3,0)*VLOOKUP('Données projet'!$B$15,Paramètres!$A$1:$I$89,5,0)</f>
        <v>355.92959999999977</v>
      </c>
      <c r="EL92" s="13">
        <f t="shared" si="99"/>
        <v>82.782281100458206</v>
      </c>
      <c r="EM92" s="20">
        <f t="shared" si="73"/>
        <v>764.08985958329765</v>
      </c>
      <c r="EN92" s="59">
        <f t="shared" si="74"/>
        <v>1057.423192916631</v>
      </c>
      <c r="EO92" s="59">
        <f ca="1">AVERAGE(OFFSET($EN$3,0,0,'Données projet'!$E$15+1,1))-AVERAGE(OFFSET($H$3,0,0,'Données projet'!$E$15+1,1))</f>
        <v>484.41278617935654</v>
      </c>
      <c r="EP92" s="59">
        <f t="shared" si="100"/>
        <v>467.97490540700738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50.864819000918352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50.864819000918352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367.99999999999972</v>
      </c>
      <c r="FF92" s="17">
        <f>FE92*VLOOKUP('Données projet'!$B$16,Paramètres!$A$1:$I$89,3,0)*VLOOKUP('Données projet'!$B$16,Paramètres!$A$1:$I$89,5,0)</f>
        <v>396.11519999999967</v>
      </c>
      <c r="FG92" s="13">
        <f t="shared" si="101"/>
        <v>90.988634849704994</v>
      </c>
      <c r="FH92" s="20">
        <f t="shared" si="76"/>
        <v>848.37251236323561</v>
      </c>
      <c r="FI92" s="59">
        <f t="shared" si="77"/>
        <v>1141.705845696569</v>
      </c>
      <c r="FJ92" s="59">
        <f ca="1">AVERAGE(OFFSET($FI$3,0,0,'Données projet'!$E$16+1,1))-AVERAGE(OFFSET($H$3,0,0,'Données projet'!$E$16+1,1))</f>
        <v>534.54020133239135</v>
      </c>
      <c r="FK92" s="59">
        <f t="shared" si="102"/>
        <v>515.48696069008815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56.607621146183341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56.607621146183341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5</v>
      </c>
      <c r="FZ92" s="12">
        <f>IF('Données projet'!$A$244&gt;35,FZ91+FY92-GH91,IF(A92&lt;'Données projet'!$A$244,$FW$205^A92,IF(A92='Données projet'!$A$244,'Données projet'!$B$244,FZ91+FY92-GH91)))</f>
        <v>263.99999999999994</v>
      </c>
      <c r="GA92" s="17">
        <f>FZ92*VLOOKUP('Données projet'!$B$17,Paramètres!$A$1:$I$89,3,0)*VLOOKUP('Données projet'!$B$17,Paramètres!$A$1:$I$89,5,0)</f>
        <v>251.22239999999996</v>
      </c>
      <c r="GB92" s="13">
        <f t="shared" si="103"/>
        <v>60.847625059749809</v>
      </c>
      <c r="GC92" s="20">
        <f t="shared" si="79"/>
        <v>543.52196031239748</v>
      </c>
      <c r="GD92" s="59">
        <f t="shared" si="80"/>
        <v>836.85529364573085</v>
      </c>
      <c r="GE92" s="59">
        <f ca="1">AVERAGE(OFFSET($GD$3,0,0,'Données projet'!$E$17+1,1))-AVERAGE(OFFSET($H$3,0,0,'Données projet'!$E$17+1,1))</f>
        <v>455.71329051283936</v>
      </c>
      <c r="GF92" s="59">
        <f t="shared" si="104"/>
        <v>479.3743231122258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83.270796267653594</v>
      </c>
      <c r="GM92" s="21">
        <f>EXP(-LN(2)/25)*GM91+(1-EXP(-LN(2)/25))/(LN(2)/25)*Calculateur!GH92*Calculateur!GJ92*VLOOKUP('Données projet'!$B$17,Paramètres!$A$1:$I$89,3,0)*0.475*44/12</f>
        <v>0</v>
      </c>
      <c r="GN92" s="21">
        <f>EXP(-LN(2)/2)*GN91+(1-EXP(-LN(2)/2))/(LN(2)/2)*GH92*GK92*VLOOKUP('Données projet'!$B$17,Paramètres!$A$1:$I$89,3,0)*0.475*44/12</f>
        <v>0</v>
      </c>
      <c r="GO92" s="21">
        <f t="shared" si="81"/>
        <v>83.270796267653594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367.99999999999972</v>
      </c>
      <c r="GV92" s="17">
        <f>GU92*VLOOKUP('Données projet'!$B$18,Paramètres!$A$1:$I$89,3,0)*VLOOKUP('Données projet'!$B$18,Paramètres!$A$1:$I$89,5,0)</f>
        <v>298.52159999999981</v>
      </c>
      <c r="GW92" s="13">
        <f t="shared" si="105"/>
        <v>70.866444995542437</v>
      </c>
      <c r="GX92" s="20">
        <f t="shared" si="82"/>
        <v>643.35084503390271</v>
      </c>
      <c r="GY92" s="59">
        <f t="shared" si="83"/>
        <v>936.68417836723597</v>
      </c>
      <c r="GZ92" s="59">
        <f ca="1">AVERAGE(OFFSET($GY$3,0,0,'Données projet'!$E$18+1,1))-AVERAGE(OFFSET($H$3,0,0,'Données projet'!$E$18+1,1))</f>
        <v>412.59676769258488</v>
      </c>
      <c r="HA92" s="59">
        <f t="shared" si="106"/>
        <v>399.90063795152133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42.660815936254117</v>
      </c>
      <c r="HH92" s="21">
        <f>EXP(-LN(2)/25)*HH91+(1-EXP(-LN(2)/25))/(LN(2)/25)*Calculateur!HC92*Calculateur!HE92*VLOOKUP('Données projet'!$B$18,Paramètres!$A$1:$I$89,3,0)*0.475*44/12</f>
        <v>0</v>
      </c>
      <c r="HI92" s="21">
        <f>EXP(-LN(2)/2)*HI91+(1-EXP(-LN(2)/2))/(LN(2)/2)*HC92*HF92*VLOOKUP('Données projet'!$B$18,Paramètres!$A$1:$I$89,3,0)*0.475*44/12</f>
        <v>0</v>
      </c>
      <c r="HJ92" s="22">
        <f t="shared" si="84"/>
        <v>42.660815936254117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330</v>
      </c>
      <c r="L93" s="12">
        <f>VLOOKUP(A93,'Données projet'!$A$35:$I$55,9,0)</f>
        <v>6.4</v>
      </c>
      <c r="M93" s="12">
        <f t="array" ref="M93">INDEX(L:L,MIN(IF(ISNUMBER(L93:L289),ROW(L93:L289),"")))</f>
        <v>6.4</v>
      </c>
      <c r="N93" s="13">
        <f>IF('Données projet'!$A$36&gt;35,N92+M93-V92,IF(A93&lt;'Données projet'!$A$36,$K$205^A93,IF(A93='Données projet'!$A$36,'Données projet'!$B$36,N92+M93-V92)))</f>
        <v>329.99999999999994</v>
      </c>
      <c r="O93" s="13">
        <f>N93*VLOOKUP('Données projet'!$B$9,Paramètres!$A$1:$I$89,3,0)*VLOOKUP('Données projet'!$B$9,Paramètres!$A$1:$I$89,5,0)</f>
        <v>298.58399999999995</v>
      </c>
      <c r="P93" s="13">
        <f t="shared" si="87"/>
        <v>70.879533797607607</v>
      </c>
      <c r="Q93" s="20">
        <f t="shared" si="54"/>
        <v>643.48232136416652</v>
      </c>
      <c r="R93" s="59">
        <f t="shared" si="55"/>
        <v>936.81565469749989</v>
      </c>
      <c r="S93" s="59">
        <f ca="1">AVERAGE(OFFSET($R$3,0,0,'Données projet'!$E$9+1,1))-AVERAGE(OFFSET($H$3,0,0,'Données projet'!$E$9+1,1))</f>
        <v>439.19854273764042</v>
      </c>
      <c r="T93" s="59">
        <f t="shared" si="88"/>
        <v>278.21741231699929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28</v>
      </c>
      <c r="W93" s="16">
        <f>IF(ISNA(VLOOKUP(A93,'Données projet'!$A$35:$I$55,5,0)),0%,VLOOKUP(A93,'Données projet'!$A$35:$I$55,5,0)*VLOOKUP('Données projet'!$B$9,Paramètres!$A$1:$I$89,7,0))</f>
        <v>0.43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88.810100212327953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88.810100212327953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330</v>
      </c>
      <c r="AG93" s="12">
        <f>VLOOKUP(A93,'Données projet'!$A$61:$I$81,9,0)</f>
        <v>6.4</v>
      </c>
      <c r="AH93" s="12">
        <f t="array" ref="AH93">INDEX(AG:AG,MIN(IF(ISNUMBER(AG93:AG289),ROW(AG93:AG289),"")))</f>
        <v>6.4</v>
      </c>
      <c r="AI93" s="13">
        <f>IF('Données projet'!$A$62&gt;35,AI92+AH93-AQ92,IF(A93&lt;'Données projet'!$A$62,$AF$205^A93,IF(A93='Données projet'!$A$62,'Données projet'!$B$62,AI92+AH93-AQ92)))</f>
        <v>329.99999999999994</v>
      </c>
      <c r="AJ93" s="13">
        <f>AI93*VLOOKUP('Données projet'!$B$10,Paramètres!$A$1:$I$89,3,0)*VLOOKUP('Données projet'!$B$10,Paramètres!$A$1:$I$89,5,0)</f>
        <v>334.61999999999995</v>
      </c>
      <c r="AK93" s="13">
        <f t="shared" si="89"/>
        <v>78.387374628661505</v>
      </c>
      <c r="AL93" s="20">
        <f t="shared" si="58"/>
        <v>719.32117747825203</v>
      </c>
      <c r="AM93" s="59">
        <f t="shared" si="59"/>
        <v>1012.6545108115854</v>
      </c>
      <c r="AN93" s="59">
        <f ca="1">AVERAGE(OFFSET($AM$3,0,0,'Données projet'!$E$10+1,1))-AVERAGE(OFFSET($H$3,0,0,'Données projet'!$E$10+1,1))</f>
        <v>487.18832528146936</v>
      </c>
      <c r="AO93" s="59">
        <f t="shared" si="90"/>
        <v>306.61893266146666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28</v>
      </c>
      <c r="AR93" s="16">
        <f>IF(ISNA(VLOOKUP(A93,'Données projet'!$A$61:$I$81,5,0)),0%,VLOOKUP(A93,'Données projet'!$A$61:$I$81,5,0)*VLOOKUP('Données projet'!$B$10,Paramètres!$A$1:$I$89,7,0))</f>
        <v>0.43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99.528560582781324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99.528560582781324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369.00000000000023</v>
      </c>
      <c r="BE93" s="13">
        <f>BD93*VLOOKUP('Données projet'!$B$11,Paramètres!$A$1:$I$89,3,0)*VLOOKUP('Données projet'!$B$11,Paramètres!$A$1:$I$89,5,0)</f>
        <v>333.87120000000021</v>
      </c>
      <c r="BF93" s="13">
        <f t="shared" si="91"/>
        <v>78.23236011137638</v>
      </c>
      <c r="BG93" s="20">
        <f t="shared" si="61"/>
        <v>717.74703386064755</v>
      </c>
      <c r="BH93" s="59">
        <f t="shared" si="62"/>
        <v>1011.0803671939809</v>
      </c>
      <c r="BI93" s="59">
        <f ca="1">AVERAGE(OFFSET($BH$3,0,0,'Données projet'!$E$11+1,1))-AVERAGE(OFFSET($H$3,0,0,'Données projet'!$E$11+1,1))</f>
        <v>436.23918637269577</v>
      </c>
      <c r="BJ93" s="59">
        <f t="shared" si="92"/>
        <v>611.43967996341894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3.2216060437278387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3.2216060437278387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224.00000000000006</v>
      </c>
      <c r="BZ93" s="13">
        <f>BY93*VLOOKUP('Données projet'!$B$12,Paramètres!$A$1:$I$89,3,0)*VLOOKUP('Données projet'!$B$12,Paramètres!$A$1:$I$89,5,0)</f>
        <v>195.68640000000008</v>
      </c>
      <c r="CA93" s="13">
        <f t="shared" si="93"/>
        <v>48.794969360985156</v>
      </c>
      <c r="CB93" s="20">
        <f t="shared" si="64"/>
        <v>425.8050516370493</v>
      </c>
      <c r="CC93" s="59">
        <f t="shared" si="65"/>
        <v>719.13838497038262</v>
      </c>
      <c r="CD93" s="59">
        <f ca="1">AVERAGE(OFFSET($CC$3,0,0,'Données projet'!$E$12+1,1))-AVERAGE(OFFSET($H$3,0,0,'Données projet'!$E$12+1,1))</f>
        <v>304.32767345253382</v>
      </c>
      <c r="CE93" s="59">
        <f t="shared" si="94"/>
        <v>427.16091343339173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34.790082756292882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34.790082756292882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739.99999999999966</v>
      </c>
      <c r="CU93" s="17">
        <f>CT93*VLOOKUP('Données projet'!$B$13,Paramètres!$A$1:$I$89,3,0)*VLOOKUP('Données projet'!$B$13,Paramètres!$A$1:$I$89,5,0)</f>
        <v>413.65999999999985</v>
      </c>
      <c r="CV93" s="13">
        <f t="shared" si="95"/>
        <v>94.540585122244352</v>
      </c>
      <c r="CW93" s="20">
        <f t="shared" si="67"/>
        <v>885.11601908790863</v>
      </c>
      <c r="CX93" s="59">
        <f t="shared" si="68"/>
        <v>1178.4493524212419</v>
      </c>
      <c r="CY93" s="59">
        <f ca="1">AVERAGE(OFFSET($CX$3,0,0,'Données projet'!$E$13+1,1))-AVERAGE(OFFSET($H$3,0,0,'Données projet'!$E$13+1,1))</f>
        <v>555.15881087162279</v>
      </c>
      <c r="CZ93" s="59">
        <f t="shared" si="96"/>
        <v>668.20427590250733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68.175366564448993</v>
      </c>
      <c r="DG93" s="21">
        <f>EXP(-LN(2)/25)*DG92+(1-EXP(-LN(2)/25))/(LN(2)/25)*Calculateur!DB93*Calculateur!DD93*VLOOKUP('Données projet'!$B$13,Paramètres!$A$1:$I$89,3,0)*0.475*44/12</f>
        <v>10.947576272139514</v>
      </c>
      <c r="DH93" s="21">
        <f>EXP(-LN(2)/2)*DH92+(1-EXP(-LN(2)/2))/(LN(2)/2)*DB93*DE93*VLOOKUP('Données projet'!$B$13,Paramètres!$A$1:$I$89,3,0)*0.475*44/12</f>
        <v>7.9207435877888012E-10</v>
      </c>
      <c r="DI93" s="22">
        <f t="shared" si="69"/>
        <v>79.122942837380577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911.99999999999898</v>
      </c>
      <c r="DP93" s="17">
        <f>DO93*VLOOKUP('Données projet'!$B$14,Paramètres!$A$1:$I$89,3,0)*VLOOKUP('Données projet'!$B$14,Paramètres!$A$1:$I$89,5,0)</f>
        <v>426.81599999999946</v>
      </c>
      <c r="DQ93" s="13">
        <f t="shared" si="97"/>
        <v>97.192496986872399</v>
      </c>
      <c r="DR93" s="20">
        <f t="shared" si="70"/>
        <v>912.64813225213504</v>
      </c>
      <c r="DS93" s="59">
        <f t="shared" si="71"/>
        <v>1205.9814655854684</v>
      </c>
      <c r="DT93" s="59">
        <f ca="1">AVERAGE(OFFSET($DS$3,0,0,'Données projet'!$E$14+1,1))-AVERAGE(OFFSET($H$3,0,0,'Données projet'!$E$14+1,1))</f>
        <v>523.79180230463714</v>
      </c>
      <c r="DU93" s="59">
        <f t="shared" si="98"/>
        <v>459.3547783500515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121.92283540097428</v>
      </c>
      <c r="EB93" s="21">
        <f>EXP(-LN(2)/25)*EB92+(1-EXP(-LN(2)/25))/(LN(2)/25)*Calculateur!DW93*Calculateur!DY93*VLOOKUP('Données projet'!$B$14,Paramètres!$A$1:$I$89,3,0)*0.475*44/12</f>
        <v>10.125122575968829</v>
      </c>
      <c r="EC93" s="21">
        <f>EXP(-LN(2)/2)*EC92+(1-EXP(-LN(2)/2))/(LN(2)/2)*DW93*DZ93*VLOOKUP('Données projet'!$B$14,Paramètres!$A$1:$I$89,3,0)*0.475*44/12</f>
        <v>1.1103605938100893E-9</v>
      </c>
      <c r="ED93" s="22">
        <f t="shared" si="72"/>
        <v>132.04795797805346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367.99999999999972</v>
      </c>
      <c r="EK93" s="17">
        <f>EJ93*VLOOKUP('Données projet'!$B$15,Paramètres!$A$1:$I$89,3,0)*VLOOKUP('Données projet'!$B$15,Paramètres!$A$1:$I$89,5,0)</f>
        <v>355.92959999999977</v>
      </c>
      <c r="EL93" s="13">
        <f t="shared" si="99"/>
        <v>82.782281100458206</v>
      </c>
      <c r="EM93" s="20">
        <f t="shared" si="73"/>
        <v>764.08985958329765</v>
      </c>
      <c r="EN93" s="59">
        <f t="shared" si="74"/>
        <v>1057.423192916631</v>
      </c>
      <c r="EO93" s="59">
        <f ca="1">AVERAGE(OFFSET($EN$3,0,0,'Données projet'!$E$15+1,1))-AVERAGE(OFFSET($H$3,0,0,'Données projet'!$E$15+1,1))</f>
        <v>484.41278617935654</v>
      </c>
      <c r="EP93" s="59">
        <f t="shared" si="100"/>
        <v>467.97490540700738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49.86739092478652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49.86739092478652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367.99999999999972</v>
      </c>
      <c r="FF93" s="17">
        <f>FE93*VLOOKUP('Données projet'!$B$16,Paramètres!$A$1:$I$89,3,0)*VLOOKUP('Données projet'!$B$16,Paramètres!$A$1:$I$89,5,0)</f>
        <v>396.11519999999967</v>
      </c>
      <c r="FG93" s="13">
        <f t="shared" si="101"/>
        <v>90.988634849704994</v>
      </c>
      <c r="FH93" s="20">
        <f t="shared" si="76"/>
        <v>848.37251236323561</v>
      </c>
      <c r="FI93" s="59">
        <f t="shared" si="77"/>
        <v>1141.705845696569</v>
      </c>
      <c r="FJ93" s="59">
        <f ca="1">AVERAGE(OFFSET($FI$3,0,0,'Données projet'!$E$16+1,1))-AVERAGE(OFFSET($H$3,0,0,'Données projet'!$E$16+1,1))</f>
        <v>534.54020133239135</v>
      </c>
      <c r="FK93" s="59">
        <f t="shared" si="102"/>
        <v>515.48696069008815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55.497580222746301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55.497580222746301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>
        <f>VLOOKUP(A93,'Données projet'!$A$243:$I$263,2,0)</f>
        <v>269</v>
      </c>
      <c r="FX93" s="12">
        <f>VLOOKUP(A93,'Données projet'!$A$243:$I$263,9,0)</f>
        <v>5</v>
      </c>
      <c r="FY93" s="12">
        <f t="array" ref="FY93">INDEX(FX:FX,MIN(IF(ISNUMBER(FX93:FX289),ROW(FX93:FX289),"")))</f>
        <v>5</v>
      </c>
      <c r="FZ93" s="12">
        <f>IF('Données projet'!$A$244&gt;35,FZ92+FY93-GH92,IF(A93&lt;'Données projet'!$A$244,$FW$205^A93,IF(A93='Données projet'!$A$244,'Données projet'!$B$244,FZ92+FY93-GH92)))</f>
        <v>268.99999999999994</v>
      </c>
      <c r="GA93" s="17">
        <f>FZ93*VLOOKUP('Données projet'!$B$17,Paramètres!$A$1:$I$89,3,0)*VLOOKUP('Données projet'!$B$17,Paramètres!$A$1:$I$89,5,0)</f>
        <v>255.98039999999997</v>
      </c>
      <c r="GB93" s="13">
        <f t="shared" si="103"/>
        <v>61.864786260587792</v>
      </c>
      <c r="GC93" s="20">
        <f t="shared" si="79"/>
        <v>553.58036607052361</v>
      </c>
      <c r="GD93" s="59">
        <f t="shared" si="80"/>
        <v>846.91369940385698</v>
      </c>
      <c r="GE93" s="59">
        <f ca="1">AVERAGE(OFFSET($GD$3,0,0,'Données projet'!$E$17+1,1))-AVERAGE(OFFSET($H$3,0,0,'Données projet'!$E$17+1,1))</f>
        <v>455.71329051283936</v>
      </c>
      <c r="GF93" s="59">
        <f t="shared" si="104"/>
        <v>479.3743231122258</v>
      </c>
      <c r="GG93" s="15">
        <f>IF(ISNA(VLOOKUP(A93,'Données projet'!$A$243:$I$263,3,0)),0,VLOOKUP(A93,'Données projet'!$A$243:$I$263,3,0))</f>
        <v>17</v>
      </c>
      <c r="GH93" s="15">
        <f>IF(ISNA(VLOOKUP(A93,'Données projet'!$A$243:$I$263,4,0)),0,VLOOKUP(A93,'Données projet'!$A$243:$I$263,4,0))</f>
        <v>24</v>
      </c>
      <c r="GI93" s="16">
        <f>IF(ISNA(VLOOKUP(A93,'Données projet'!$A$243:$I$263,5,0)),0%,VLOOKUP(A93,'Données projet'!$A$243:$I$263,5,0)*VLOOKUP('Données projet'!$B$17,Paramètres!$A$1:$I$89,7,0))</f>
        <v>0.43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92.494191870863403</v>
      </c>
      <c r="GM93" s="21">
        <f>EXP(-LN(2)/25)*GM92+(1-EXP(-LN(2)/25))/(LN(2)/25)*Calculateur!GH93*Calculateur!GJ93*VLOOKUP('Données projet'!$B$17,Paramètres!$A$1:$I$89,3,0)*0.475*44/12</f>
        <v>0</v>
      </c>
      <c r="GN93" s="21">
        <f>EXP(-LN(2)/2)*GN92+(1-EXP(-LN(2)/2))/(LN(2)/2)*GH93*GK93*VLOOKUP('Données projet'!$B$17,Paramètres!$A$1:$I$89,3,0)*0.475*44/12</f>
        <v>0</v>
      </c>
      <c r="GO93" s="21">
        <f t="shared" si="81"/>
        <v>92.494191870863403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367.99999999999972</v>
      </c>
      <c r="GV93" s="17">
        <f>GU93*VLOOKUP('Données projet'!$B$18,Paramètres!$A$1:$I$89,3,0)*VLOOKUP('Données projet'!$B$18,Paramètres!$A$1:$I$89,5,0)</f>
        <v>298.52159999999981</v>
      </c>
      <c r="GW93" s="13">
        <f t="shared" si="105"/>
        <v>70.866444995542437</v>
      </c>
      <c r="GX93" s="20">
        <f t="shared" si="82"/>
        <v>643.35084503390271</v>
      </c>
      <c r="GY93" s="59">
        <f t="shared" si="83"/>
        <v>936.68417836723597</v>
      </c>
      <c r="GZ93" s="59">
        <f ca="1">AVERAGE(OFFSET($GY$3,0,0,'Données projet'!$E$18+1,1))-AVERAGE(OFFSET($H$3,0,0,'Données projet'!$E$18+1,1))</f>
        <v>412.59676769258488</v>
      </c>
      <c r="HA93" s="59">
        <f t="shared" si="106"/>
        <v>399.90063795152133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41.824263356272581</v>
      </c>
      <c r="HH93" s="21">
        <f>EXP(-LN(2)/25)*HH92+(1-EXP(-LN(2)/25))/(LN(2)/25)*Calculateur!HC93*Calculateur!HE93*VLOOKUP('Données projet'!$B$18,Paramètres!$A$1:$I$89,3,0)*0.475*44/12</f>
        <v>0</v>
      </c>
      <c r="HI93" s="21">
        <f>EXP(-LN(2)/2)*HI92+(1-EXP(-LN(2)/2))/(LN(2)/2)*HC93*HF93*VLOOKUP('Données projet'!$B$18,Paramètres!$A$1:$I$89,3,0)*0.475*44/12</f>
        <v>0</v>
      </c>
      <c r="HJ93" s="22">
        <f t="shared" si="84"/>
        <v>41.824263356272581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6.2</v>
      </c>
      <c r="N94" s="13">
        <f>IF('Données projet'!$A$36&gt;35,N93+M94-V93,IF(A94&lt;'Données projet'!$A$36,$K$205^A94,IF(A94='Données projet'!$A$36,'Données projet'!$B$36,N93+M94-V93)))</f>
        <v>308.19999999999993</v>
      </c>
      <c r="O94" s="13">
        <f>N94*VLOOKUP('Données projet'!$B$9,Paramètres!$A$1:$I$89,3,0)*VLOOKUP('Données projet'!$B$9,Paramètres!$A$1:$I$89,5,0)</f>
        <v>278.85935999999992</v>
      </c>
      <c r="P94" s="13">
        <f t="shared" si="87"/>
        <v>66.725901622172387</v>
      </c>
      <c r="Q94" s="20">
        <f t="shared" si="54"/>
        <v>601.8943306586167</v>
      </c>
      <c r="R94" s="59">
        <f t="shared" si="55"/>
        <v>895.22766399195007</v>
      </c>
      <c r="S94" s="59">
        <f ca="1">AVERAGE(OFFSET($R$3,0,0,'Données projet'!$E$9+1,1))-AVERAGE(OFFSET($H$3,0,0,'Données projet'!$E$9+1,1))</f>
        <v>439.19854273764042</v>
      </c>
      <c r="T94" s="59">
        <f t="shared" si="88"/>
        <v>278.21741231699929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87.068588315976612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87.068588315976612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6.2</v>
      </c>
      <c r="AI94" s="13">
        <f>IF('Données projet'!$A$62&gt;35,AI93+AH94-AQ93,IF(A94&lt;'Données projet'!$A$62,$AF$205^A94,IF(A94='Données projet'!$A$62,'Données projet'!$B$62,AI93+AH94-AQ93)))</f>
        <v>308.19999999999993</v>
      </c>
      <c r="AJ94" s="13">
        <f>AI94*VLOOKUP('Données projet'!$B$10,Paramètres!$A$1:$I$89,3,0)*VLOOKUP('Données projet'!$B$10,Paramètres!$A$1:$I$89,5,0)</f>
        <v>312.51479999999992</v>
      </c>
      <c r="AK94" s="13">
        <f t="shared" si="89"/>
        <v>73.793773289024969</v>
      </c>
      <c r="AL94" s="20">
        <f t="shared" si="58"/>
        <v>672.82076514505172</v>
      </c>
      <c r="AM94" s="59">
        <f t="shared" si="59"/>
        <v>966.15409847838509</v>
      </c>
      <c r="AN94" s="59">
        <f ca="1">AVERAGE(OFFSET($AM$3,0,0,'Données projet'!$E$10+1,1))-AVERAGE(OFFSET($H$3,0,0,'Données projet'!$E$10+1,1))</f>
        <v>487.18832528146936</v>
      </c>
      <c r="AO94" s="59">
        <f t="shared" si="90"/>
        <v>306.61893266146666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97.576866216180676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97.576866216180676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369.00000000000023</v>
      </c>
      <c r="BE94" s="13">
        <f>BD94*VLOOKUP('Données projet'!$B$11,Paramètres!$A$1:$I$89,3,0)*VLOOKUP('Données projet'!$B$11,Paramètres!$A$1:$I$89,5,0)</f>
        <v>333.87120000000021</v>
      </c>
      <c r="BF94" s="13">
        <f t="shared" si="91"/>
        <v>78.23236011137638</v>
      </c>
      <c r="BG94" s="20">
        <f t="shared" si="61"/>
        <v>717.74703386064755</v>
      </c>
      <c r="BH94" s="59">
        <f t="shared" si="62"/>
        <v>1011.0803671939809</v>
      </c>
      <c r="BI94" s="59">
        <f ca="1">AVERAGE(OFFSET($BH$3,0,0,'Données projet'!$E$11+1,1))-AVERAGE(OFFSET($H$3,0,0,'Données projet'!$E$11+1,1))</f>
        <v>436.23918637269577</v>
      </c>
      <c r="BJ94" s="59">
        <f t="shared" si="92"/>
        <v>611.43967996341894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3.1584323141959962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3.1584323141959962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224.00000000000006</v>
      </c>
      <c r="BZ94" s="13">
        <f>BY94*VLOOKUP('Données projet'!$B$12,Paramètres!$A$1:$I$89,3,0)*VLOOKUP('Données projet'!$B$12,Paramètres!$A$1:$I$89,5,0)</f>
        <v>195.68640000000008</v>
      </c>
      <c r="CA94" s="13">
        <f t="shared" si="93"/>
        <v>48.794969360985156</v>
      </c>
      <c r="CB94" s="20">
        <f t="shared" si="64"/>
        <v>425.8050516370493</v>
      </c>
      <c r="CC94" s="59">
        <f t="shared" si="65"/>
        <v>719.13838497038262</v>
      </c>
      <c r="CD94" s="59">
        <f ca="1">AVERAGE(OFFSET($CC$3,0,0,'Données projet'!$E$12+1,1))-AVERAGE(OFFSET($H$3,0,0,'Données projet'!$E$12+1,1))</f>
        <v>304.32767345253382</v>
      </c>
      <c r="CE94" s="59">
        <f t="shared" si="94"/>
        <v>427.16091343339173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34.107870453297174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34.107870453297174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739.99999999999966</v>
      </c>
      <c r="CU94" s="17">
        <f>CT94*VLOOKUP('Données projet'!$B$13,Paramètres!$A$1:$I$89,3,0)*VLOOKUP('Données projet'!$B$13,Paramètres!$A$1:$I$89,5,0)</f>
        <v>413.65999999999985</v>
      </c>
      <c r="CV94" s="13">
        <f t="shared" si="95"/>
        <v>94.540585122244352</v>
      </c>
      <c r="CW94" s="20">
        <f t="shared" si="67"/>
        <v>885.11601908790863</v>
      </c>
      <c r="CX94" s="59">
        <f t="shared" si="68"/>
        <v>1178.4493524212419</v>
      </c>
      <c r="CY94" s="59">
        <f ca="1">AVERAGE(OFFSET($CX$3,0,0,'Données projet'!$E$13+1,1))-AVERAGE(OFFSET($H$3,0,0,'Données projet'!$E$13+1,1))</f>
        <v>555.15881087162279</v>
      </c>
      <c r="CZ94" s="59">
        <f t="shared" si="96"/>
        <v>668.20427590250733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66.838489208987781</v>
      </c>
      <c r="DG94" s="21">
        <f>EXP(-LN(2)/25)*DG93+(1-EXP(-LN(2)/25))/(LN(2)/25)*Calculateur!DB94*Calculateur!DD94*VLOOKUP('Données projet'!$B$13,Paramètres!$A$1:$I$89,3,0)*0.475*44/12</f>
        <v>10.648214223269845</v>
      </c>
      <c r="DH94" s="21">
        <f>EXP(-LN(2)/2)*DH93+(1-EXP(-LN(2)/2))/(LN(2)/2)*DB94*DE94*VLOOKUP('Données projet'!$B$13,Paramètres!$A$1:$I$89,3,0)*0.475*44/12</f>
        <v>5.6008115029653251E-10</v>
      </c>
      <c r="DI94" s="22">
        <f t="shared" si="69"/>
        <v>77.486703432817706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911.99999999999898</v>
      </c>
      <c r="DP94" s="17">
        <f>DO94*VLOOKUP('Données projet'!$B$14,Paramètres!$A$1:$I$89,3,0)*VLOOKUP('Données projet'!$B$14,Paramètres!$A$1:$I$89,5,0)</f>
        <v>426.81599999999946</v>
      </c>
      <c r="DQ94" s="13">
        <f t="shared" si="97"/>
        <v>97.192496986872399</v>
      </c>
      <c r="DR94" s="20">
        <f t="shared" si="70"/>
        <v>912.64813225213504</v>
      </c>
      <c r="DS94" s="59">
        <f t="shared" si="71"/>
        <v>1205.9814655854684</v>
      </c>
      <c r="DT94" s="59">
        <f ca="1">AVERAGE(OFFSET($DS$3,0,0,'Données projet'!$E$14+1,1))-AVERAGE(OFFSET($H$3,0,0,'Données projet'!$E$14+1,1))</f>
        <v>523.79180230463714</v>
      </c>
      <c r="DU94" s="59">
        <f t="shared" si="98"/>
        <v>459.3547783500515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119.53200296434778</v>
      </c>
      <c r="EB94" s="21">
        <f>EXP(-LN(2)/25)*EB93+(1-EXP(-LN(2)/25))/(LN(2)/25)*Calculateur!DW94*Calculateur!DY94*VLOOKUP('Données projet'!$B$14,Paramètres!$A$1:$I$89,3,0)*0.475*44/12</f>
        <v>9.848250566671906</v>
      </c>
      <c r="EC94" s="21">
        <f>EXP(-LN(2)/2)*EC93+(1-EXP(-LN(2)/2))/(LN(2)/2)*DW94*DZ94*VLOOKUP('Données projet'!$B$14,Paramètres!$A$1:$I$89,3,0)*0.475*44/12</f>
        <v>7.8514350544543577E-10</v>
      </c>
      <c r="ED94" s="22">
        <f t="shared" si="72"/>
        <v>129.38025353180484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367.99999999999972</v>
      </c>
      <c r="EK94" s="17">
        <f>EJ94*VLOOKUP('Données projet'!$B$15,Paramètres!$A$1:$I$89,3,0)*VLOOKUP('Données projet'!$B$15,Paramètres!$A$1:$I$89,5,0)</f>
        <v>355.92959999999977</v>
      </c>
      <c r="EL94" s="13">
        <f t="shared" si="99"/>
        <v>82.782281100458206</v>
      </c>
      <c r="EM94" s="20">
        <f t="shared" si="73"/>
        <v>764.08985958329765</v>
      </c>
      <c r="EN94" s="59">
        <f t="shared" si="74"/>
        <v>1057.423192916631</v>
      </c>
      <c r="EO94" s="59">
        <f ca="1">AVERAGE(OFFSET($EN$3,0,0,'Données projet'!$E$15+1,1))-AVERAGE(OFFSET($H$3,0,0,'Données projet'!$E$15+1,1))</f>
        <v>484.41278617935654</v>
      </c>
      <c r="EP94" s="59">
        <f t="shared" si="100"/>
        <v>467.97490540700738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48.889521804856578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48.889521804856578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367.99999999999972</v>
      </c>
      <c r="FF94" s="17">
        <f>FE94*VLOOKUP('Données projet'!$B$16,Paramètres!$A$1:$I$89,3,0)*VLOOKUP('Données projet'!$B$16,Paramètres!$A$1:$I$89,5,0)</f>
        <v>396.11519999999967</v>
      </c>
      <c r="FG94" s="13">
        <f t="shared" si="101"/>
        <v>90.988634849704994</v>
      </c>
      <c r="FH94" s="20">
        <f t="shared" si="76"/>
        <v>848.37251236323561</v>
      </c>
      <c r="FI94" s="59">
        <f t="shared" si="77"/>
        <v>1141.705845696569</v>
      </c>
      <c r="FJ94" s="59">
        <f ca="1">AVERAGE(OFFSET($FI$3,0,0,'Données projet'!$E$16+1,1))-AVERAGE(OFFSET($H$3,0,0,'Données projet'!$E$16+1,1))</f>
        <v>534.54020133239135</v>
      </c>
      <c r="FK94" s="59">
        <f t="shared" si="102"/>
        <v>515.48696069008815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54.409306524759756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54.409306524759756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5</v>
      </c>
      <c r="FZ94" s="12">
        <f>IF('Données projet'!$A$244&gt;35,FZ93+FY94-GH93,IF(A94&lt;'Données projet'!$A$244,$FW$205^A94,IF(A94='Données projet'!$A$244,'Données projet'!$B$244,FZ93+FY94-GH93)))</f>
        <v>249.99999999999994</v>
      </c>
      <c r="GA94" s="17">
        <f>FZ94*VLOOKUP('Données projet'!$B$17,Paramètres!$A$1:$I$89,3,0)*VLOOKUP('Données projet'!$B$17,Paramètres!$A$1:$I$89,5,0)</f>
        <v>237.89999999999998</v>
      </c>
      <c r="GB94" s="13">
        <f t="shared" si="103"/>
        <v>57.987474407587428</v>
      </c>
      <c r="GC94" s="20">
        <f t="shared" si="79"/>
        <v>515.33735125988142</v>
      </c>
      <c r="GD94" s="59">
        <f t="shared" si="80"/>
        <v>808.67068459321467</v>
      </c>
      <c r="GE94" s="59">
        <f ca="1">AVERAGE(OFFSET($GD$3,0,0,'Données projet'!$E$17+1,1))-AVERAGE(OFFSET($H$3,0,0,'Données projet'!$E$17+1,1))</f>
        <v>455.71329051283936</v>
      </c>
      <c r="GF94" s="59">
        <f t="shared" si="104"/>
        <v>479.3743231122258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90.680437184162201</v>
      </c>
      <c r="GM94" s="21">
        <f>EXP(-LN(2)/25)*GM93+(1-EXP(-LN(2)/25))/(LN(2)/25)*Calculateur!GH94*Calculateur!GJ94*VLOOKUP('Données projet'!$B$17,Paramètres!$A$1:$I$89,3,0)*0.475*44/12</f>
        <v>0</v>
      </c>
      <c r="GN94" s="21">
        <f>EXP(-LN(2)/2)*GN93+(1-EXP(-LN(2)/2))/(LN(2)/2)*GH94*GK94*VLOOKUP('Données projet'!$B$17,Paramètres!$A$1:$I$89,3,0)*0.475*44/12</f>
        <v>0</v>
      </c>
      <c r="GO94" s="21">
        <f t="shared" si="81"/>
        <v>90.680437184162201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367.99999999999972</v>
      </c>
      <c r="GV94" s="17">
        <f>GU94*VLOOKUP('Données projet'!$B$18,Paramètres!$A$1:$I$89,3,0)*VLOOKUP('Données projet'!$B$18,Paramètres!$A$1:$I$89,5,0)</f>
        <v>298.52159999999981</v>
      </c>
      <c r="GW94" s="13">
        <f t="shared" si="105"/>
        <v>70.866444995542437</v>
      </c>
      <c r="GX94" s="20">
        <f t="shared" si="82"/>
        <v>643.35084503390271</v>
      </c>
      <c r="GY94" s="59">
        <f t="shared" si="83"/>
        <v>936.68417836723597</v>
      </c>
      <c r="GZ94" s="59">
        <f ca="1">AVERAGE(OFFSET($GY$3,0,0,'Données projet'!$E$18+1,1))-AVERAGE(OFFSET($H$3,0,0,'Données projet'!$E$18+1,1))</f>
        <v>412.59676769258488</v>
      </c>
      <c r="HA94" s="59">
        <f t="shared" si="106"/>
        <v>399.90063795152133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41.004115062137792</v>
      </c>
      <c r="HH94" s="21">
        <f>EXP(-LN(2)/25)*HH93+(1-EXP(-LN(2)/25))/(LN(2)/25)*Calculateur!HC94*Calculateur!HE94*VLOOKUP('Données projet'!$B$18,Paramètres!$A$1:$I$89,3,0)*0.475*44/12</f>
        <v>0</v>
      </c>
      <c r="HI94" s="21">
        <f>EXP(-LN(2)/2)*HI93+(1-EXP(-LN(2)/2))/(LN(2)/2)*HC94*HF94*VLOOKUP('Données projet'!$B$18,Paramètres!$A$1:$I$89,3,0)*0.475*44/12</f>
        <v>0</v>
      </c>
      <c r="HJ94" s="22">
        <f t="shared" si="84"/>
        <v>41.004115062137792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6.2</v>
      </c>
      <c r="N95" s="13">
        <f>IF('Données projet'!$A$36&gt;35,N94+M95-V94,IF(A95&lt;'Données projet'!$A$36,$K$205^A95,IF(A95='Données projet'!$A$36,'Données projet'!$B$36,N94+M95-V94)))</f>
        <v>314.39999999999992</v>
      </c>
      <c r="O95" s="13">
        <f>N95*VLOOKUP('Données projet'!$B$9,Paramètres!$A$1:$I$89,3,0)*VLOOKUP('Données projet'!$B$9,Paramètres!$A$1:$I$89,5,0)</f>
        <v>284.46911999999992</v>
      </c>
      <c r="P95" s="13">
        <f t="shared" si="87"/>
        <v>67.91059023737904</v>
      </c>
      <c r="Q95" s="20">
        <f t="shared" si="54"/>
        <v>613.72799533010163</v>
      </c>
      <c r="R95" s="59">
        <f t="shared" si="55"/>
        <v>907.06132866343501</v>
      </c>
      <c r="S95" s="59">
        <f ca="1">AVERAGE(OFFSET($R$3,0,0,'Données projet'!$E$9+1,1))-AVERAGE(OFFSET($H$3,0,0,'Données projet'!$E$9+1,1))</f>
        <v>439.19854273764042</v>
      </c>
      <c r="T95" s="59">
        <f t="shared" si="88"/>
        <v>278.21741231699929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85.361226405695348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85.361226405695348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6.2</v>
      </c>
      <c r="AI95" s="13">
        <f>IF('Données projet'!$A$62&gt;35,AI94+AH95-AQ94,IF(A95&lt;'Données projet'!$A$62,$AF$205^A95,IF(A95='Données projet'!$A$62,'Données projet'!$B$62,AI94+AH95-AQ94)))</f>
        <v>314.39999999999992</v>
      </c>
      <c r="AJ95" s="13">
        <f>AI95*VLOOKUP('Données projet'!$B$10,Paramètres!$A$1:$I$89,3,0)*VLOOKUP('Données projet'!$B$10,Paramètres!$A$1:$I$89,5,0)</f>
        <v>318.80159999999995</v>
      </c>
      <c r="AK95" s="13">
        <f t="shared" si="89"/>
        <v>75.103948812522063</v>
      </c>
      <c r="AL95" s="20">
        <f t="shared" si="58"/>
        <v>686.05216418180908</v>
      </c>
      <c r="AM95" s="59">
        <f t="shared" si="59"/>
        <v>979.38549751514233</v>
      </c>
      <c r="AN95" s="59">
        <f ca="1">AVERAGE(OFFSET($AM$3,0,0,'Données projet'!$E$10+1,1))-AVERAGE(OFFSET($H$3,0,0,'Données projet'!$E$10+1,1))</f>
        <v>487.18832528146936</v>
      </c>
      <c r="AO95" s="59">
        <f t="shared" si="90"/>
        <v>306.61893266146666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95.663443385693043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95.663443385693043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369.00000000000023</v>
      </c>
      <c r="BE95" s="13">
        <f>BD95*VLOOKUP('Données projet'!$B$11,Paramètres!$A$1:$I$89,3,0)*VLOOKUP('Données projet'!$B$11,Paramètres!$A$1:$I$89,5,0)</f>
        <v>333.87120000000021</v>
      </c>
      <c r="BF95" s="13">
        <f t="shared" si="91"/>
        <v>78.23236011137638</v>
      </c>
      <c r="BG95" s="20">
        <f t="shared" si="61"/>
        <v>717.74703386064755</v>
      </c>
      <c r="BH95" s="59">
        <f t="shared" si="62"/>
        <v>1011.0803671939809</v>
      </c>
      <c r="BI95" s="59">
        <f ca="1">AVERAGE(OFFSET($BH$3,0,0,'Données projet'!$E$11+1,1))-AVERAGE(OFFSET($H$3,0,0,'Données projet'!$E$11+1,1))</f>
        <v>436.23918637269577</v>
      </c>
      <c r="BJ95" s="59">
        <f t="shared" si="92"/>
        <v>611.43967996341894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3.0964973829681028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3.0964973829681028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224.00000000000006</v>
      </c>
      <c r="BZ95" s="13">
        <f>BY95*VLOOKUP('Données projet'!$B$12,Paramètres!$A$1:$I$89,3,0)*VLOOKUP('Données projet'!$B$12,Paramètres!$A$1:$I$89,5,0)</f>
        <v>195.68640000000008</v>
      </c>
      <c r="CA95" s="13">
        <f t="shared" si="93"/>
        <v>48.794969360985156</v>
      </c>
      <c r="CB95" s="20">
        <f t="shared" si="64"/>
        <v>425.8050516370493</v>
      </c>
      <c r="CC95" s="59">
        <f t="shared" si="65"/>
        <v>719.13838497038262</v>
      </c>
      <c r="CD95" s="59">
        <f ca="1">AVERAGE(OFFSET($CC$3,0,0,'Données projet'!$E$12+1,1))-AVERAGE(OFFSET($H$3,0,0,'Données projet'!$E$12+1,1))</f>
        <v>304.32767345253382</v>
      </c>
      <c r="CE95" s="59">
        <f t="shared" si="94"/>
        <v>427.16091343339173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33.439035917454795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33.439035917454795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739.99999999999966</v>
      </c>
      <c r="CU95" s="17">
        <f>CT95*VLOOKUP('Données projet'!$B$13,Paramètres!$A$1:$I$89,3,0)*VLOOKUP('Données projet'!$B$13,Paramètres!$A$1:$I$89,5,0)</f>
        <v>413.65999999999985</v>
      </c>
      <c r="CV95" s="13">
        <f t="shared" si="95"/>
        <v>94.540585122244352</v>
      </c>
      <c r="CW95" s="20">
        <f t="shared" si="67"/>
        <v>885.11601908790863</v>
      </c>
      <c r="CX95" s="59">
        <f t="shared" si="68"/>
        <v>1178.4493524212419</v>
      </c>
      <c r="CY95" s="59">
        <f ca="1">AVERAGE(OFFSET($CX$3,0,0,'Données projet'!$E$13+1,1))-AVERAGE(OFFSET($H$3,0,0,'Données projet'!$E$13+1,1))</f>
        <v>555.15881087162279</v>
      </c>
      <c r="CZ95" s="59">
        <f t="shared" si="96"/>
        <v>668.20427590250733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65.527827203052496</v>
      </c>
      <c r="DG95" s="21">
        <f>EXP(-LN(2)/25)*DG94+(1-EXP(-LN(2)/25))/(LN(2)/25)*Calculateur!DB95*Calculateur!DD95*VLOOKUP('Données projet'!$B$13,Paramètres!$A$1:$I$89,3,0)*0.475*44/12</f>
        <v>10.357038245369282</v>
      </c>
      <c r="DH95" s="21">
        <f>EXP(-LN(2)/2)*DH94+(1-EXP(-LN(2)/2))/(LN(2)/2)*DB95*DE95*VLOOKUP('Données projet'!$B$13,Paramètres!$A$1:$I$89,3,0)*0.475*44/12</f>
        <v>3.9603717938944006E-10</v>
      </c>
      <c r="DI95" s="22">
        <f t="shared" si="69"/>
        <v>75.88486544881782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911.99999999999898</v>
      </c>
      <c r="DP95" s="17">
        <f>DO95*VLOOKUP('Données projet'!$B$14,Paramètres!$A$1:$I$89,3,0)*VLOOKUP('Données projet'!$B$14,Paramètres!$A$1:$I$89,5,0)</f>
        <v>426.81599999999946</v>
      </c>
      <c r="DQ95" s="13">
        <f t="shared" si="97"/>
        <v>97.192496986872399</v>
      </c>
      <c r="DR95" s="20">
        <f t="shared" si="70"/>
        <v>912.64813225213504</v>
      </c>
      <c r="DS95" s="59">
        <f t="shared" si="71"/>
        <v>1205.9814655854684</v>
      </c>
      <c r="DT95" s="59">
        <f ca="1">AVERAGE(OFFSET($DS$3,0,0,'Données projet'!$E$14+1,1))-AVERAGE(OFFSET($H$3,0,0,'Données projet'!$E$14+1,1))</f>
        <v>523.79180230463714</v>
      </c>
      <c r="DU95" s="59">
        <f t="shared" si="98"/>
        <v>459.3547783500515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117.18805329353972</v>
      </c>
      <c r="EB95" s="21">
        <f>EXP(-LN(2)/25)*EB94+(1-EXP(-LN(2)/25))/(LN(2)/25)*Calculateur!DW95*Calculateur!DY95*VLOOKUP('Données projet'!$B$14,Paramètres!$A$1:$I$89,3,0)*0.475*44/12</f>
        <v>9.5789496370292735</v>
      </c>
      <c r="EC95" s="21">
        <f>EXP(-LN(2)/2)*EC94+(1-EXP(-LN(2)/2))/(LN(2)/2)*DW95*DZ95*VLOOKUP('Données projet'!$B$14,Paramètres!$A$1:$I$89,3,0)*0.475*44/12</f>
        <v>5.5518029690504463E-10</v>
      </c>
      <c r="ED95" s="22">
        <f t="shared" si="72"/>
        <v>126.76700293112417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367.99999999999972</v>
      </c>
      <c r="EK95" s="17">
        <f>EJ95*VLOOKUP('Données projet'!$B$15,Paramètres!$A$1:$I$89,3,0)*VLOOKUP('Données projet'!$B$15,Paramètres!$A$1:$I$89,5,0)</f>
        <v>355.92959999999977</v>
      </c>
      <c r="EL95" s="13">
        <f t="shared" si="99"/>
        <v>82.782281100458206</v>
      </c>
      <c r="EM95" s="20">
        <f t="shared" si="73"/>
        <v>764.08985958329765</v>
      </c>
      <c r="EN95" s="59">
        <f t="shared" si="74"/>
        <v>1057.423192916631</v>
      </c>
      <c r="EO95" s="59">
        <f ca="1">AVERAGE(OFFSET($EN$3,0,0,'Données projet'!$E$15+1,1))-AVERAGE(OFFSET($H$3,0,0,'Données projet'!$E$15+1,1))</f>
        <v>484.41278617935654</v>
      </c>
      <c r="EP95" s="59">
        <f t="shared" si="100"/>
        <v>467.97490540700738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47.930828101927197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47.930828101927197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367.99999999999972</v>
      </c>
      <c r="FF95" s="17">
        <f>FE95*VLOOKUP('Données projet'!$B$16,Paramètres!$A$1:$I$89,3,0)*VLOOKUP('Données projet'!$B$16,Paramètres!$A$1:$I$89,5,0)</f>
        <v>396.11519999999967</v>
      </c>
      <c r="FG95" s="13">
        <f t="shared" si="101"/>
        <v>90.988634849704994</v>
      </c>
      <c r="FH95" s="20">
        <f t="shared" si="76"/>
        <v>848.37251236323561</v>
      </c>
      <c r="FI95" s="59">
        <f t="shared" si="77"/>
        <v>1141.705845696569</v>
      </c>
      <c r="FJ95" s="59">
        <f ca="1">AVERAGE(OFFSET($FI$3,0,0,'Données projet'!$E$16+1,1))-AVERAGE(OFFSET($H$3,0,0,'Données projet'!$E$16+1,1))</f>
        <v>534.54020133239135</v>
      </c>
      <c r="FK95" s="59">
        <f t="shared" si="102"/>
        <v>515.48696069008815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53.34237321020931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53.34237321020931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5</v>
      </c>
      <c r="FZ95" s="12">
        <f>IF('Données projet'!$A$244&gt;35,FZ94+FY95-GH94,IF(A95&lt;'Données projet'!$A$244,$FW$205^A95,IF(A95='Données projet'!$A$244,'Données projet'!$B$244,FZ94+FY95-GH94)))</f>
        <v>254.99999999999994</v>
      </c>
      <c r="GA95" s="17">
        <f>FZ95*VLOOKUP('Données projet'!$B$17,Paramètres!$A$1:$I$89,3,0)*VLOOKUP('Données projet'!$B$17,Paramètres!$A$1:$I$89,5,0)</f>
        <v>242.65799999999993</v>
      </c>
      <c r="GB95" s="13">
        <f t="shared" si="103"/>
        <v>59.011045025839607</v>
      </c>
      <c r="GC95" s="20">
        <f t="shared" si="79"/>
        <v>525.40692008667054</v>
      </c>
      <c r="GD95" s="59">
        <f t="shared" si="80"/>
        <v>818.74025342000391</v>
      </c>
      <c r="GE95" s="59">
        <f ca="1">AVERAGE(OFFSET($GD$3,0,0,'Données projet'!$E$17+1,1))-AVERAGE(OFFSET($H$3,0,0,'Données projet'!$E$17+1,1))</f>
        <v>455.71329051283936</v>
      </c>
      <c r="GF95" s="59">
        <f t="shared" si="104"/>
        <v>479.3743231122258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88.902249120586092</v>
      </c>
      <c r="GM95" s="21">
        <f>EXP(-LN(2)/25)*GM94+(1-EXP(-LN(2)/25))/(LN(2)/25)*Calculateur!GH95*Calculateur!GJ95*VLOOKUP('Données projet'!$B$17,Paramètres!$A$1:$I$89,3,0)*0.475*44/12</f>
        <v>0</v>
      </c>
      <c r="GN95" s="21">
        <f>EXP(-LN(2)/2)*GN94+(1-EXP(-LN(2)/2))/(LN(2)/2)*GH95*GK95*VLOOKUP('Données projet'!$B$17,Paramètres!$A$1:$I$89,3,0)*0.475*44/12</f>
        <v>0</v>
      </c>
      <c r="GO95" s="21">
        <f t="shared" si="81"/>
        <v>88.902249120586092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367.99999999999972</v>
      </c>
      <c r="GV95" s="17">
        <f>GU95*VLOOKUP('Données projet'!$B$18,Paramètres!$A$1:$I$89,3,0)*VLOOKUP('Données projet'!$B$18,Paramètres!$A$1:$I$89,5,0)</f>
        <v>298.52159999999981</v>
      </c>
      <c r="GW95" s="13">
        <f t="shared" si="105"/>
        <v>70.866444995542437</v>
      </c>
      <c r="GX95" s="20">
        <f t="shared" si="82"/>
        <v>643.35084503390271</v>
      </c>
      <c r="GY95" s="59">
        <f t="shared" si="83"/>
        <v>936.68417836723597</v>
      </c>
      <c r="GZ95" s="59">
        <f ca="1">AVERAGE(OFFSET($GY$3,0,0,'Données projet'!$E$18+1,1))-AVERAGE(OFFSET($H$3,0,0,'Données projet'!$E$18+1,1))</f>
        <v>412.59676769258488</v>
      </c>
      <c r="HA95" s="59">
        <f t="shared" si="106"/>
        <v>399.90063795152133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40.200049375809918</v>
      </c>
      <c r="HH95" s="21">
        <f>EXP(-LN(2)/25)*HH94+(1-EXP(-LN(2)/25))/(LN(2)/25)*Calculateur!HC95*Calculateur!HE95*VLOOKUP('Données projet'!$B$18,Paramètres!$A$1:$I$89,3,0)*0.475*44/12</f>
        <v>0</v>
      </c>
      <c r="HI95" s="21">
        <f>EXP(-LN(2)/2)*HI94+(1-EXP(-LN(2)/2))/(LN(2)/2)*HC95*HF95*VLOOKUP('Données projet'!$B$18,Paramètres!$A$1:$I$89,3,0)*0.475*44/12</f>
        <v>0</v>
      </c>
      <c r="HJ95" s="22">
        <f t="shared" si="84"/>
        <v>40.200049375809918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6.2</v>
      </c>
      <c r="N96" s="13">
        <f>IF('Données projet'!$A$36&gt;35,N95+M96-V95,IF(A96&lt;'Données projet'!$A$36,$K$205^A96,IF(A96='Données projet'!$A$36,'Données projet'!$B$36,N95+M96-V95)))</f>
        <v>320.59999999999991</v>
      </c>
      <c r="O96" s="13">
        <f>N96*VLOOKUP('Données projet'!$B$9,Paramètres!$A$1:$I$89,3,0)*VLOOKUP('Données projet'!$B$9,Paramètres!$A$1:$I$89,5,0)</f>
        <v>290.07887999999991</v>
      </c>
      <c r="P96" s="13">
        <f t="shared" si="87"/>
        <v>69.092562427360406</v>
      </c>
      <c r="Q96" s="20">
        <f t="shared" si="54"/>
        <v>625.55692889431919</v>
      </c>
      <c r="R96" s="59">
        <f t="shared" si="55"/>
        <v>918.89026222765256</v>
      </c>
      <c r="S96" s="59">
        <f ca="1">AVERAGE(OFFSET($R$3,0,0,'Données projet'!$E$9+1,1))-AVERAGE(OFFSET($H$3,0,0,'Données projet'!$E$9+1,1))</f>
        <v>439.19854273764042</v>
      </c>
      <c r="T96" s="59">
        <f t="shared" si="88"/>
        <v>278.21741231699929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83.687344821086754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83.687344821086754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6.2</v>
      </c>
      <c r="AI96" s="13">
        <f>IF('Données projet'!$A$62&gt;35,AI95+AH96-AQ95,IF(A96&lt;'Données projet'!$A$62,$AF$205^A96,IF(A96='Données projet'!$A$62,'Données projet'!$B$62,AI95+AH96-AQ95)))</f>
        <v>320.59999999999991</v>
      </c>
      <c r="AJ96" s="13">
        <f>AI96*VLOOKUP('Données projet'!$B$10,Paramètres!$A$1:$I$89,3,0)*VLOOKUP('Données projet'!$B$10,Paramètres!$A$1:$I$89,5,0)</f>
        <v>325.08839999999992</v>
      </c>
      <c r="AK96" s="13">
        <f t="shared" si="89"/>
        <v>76.411120176279823</v>
      </c>
      <c r="AL96" s="20">
        <f t="shared" si="58"/>
        <v>699.27833097368728</v>
      </c>
      <c r="AM96" s="59">
        <f t="shared" si="59"/>
        <v>992.61166430702065</v>
      </c>
      <c r="AN96" s="59">
        <f ca="1">AVERAGE(OFFSET($AM$3,0,0,'Données projet'!$E$10+1,1))-AVERAGE(OFFSET($H$3,0,0,'Données projet'!$E$10+1,1))</f>
        <v>487.18832528146936</v>
      </c>
      <c r="AO96" s="59">
        <f t="shared" si="90"/>
        <v>306.61893266146666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93.787541609838584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93.787541609838584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369.00000000000023</v>
      </c>
      <c r="BE96" s="13">
        <f>BD96*VLOOKUP('Données projet'!$B$11,Paramètres!$A$1:$I$89,3,0)*VLOOKUP('Données projet'!$B$11,Paramètres!$A$1:$I$89,5,0)</f>
        <v>333.87120000000021</v>
      </c>
      <c r="BF96" s="13">
        <f t="shared" si="91"/>
        <v>78.23236011137638</v>
      </c>
      <c r="BG96" s="20">
        <f t="shared" si="61"/>
        <v>717.74703386064755</v>
      </c>
      <c r="BH96" s="59">
        <f t="shared" si="62"/>
        <v>1011.0803671939809</v>
      </c>
      <c r="BI96" s="59">
        <f ca="1">AVERAGE(OFFSET($BH$3,0,0,'Données projet'!$E$11+1,1))-AVERAGE(OFFSET($H$3,0,0,'Données projet'!$E$11+1,1))</f>
        <v>436.23918637269577</v>
      </c>
      <c r="BJ96" s="59">
        <f t="shared" si="92"/>
        <v>611.43967996341894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3.0357769579650107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3.0357769579650107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224.00000000000006</v>
      </c>
      <c r="BZ96" s="13">
        <f>BY96*VLOOKUP('Données projet'!$B$12,Paramètres!$A$1:$I$89,3,0)*VLOOKUP('Données projet'!$B$12,Paramètres!$A$1:$I$89,5,0)</f>
        <v>195.68640000000008</v>
      </c>
      <c r="CA96" s="13">
        <f t="shared" si="93"/>
        <v>48.794969360985156</v>
      </c>
      <c r="CB96" s="20">
        <f t="shared" si="64"/>
        <v>425.8050516370493</v>
      </c>
      <c r="CC96" s="59">
        <f t="shared" si="65"/>
        <v>719.13838497038262</v>
      </c>
      <c r="CD96" s="59">
        <f ca="1">AVERAGE(OFFSET($CC$3,0,0,'Données projet'!$E$12+1,1))-AVERAGE(OFFSET($H$3,0,0,'Données projet'!$E$12+1,1))</f>
        <v>304.32767345253382</v>
      </c>
      <c r="CE96" s="59">
        <f t="shared" si="94"/>
        <v>427.16091343339173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32.783316818911501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32.783316818911501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739.99999999999966</v>
      </c>
      <c r="CU96" s="17">
        <f>CT96*VLOOKUP('Données projet'!$B$13,Paramètres!$A$1:$I$89,3,0)*VLOOKUP('Données projet'!$B$13,Paramètres!$A$1:$I$89,5,0)</f>
        <v>413.65999999999985</v>
      </c>
      <c r="CV96" s="13">
        <f t="shared" si="95"/>
        <v>94.540585122244352</v>
      </c>
      <c r="CW96" s="20">
        <f t="shared" si="67"/>
        <v>885.11601908790863</v>
      </c>
      <c r="CX96" s="59">
        <f t="shared" si="68"/>
        <v>1178.4493524212419</v>
      </c>
      <c r="CY96" s="59">
        <f ca="1">AVERAGE(OFFSET($CX$3,0,0,'Données projet'!$E$13+1,1))-AVERAGE(OFFSET($H$3,0,0,'Données projet'!$E$13+1,1))</f>
        <v>555.15881087162279</v>
      </c>
      <c r="CZ96" s="59">
        <f t="shared" si="96"/>
        <v>668.20427590250733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64.242866479628717</v>
      </c>
      <c r="DG96" s="21">
        <f>EXP(-LN(2)/25)*DG95+(1-EXP(-LN(2)/25))/(LN(2)/25)*Calculateur!DB96*Calculateur!DD96*VLOOKUP('Données projet'!$B$13,Paramètres!$A$1:$I$89,3,0)*0.475*44/12</f>
        <v>10.073824489896689</v>
      </c>
      <c r="DH96" s="21">
        <f>EXP(-LN(2)/2)*DH95+(1-EXP(-LN(2)/2))/(LN(2)/2)*DB96*DE96*VLOOKUP('Données projet'!$B$13,Paramètres!$A$1:$I$89,3,0)*0.475*44/12</f>
        <v>2.8004057514826626E-10</v>
      </c>
      <c r="DI96" s="22">
        <f t="shared" si="69"/>
        <v>74.31669096980545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911.99999999999898</v>
      </c>
      <c r="DP96" s="17">
        <f>DO96*VLOOKUP('Données projet'!$B$14,Paramètres!$A$1:$I$89,3,0)*VLOOKUP('Données projet'!$B$14,Paramètres!$A$1:$I$89,5,0)</f>
        <v>426.81599999999946</v>
      </c>
      <c r="DQ96" s="13">
        <f t="shared" si="97"/>
        <v>97.192496986872399</v>
      </c>
      <c r="DR96" s="20">
        <f t="shared" si="70"/>
        <v>912.64813225213504</v>
      </c>
      <c r="DS96" s="59">
        <f t="shared" si="71"/>
        <v>1205.9814655854684</v>
      </c>
      <c r="DT96" s="59">
        <f ca="1">AVERAGE(OFFSET($DS$3,0,0,'Données projet'!$E$14+1,1))-AVERAGE(OFFSET($H$3,0,0,'Données projet'!$E$14+1,1))</f>
        <v>523.79180230463714</v>
      </c>
      <c r="DU96" s="59">
        <f t="shared" si="98"/>
        <v>459.3547783500515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114.89006704610809</v>
      </c>
      <c r="EB96" s="21">
        <f>EXP(-LN(2)/25)*EB95+(1-EXP(-LN(2)/25))/(LN(2)/25)*Calculateur!DW96*Calculateur!DY96*VLOOKUP('Données projet'!$B$14,Paramètres!$A$1:$I$89,3,0)*0.475*44/12</f>
        <v>9.3170127554696389</v>
      </c>
      <c r="EC96" s="21">
        <f>EXP(-LN(2)/2)*EC95+(1-EXP(-LN(2)/2))/(LN(2)/2)*DW96*DZ96*VLOOKUP('Données projet'!$B$14,Paramètres!$A$1:$I$89,3,0)*0.475*44/12</f>
        <v>3.9257175272271788E-10</v>
      </c>
      <c r="ED96" s="22">
        <f t="shared" si="72"/>
        <v>124.20707980197029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367.99999999999972</v>
      </c>
      <c r="EK96" s="17">
        <f>EJ96*VLOOKUP('Données projet'!$B$15,Paramètres!$A$1:$I$89,3,0)*VLOOKUP('Données projet'!$B$15,Paramètres!$A$1:$I$89,5,0)</f>
        <v>355.92959999999977</v>
      </c>
      <c r="EL96" s="13">
        <f t="shared" si="99"/>
        <v>82.782281100458206</v>
      </c>
      <c r="EM96" s="20">
        <f t="shared" si="73"/>
        <v>764.08985958329765</v>
      </c>
      <c r="EN96" s="59">
        <f t="shared" si="74"/>
        <v>1057.423192916631</v>
      </c>
      <c r="EO96" s="59">
        <f ca="1">AVERAGE(OFFSET($EN$3,0,0,'Données projet'!$E$15+1,1))-AVERAGE(OFFSET($H$3,0,0,'Données projet'!$E$15+1,1))</f>
        <v>484.41278617935654</v>
      </c>
      <c r="EP96" s="59">
        <f t="shared" si="100"/>
        <v>467.97490540700738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46.990933797766836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46.990933797766836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367.99999999999972</v>
      </c>
      <c r="FF96" s="17">
        <f>FE96*VLOOKUP('Données projet'!$B$16,Paramètres!$A$1:$I$89,3,0)*VLOOKUP('Données projet'!$B$16,Paramètres!$A$1:$I$89,5,0)</f>
        <v>396.11519999999967</v>
      </c>
      <c r="FG96" s="13">
        <f t="shared" si="101"/>
        <v>90.988634849704994</v>
      </c>
      <c r="FH96" s="20">
        <f t="shared" si="76"/>
        <v>848.37251236323561</v>
      </c>
      <c r="FI96" s="59">
        <f t="shared" si="77"/>
        <v>1141.705845696569</v>
      </c>
      <c r="FJ96" s="59">
        <f ca="1">AVERAGE(OFFSET($FI$3,0,0,'Données projet'!$E$16+1,1))-AVERAGE(OFFSET($H$3,0,0,'Données projet'!$E$16+1,1))</f>
        <v>534.54020133239135</v>
      </c>
      <c r="FK96" s="59">
        <f t="shared" si="102"/>
        <v>515.48696069008815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52.296361807192135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52.296361807192135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5</v>
      </c>
      <c r="FZ96" s="12">
        <f>IF('Données projet'!$A$244&gt;35,FZ95+FY96-GH95,IF(A96&lt;'Données projet'!$A$244,$FW$205^A96,IF(A96='Données projet'!$A$244,'Données projet'!$B$244,FZ95+FY96-GH95)))</f>
        <v>259.99999999999994</v>
      </c>
      <c r="GA96" s="17">
        <f>FZ96*VLOOKUP('Données projet'!$B$17,Paramètres!$A$1:$I$89,3,0)*VLOOKUP('Données projet'!$B$17,Paramètres!$A$1:$I$89,5,0)</f>
        <v>247.41599999999997</v>
      </c>
      <c r="GB96" s="13">
        <f t="shared" si="103"/>
        <v>60.032282000540192</v>
      </c>
      <c r="GC96" s="20">
        <f t="shared" si="79"/>
        <v>535.47242448427414</v>
      </c>
      <c r="GD96" s="59">
        <f t="shared" si="80"/>
        <v>828.8057578176074</v>
      </c>
      <c r="GE96" s="59">
        <f ca="1">AVERAGE(OFFSET($GD$3,0,0,'Données projet'!$E$17+1,1))-AVERAGE(OFFSET($H$3,0,0,'Données projet'!$E$17+1,1))</f>
        <v>455.71329051283936</v>
      </c>
      <c r="GF96" s="59">
        <f t="shared" si="104"/>
        <v>479.3743231122258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87.158930240349079</v>
      </c>
      <c r="GM96" s="21">
        <f>EXP(-LN(2)/25)*GM95+(1-EXP(-LN(2)/25))/(LN(2)/25)*Calculateur!GH96*Calculateur!GJ96*VLOOKUP('Données projet'!$B$17,Paramètres!$A$1:$I$89,3,0)*0.475*44/12</f>
        <v>0</v>
      </c>
      <c r="GN96" s="21">
        <f>EXP(-LN(2)/2)*GN95+(1-EXP(-LN(2)/2))/(LN(2)/2)*GH96*GK96*VLOOKUP('Données projet'!$B$17,Paramètres!$A$1:$I$89,3,0)*0.475*44/12</f>
        <v>0</v>
      </c>
      <c r="GO96" s="21">
        <f t="shared" si="81"/>
        <v>87.158930240349079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367.99999999999972</v>
      </c>
      <c r="GV96" s="17">
        <f>GU96*VLOOKUP('Données projet'!$B$18,Paramètres!$A$1:$I$89,3,0)*VLOOKUP('Données projet'!$B$18,Paramètres!$A$1:$I$89,5,0)</f>
        <v>298.52159999999981</v>
      </c>
      <c r="GW96" s="13">
        <f t="shared" si="105"/>
        <v>70.866444995542437</v>
      </c>
      <c r="GX96" s="20">
        <f t="shared" si="82"/>
        <v>643.35084503390271</v>
      </c>
      <c r="GY96" s="59">
        <f t="shared" si="83"/>
        <v>936.68417836723597</v>
      </c>
      <c r="GZ96" s="59">
        <f ca="1">AVERAGE(OFFSET($GY$3,0,0,'Données projet'!$E$18+1,1))-AVERAGE(OFFSET($H$3,0,0,'Données projet'!$E$18+1,1))</f>
        <v>412.59676769258488</v>
      </c>
      <c r="HA96" s="59">
        <f t="shared" si="106"/>
        <v>399.90063795152133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39.411750927159297</v>
      </c>
      <c r="HH96" s="21">
        <f>EXP(-LN(2)/25)*HH95+(1-EXP(-LN(2)/25))/(LN(2)/25)*Calculateur!HC96*Calculateur!HE96*VLOOKUP('Données projet'!$B$18,Paramètres!$A$1:$I$89,3,0)*0.475*44/12</f>
        <v>0</v>
      </c>
      <c r="HI96" s="21">
        <f>EXP(-LN(2)/2)*HI95+(1-EXP(-LN(2)/2))/(LN(2)/2)*HC96*HF96*VLOOKUP('Données projet'!$B$18,Paramètres!$A$1:$I$89,3,0)*0.475*44/12</f>
        <v>0</v>
      </c>
      <c r="HJ96" s="22">
        <f t="shared" si="84"/>
        <v>39.411750927159297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6.2</v>
      </c>
      <c r="N97" s="13">
        <f>IF('Données projet'!$A$36&gt;35,N96+M97-V96,IF(A97&lt;'Données projet'!$A$36,$K$205^A97,IF(A97='Données projet'!$A$36,'Données projet'!$B$36,N96+M97-V96)))</f>
        <v>326.7999999999999</v>
      </c>
      <c r="O97" s="13">
        <f>N97*VLOOKUP('Données projet'!$B$9,Paramètres!$A$1:$I$89,3,0)*VLOOKUP('Données projet'!$B$9,Paramètres!$A$1:$I$89,5,0)</f>
        <v>295.68863999999991</v>
      </c>
      <c r="P97" s="13">
        <f t="shared" si="87"/>
        <v>70.271876780519747</v>
      </c>
      <c r="Q97" s="20">
        <f t="shared" si="54"/>
        <v>637.3812333927383</v>
      </c>
      <c r="R97" s="59">
        <f t="shared" si="55"/>
        <v>930.71456672607155</v>
      </c>
      <c r="S97" s="59">
        <f ca="1">AVERAGE(OFFSET($R$3,0,0,'Données projet'!$E$9+1,1))-AVERAGE(OFFSET($H$3,0,0,'Données projet'!$E$9+1,1))</f>
        <v>439.19854273764042</v>
      </c>
      <c r="T97" s="59">
        <f t="shared" si="88"/>
        <v>278.21741231699929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82.046287033385383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82.046287033385383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6.2</v>
      </c>
      <c r="AI97" s="13">
        <f>IF('Données projet'!$A$62&gt;35,AI96+AH97-AQ96,IF(A97&lt;'Données projet'!$A$62,$AF$205^A97,IF(A97='Données projet'!$A$62,'Données projet'!$B$62,AI96+AH97-AQ96)))</f>
        <v>326.7999999999999</v>
      </c>
      <c r="AJ97" s="13">
        <f>AI97*VLOOKUP('Données projet'!$B$10,Paramètres!$A$1:$I$89,3,0)*VLOOKUP('Données projet'!$B$10,Paramètres!$A$1:$I$89,5,0)</f>
        <v>331.37519999999989</v>
      </c>
      <c r="AK97" s="13">
        <f t="shared" si="89"/>
        <v>77.715352174616896</v>
      </c>
      <c r="AL97" s="20">
        <f t="shared" si="58"/>
        <v>712.49937837079085</v>
      </c>
      <c r="AM97" s="59">
        <f t="shared" si="59"/>
        <v>1005.8327117041242</v>
      </c>
      <c r="AN97" s="59">
        <f ca="1">AVERAGE(OFFSET($AM$3,0,0,'Données projet'!$E$10+1,1))-AVERAGE(OFFSET($H$3,0,0,'Données projet'!$E$10+1,1))</f>
        <v>487.18832528146936</v>
      </c>
      <c r="AO97" s="59">
        <f t="shared" si="90"/>
        <v>306.61893266146666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91.948425123621533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91.948425123621533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369.00000000000023</v>
      </c>
      <c r="BE97" s="13">
        <f>BD97*VLOOKUP('Données projet'!$B$11,Paramètres!$A$1:$I$89,3,0)*VLOOKUP('Données projet'!$B$11,Paramètres!$A$1:$I$89,5,0)</f>
        <v>333.87120000000021</v>
      </c>
      <c r="BF97" s="13">
        <f t="shared" si="91"/>
        <v>78.23236011137638</v>
      </c>
      <c r="BG97" s="20">
        <f t="shared" si="61"/>
        <v>717.74703386064755</v>
      </c>
      <c r="BH97" s="59">
        <f t="shared" si="62"/>
        <v>1011.0803671939809</v>
      </c>
      <c r="BI97" s="59">
        <f ca="1">AVERAGE(OFFSET($BH$3,0,0,'Données projet'!$E$11+1,1))-AVERAGE(OFFSET($H$3,0,0,'Données projet'!$E$11+1,1))</f>
        <v>436.23918637269577</v>
      </c>
      <c r="BJ97" s="59">
        <f t="shared" si="92"/>
        <v>611.43967996341894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2.9762472234604269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2.9762472234604269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224.00000000000006</v>
      </c>
      <c r="BZ97" s="13">
        <f>BY97*VLOOKUP('Données projet'!$B$12,Paramètres!$A$1:$I$89,3,0)*VLOOKUP('Données projet'!$B$12,Paramètres!$A$1:$I$89,5,0)</f>
        <v>195.68640000000008</v>
      </c>
      <c r="CA97" s="13">
        <f t="shared" si="93"/>
        <v>48.794969360985156</v>
      </c>
      <c r="CB97" s="20">
        <f t="shared" si="64"/>
        <v>425.8050516370493</v>
      </c>
      <c r="CC97" s="59">
        <f t="shared" si="65"/>
        <v>719.13838497038262</v>
      </c>
      <c r="CD97" s="59">
        <f ca="1">AVERAGE(OFFSET($CC$3,0,0,'Données projet'!$E$12+1,1))-AVERAGE(OFFSET($H$3,0,0,'Données projet'!$E$12+1,1))</f>
        <v>304.32767345253382</v>
      </c>
      <c r="CE97" s="59">
        <f t="shared" si="94"/>
        <v>427.16091343339173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32.140455971941478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32.140455971941478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739.99999999999966</v>
      </c>
      <c r="CU97" s="17">
        <f>CT97*VLOOKUP('Données projet'!$B$13,Paramètres!$A$1:$I$89,3,0)*VLOOKUP('Données projet'!$B$13,Paramètres!$A$1:$I$89,5,0)</f>
        <v>413.65999999999985</v>
      </c>
      <c r="CV97" s="13">
        <f t="shared" si="95"/>
        <v>94.540585122244352</v>
      </c>
      <c r="CW97" s="20">
        <f t="shared" si="67"/>
        <v>885.11601908790863</v>
      </c>
      <c r="CX97" s="59">
        <f t="shared" si="68"/>
        <v>1178.4493524212419</v>
      </c>
      <c r="CY97" s="59">
        <f ca="1">AVERAGE(OFFSET($CX$3,0,0,'Données projet'!$E$13+1,1))-AVERAGE(OFFSET($H$3,0,0,'Données projet'!$E$13+1,1))</f>
        <v>555.15881087162279</v>
      </c>
      <c r="CZ97" s="59">
        <f t="shared" si="96"/>
        <v>668.20427590250733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62.983103052242626</v>
      </c>
      <c r="DG97" s="21">
        <f>EXP(-LN(2)/25)*DG96+(1-EXP(-LN(2)/25))/(LN(2)/25)*Calculateur!DB97*Calculateur!DD97*VLOOKUP('Données projet'!$B$13,Paramètres!$A$1:$I$89,3,0)*0.475*44/12</f>
        <v>9.7983552294610572</v>
      </c>
      <c r="DH97" s="21">
        <f>EXP(-LN(2)/2)*DH96+(1-EXP(-LN(2)/2))/(LN(2)/2)*DB97*DE97*VLOOKUP('Données projet'!$B$13,Paramètres!$A$1:$I$89,3,0)*0.475*44/12</f>
        <v>1.9801858969472003E-10</v>
      </c>
      <c r="DI97" s="22">
        <f t="shared" si="69"/>
        <v>72.781458281901692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911.99999999999898</v>
      </c>
      <c r="DP97" s="17">
        <f>DO97*VLOOKUP('Données projet'!$B$14,Paramètres!$A$1:$I$89,3,0)*VLOOKUP('Données projet'!$B$14,Paramètres!$A$1:$I$89,5,0)</f>
        <v>426.81599999999946</v>
      </c>
      <c r="DQ97" s="13">
        <f t="shared" si="97"/>
        <v>97.192496986872399</v>
      </c>
      <c r="DR97" s="20">
        <f t="shared" si="70"/>
        <v>912.64813225213504</v>
      </c>
      <c r="DS97" s="59">
        <f t="shared" si="71"/>
        <v>1205.9814655854684</v>
      </c>
      <c r="DT97" s="59">
        <f ca="1">AVERAGE(OFFSET($DS$3,0,0,'Données projet'!$E$14+1,1))-AVERAGE(OFFSET($H$3,0,0,'Données projet'!$E$14+1,1))</f>
        <v>523.79180230463714</v>
      </c>
      <c r="DU97" s="59">
        <f t="shared" si="98"/>
        <v>459.3547783500515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112.63714290735537</v>
      </c>
      <c r="EB97" s="21">
        <f>EXP(-LN(2)/25)*EB96+(1-EXP(-LN(2)/25))/(LN(2)/25)*Calculateur!DW97*Calculateur!DY97*VLOOKUP('Données projet'!$B$14,Paramètres!$A$1:$I$89,3,0)*0.475*44/12</f>
        <v>9.0622385517109159</v>
      </c>
      <c r="EC97" s="21">
        <f>EXP(-LN(2)/2)*EC96+(1-EXP(-LN(2)/2))/(LN(2)/2)*DW97*DZ97*VLOOKUP('Données projet'!$B$14,Paramètres!$A$1:$I$89,3,0)*0.475*44/12</f>
        <v>2.7759014845252231E-10</v>
      </c>
      <c r="ED97" s="22">
        <f t="shared" si="72"/>
        <v>121.69938145934388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367.99999999999972</v>
      </c>
      <c r="EK97" s="17">
        <f>EJ97*VLOOKUP('Données projet'!$B$15,Paramètres!$A$1:$I$89,3,0)*VLOOKUP('Données projet'!$B$15,Paramètres!$A$1:$I$89,5,0)</f>
        <v>355.92959999999977</v>
      </c>
      <c r="EL97" s="13">
        <f t="shared" si="99"/>
        <v>82.782281100458206</v>
      </c>
      <c r="EM97" s="20">
        <f t="shared" si="73"/>
        <v>764.08985958329765</v>
      </c>
      <c r="EN97" s="59">
        <f t="shared" si="74"/>
        <v>1057.423192916631</v>
      </c>
      <c r="EO97" s="59">
        <f ca="1">AVERAGE(OFFSET($EN$3,0,0,'Données projet'!$E$15+1,1))-AVERAGE(OFFSET($H$3,0,0,'Données projet'!$E$15+1,1))</f>
        <v>484.41278617935654</v>
      </c>
      <c r="EP97" s="59">
        <f t="shared" si="100"/>
        <v>467.97490540700738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46.06947024763214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46.06947024763214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367.99999999999972</v>
      </c>
      <c r="FF97" s="17">
        <f>FE97*VLOOKUP('Données projet'!$B$16,Paramètres!$A$1:$I$89,3,0)*VLOOKUP('Données projet'!$B$16,Paramètres!$A$1:$I$89,5,0)</f>
        <v>396.11519999999967</v>
      </c>
      <c r="FG97" s="13">
        <f t="shared" si="101"/>
        <v>90.988634849704994</v>
      </c>
      <c r="FH97" s="20">
        <f t="shared" si="76"/>
        <v>848.37251236323561</v>
      </c>
      <c r="FI97" s="59">
        <f t="shared" si="77"/>
        <v>1141.705845696569</v>
      </c>
      <c r="FJ97" s="59">
        <f ca="1">AVERAGE(OFFSET($FI$3,0,0,'Données projet'!$E$16+1,1))-AVERAGE(OFFSET($H$3,0,0,'Données projet'!$E$16+1,1))</f>
        <v>534.54020133239135</v>
      </c>
      <c r="FK97" s="59">
        <f t="shared" si="102"/>
        <v>515.48696069008815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51.270862049784171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51.270862049784171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5</v>
      </c>
      <c r="FZ97" s="12">
        <f>IF('Données projet'!$A$244&gt;35,FZ96+FY97-GH96,IF(A97&lt;'Données projet'!$A$244,$FW$205^A97,IF(A97='Données projet'!$A$244,'Données projet'!$B$244,FZ96+FY97-GH96)))</f>
        <v>264.99999999999994</v>
      </c>
      <c r="GA97" s="17">
        <f>FZ97*VLOOKUP('Données projet'!$B$17,Paramètres!$A$1:$I$89,3,0)*VLOOKUP('Données projet'!$B$17,Paramètres!$A$1:$I$89,5,0)</f>
        <v>252.17399999999992</v>
      </c>
      <c r="GB97" s="13">
        <f t="shared" si="103"/>
        <v>61.051235383411935</v>
      </c>
      <c r="GC97" s="20">
        <f t="shared" si="79"/>
        <v>545.533951626109</v>
      </c>
      <c r="GD97" s="59">
        <f t="shared" si="80"/>
        <v>838.86728495944226</v>
      </c>
      <c r="GE97" s="59">
        <f ca="1">AVERAGE(OFFSET($GD$3,0,0,'Données projet'!$E$17+1,1))-AVERAGE(OFFSET($H$3,0,0,'Données projet'!$E$17+1,1))</f>
        <v>455.71329051283936</v>
      </c>
      <c r="GF97" s="59">
        <f t="shared" si="104"/>
        <v>479.3743231122258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85.449796780033992</v>
      </c>
      <c r="GM97" s="21">
        <f>EXP(-LN(2)/25)*GM96+(1-EXP(-LN(2)/25))/(LN(2)/25)*Calculateur!GH97*Calculateur!GJ97*VLOOKUP('Données projet'!$B$17,Paramètres!$A$1:$I$89,3,0)*0.475*44/12</f>
        <v>0</v>
      </c>
      <c r="GN97" s="21">
        <f>EXP(-LN(2)/2)*GN96+(1-EXP(-LN(2)/2))/(LN(2)/2)*GH97*GK97*VLOOKUP('Données projet'!$B$17,Paramètres!$A$1:$I$89,3,0)*0.475*44/12</f>
        <v>0</v>
      </c>
      <c r="GO97" s="21">
        <f t="shared" si="81"/>
        <v>85.449796780033992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367.99999999999972</v>
      </c>
      <c r="GV97" s="17">
        <f>GU97*VLOOKUP('Données projet'!$B$18,Paramètres!$A$1:$I$89,3,0)*VLOOKUP('Données projet'!$B$18,Paramètres!$A$1:$I$89,5,0)</f>
        <v>298.52159999999981</v>
      </c>
      <c r="GW97" s="13">
        <f t="shared" si="105"/>
        <v>70.866444995542437</v>
      </c>
      <c r="GX97" s="20">
        <f t="shared" si="82"/>
        <v>643.35084503390271</v>
      </c>
      <c r="GY97" s="59">
        <f t="shared" si="83"/>
        <v>936.68417836723597</v>
      </c>
      <c r="GZ97" s="59">
        <f ca="1">AVERAGE(OFFSET($GY$3,0,0,'Données projet'!$E$18+1,1))-AVERAGE(OFFSET($H$3,0,0,'Données projet'!$E$18+1,1))</f>
        <v>412.59676769258488</v>
      </c>
      <c r="HA97" s="59">
        <f t="shared" si="106"/>
        <v>399.90063795152133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38.638910530272135</v>
      </c>
      <c r="HH97" s="21">
        <f>EXP(-LN(2)/25)*HH96+(1-EXP(-LN(2)/25))/(LN(2)/25)*Calculateur!HC97*Calculateur!HE97*VLOOKUP('Données projet'!$B$18,Paramètres!$A$1:$I$89,3,0)*0.475*44/12</f>
        <v>0</v>
      </c>
      <c r="HI97" s="21">
        <f>EXP(-LN(2)/2)*HI96+(1-EXP(-LN(2)/2))/(LN(2)/2)*HC97*HF97*VLOOKUP('Données projet'!$B$18,Paramètres!$A$1:$I$89,3,0)*0.475*44/12</f>
        <v>0</v>
      </c>
      <c r="HJ97" s="22">
        <f t="shared" si="84"/>
        <v>38.638910530272135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333</v>
      </c>
      <c r="L98" s="12">
        <f>VLOOKUP(A98,'Données projet'!$A$35:$I$55,9,0)</f>
        <v>6.2</v>
      </c>
      <c r="M98" s="12">
        <f t="array" ref="M98">INDEX(L:L,MIN(IF(ISNUMBER(L98:L294),ROW(L98:L294),"")))</f>
        <v>6.2</v>
      </c>
      <c r="N98" s="13">
        <f>IF('Données projet'!$A$36&gt;35,N97+M98-V97,IF(A98&lt;'Données projet'!$A$36,$K$205^A98,IF(A98='Données projet'!$A$36,'Données projet'!$B$36,N97+M98-V97)))</f>
        <v>332.99999999999989</v>
      </c>
      <c r="O98" s="13">
        <f>N98*VLOOKUP('Données projet'!$B$9,Paramètres!$A$1:$I$89,3,0)*VLOOKUP('Données projet'!$B$9,Paramètres!$A$1:$I$89,5,0)</f>
        <v>301.2983999999999</v>
      </c>
      <c r="P98" s="13">
        <f t="shared" si="87"/>
        <v>71.448589534990518</v>
      </c>
      <c r="Q98" s="20">
        <f t="shared" si="54"/>
        <v>649.20100677344158</v>
      </c>
      <c r="R98" s="59">
        <f t="shared" si="55"/>
        <v>942.53434010677483</v>
      </c>
      <c r="S98" s="59">
        <f ca="1">AVERAGE(OFFSET($R$3,0,0,'Données projet'!$E$9+1,1))-AVERAGE(OFFSET($H$3,0,0,'Données projet'!$E$9+1,1))</f>
        <v>439.19854273764042</v>
      </c>
      <c r="T98" s="59">
        <f t="shared" si="88"/>
        <v>278.21741231699929</v>
      </c>
      <c r="U98" s="15">
        <f>IF(ISNA(VLOOKUP(A98,'Données projet'!$A$35:$I$55,3,0)),0,VLOOKUP(A98,'Données projet'!$A$35:$I$55,3,0))</f>
        <v>16</v>
      </c>
      <c r="V98" s="15">
        <f>IF(ISNA(VLOOKUP(A98,'Données projet'!$A$35:$I$55,4,0)),0,VLOOKUP(A98,'Données projet'!$A$35:$I$55,4,0))</f>
        <v>28</v>
      </c>
      <c r="W98" s="16">
        <f>IF(ISNA(VLOOKUP(A98,'Données projet'!$A$35:$I$55,5,0)),0%,VLOOKUP(A98,'Données projet'!$A$35:$I$55,5,0)*VLOOKUP('Données projet'!$B$9,Paramètres!$A$1:$I$89,7,0))</f>
        <v>0.43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92.480173764747434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92.480173764747434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333</v>
      </c>
      <c r="AG98" s="12">
        <f>VLOOKUP(A98,'Données projet'!$A$61:$I$81,9,0)</f>
        <v>6.2</v>
      </c>
      <c r="AH98" s="12">
        <f t="array" ref="AH98">INDEX(AG:AG,MIN(IF(ISNUMBER(AG98:AG294),ROW(AG98:AG294),"")))</f>
        <v>6.2</v>
      </c>
      <c r="AI98" s="13">
        <f>IF('Données projet'!$A$62&gt;35,AI97+AH98-AQ97,IF(A98&lt;'Données projet'!$A$62,$AF$205^A98,IF(A98='Données projet'!$A$62,'Données projet'!$B$62,AI97+AH98-AQ97)))</f>
        <v>332.99999999999989</v>
      </c>
      <c r="AJ98" s="13">
        <f>AI98*VLOOKUP('Données projet'!$B$10,Paramètres!$A$1:$I$89,3,0)*VLOOKUP('Données projet'!$B$10,Paramètres!$A$1:$I$89,5,0)</f>
        <v>337.66199999999992</v>
      </c>
      <c r="AK98" s="13">
        <f t="shared" si="89"/>
        <v>79.016707002632685</v>
      </c>
      <c r="AL98" s="20">
        <f t="shared" si="58"/>
        <v>725.71541469625174</v>
      </c>
      <c r="AM98" s="59">
        <f t="shared" si="59"/>
        <v>1019.0487480295851</v>
      </c>
      <c r="AN98" s="59">
        <f ca="1">AVERAGE(OFFSET($AM$3,0,0,'Données projet'!$E$10+1,1))-AVERAGE(OFFSET($H$3,0,0,'Données projet'!$E$10+1,1))</f>
        <v>487.18832528146936</v>
      </c>
      <c r="AO98" s="59">
        <f t="shared" si="90"/>
        <v>306.61893266146666</v>
      </c>
      <c r="AP98" s="15">
        <f>IF(ISNA(VLOOKUP(A98,'Données projet'!$A$61:$I$81,3,0)),0,VLOOKUP(A98,'Données projet'!$A$61:$I$81,3,0))</f>
        <v>16</v>
      </c>
      <c r="AQ98" s="15">
        <f>IF(ISNA(VLOOKUP(A98,'Données projet'!$A$61:$I$81,4,0)),0,VLOOKUP(A98,'Données projet'!$A$61:$I$81,4,0))</f>
        <v>28</v>
      </c>
      <c r="AR98" s="16">
        <f>IF(ISNA(VLOOKUP(A98,'Données projet'!$A$61:$I$81,5,0)),0%,VLOOKUP(A98,'Données projet'!$A$61:$I$81,5,0)*VLOOKUP('Données projet'!$B$10,Paramètres!$A$1:$I$89,7,0))</f>
        <v>0.43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103.6415740466997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103.6415740466997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369.00000000000023</v>
      </c>
      <c r="BE98" s="13">
        <f>BD98*VLOOKUP('Données projet'!$B$11,Paramètres!$A$1:$I$89,3,0)*VLOOKUP('Données projet'!$B$11,Paramètres!$A$1:$I$89,5,0)</f>
        <v>333.87120000000021</v>
      </c>
      <c r="BF98" s="13">
        <f t="shared" si="91"/>
        <v>78.23236011137638</v>
      </c>
      <c r="BG98" s="20">
        <f t="shared" si="61"/>
        <v>717.74703386064755</v>
      </c>
      <c r="BH98" s="59">
        <f t="shared" si="62"/>
        <v>1011.0803671939809</v>
      </c>
      <c r="BI98" s="59">
        <f ca="1">AVERAGE(OFFSET($BH$3,0,0,'Données projet'!$E$11+1,1))-AVERAGE(OFFSET($H$3,0,0,'Données projet'!$E$11+1,1))</f>
        <v>436.23918637269577</v>
      </c>
      <c r="BJ98" s="59">
        <f t="shared" si="92"/>
        <v>611.43967996341894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2.9178848307399252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2.9178848307399252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224.00000000000006</v>
      </c>
      <c r="BZ98" s="13">
        <f>BY98*VLOOKUP('Données projet'!$B$12,Paramètres!$A$1:$I$89,3,0)*VLOOKUP('Données projet'!$B$12,Paramètres!$A$1:$I$89,5,0)</f>
        <v>195.68640000000008</v>
      </c>
      <c r="CA98" s="13">
        <f t="shared" si="93"/>
        <v>48.794969360985156</v>
      </c>
      <c r="CB98" s="20">
        <f t="shared" si="64"/>
        <v>425.8050516370493</v>
      </c>
      <c r="CC98" s="59">
        <f t="shared" si="65"/>
        <v>719.13838497038262</v>
      </c>
      <c r="CD98" s="59">
        <f ca="1">AVERAGE(OFFSET($CC$3,0,0,'Données projet'!$E$12+1,1))-AVERAGE(OFFSET($H$3,0,0,'Données projet'!$E$12+1,1))</f>
        <v>304.32767345253382</v>
      </c>
      <c r="CE98" s="59">
        <f t="shared" si="94"/>
        <v>427.16091343339173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31.510201234074138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31.510201234074138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739.99999999999966</v>
      </c>
      <c r="CU98" s="17">
        <f>CT98*VLOOKUP('Données projet'!$B$13,Paramètres!$A$1:$I$89,3,0)*VLOOKUP('Données projet'!$B$13,Paramètres!$A$1:$I$89,5,0)</f>
        <v>413.65999999999985</v>
      </c>
      <c r="CV98" s="13">
        <f t="shared" si="95"/>
        <v>94.540585122244352</v>
      </c>
      <c r="CW98" s="20">
        <f t="shared" si="67"/>
        <v>885.11601908790863</v>
      </c>
      <c r="CX98" s="59">
        <f t="shared" si="68"/>
        <v>1178.4493524212419</v>
      </c>
      <c r="CY98" s="59">
        <f ca="1">AVERAGE(OFFSET($CX$3,0,0,'Données projet'!$E$13+1,1))-AVERAGE(OFFSET($H$3,0,0,'Données projet'!$E$13+1,1))</f>
        <v>555.15881087162279</v>
      </c>
      <c r="CZ98" s="59">
        <f t="shared" si="96"/>
        <v>668.20427590250733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61.748042817287754</v>
      </c>
      <c r="DG98" s="21">
        <f>EXP(-LN(2)/25)*DG97+(1-EXP(-LN(2)/25))/(LN(2)/25)*Calculateur!DB98*Calculateur!DD98*VLOOKUP('Données projet'!$B$13,Paramètres!$A$1:$I$89,3,0)*0.475*44/12</f>
        <v>9.5304186904383368</v>
      </c>
      <c r="DH98" s="21">
        <f>EXP(-LN(2)/2)*DH97+(1-EXP(-LN(2)/2))/(LN(2)/2)*DB98*DE98*VLOOKUP('Données projet'!$B$13,Paramètres!$A$1:$I$89,3,0)*0.475*44/12</f>
        <v>1.4002028757413313E-10</v>
      </c>
      <c r="DI98" s="22">
        <f t="shared" si="69"/>
        <v>71.278461507866112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911.99999999999898</v>
      </c>
      <c r="DP98" s="17">
        <f>DO98*VLOOKUP('Données projet'!$B$14,Paramètres!$A$1:$I$89,3,0)*VLOOKUP('Données projet'!$B$14,Paramètres!$A$1:$I$89,5,0)</f>
        <v>426.81599999999946</v>
      </c>
      <c r="DQ98" s="13">
        <f t="shared" si="97"/>
        <v>97.192496986872399</v>
      </c>
      <c r="DR98" s="20">
        <f t="shared" si="70"/>
        <v>912.64813225213504</v>
      </c>
      <c r="DS98" s="59">
        <f t="shared" si="71"/>
        <v>1205.9814655854684</v>
      </c>
      <c r="DT98" s="59">
        <f ca="1">AVERAGE(OFFSET($DS$3,0,0,'Données projet'!$E$14+1,1))-AVERAGE(OFFSET($H$3,0,0,'Données projet'!$E$14+1,1))</f>
        <v>523.79180230463714</v>
      </c>
      <c r="DU98" s="59">
        <f t="shared" si="98"/>
        <v>459.3547783500515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110.42839723681556</v>
      </c>
      <c r="EB98" s="21">
        <f>EXP(-LN(2)/25)*EB97+(1-EXP(-LN(2)/25))/(LN(2)/25)*Calculateur!DW98*Calculateur!DY98*VLOOKUP('Données projet'!$B$14,Paramètres!$A$1:$I$89,3,0)*0.475*44/12</f>
        <v>8.8144311619519673</v>
      </c>
      <c r="EC98" s="21">
        <f>EXP(-LN(2)/2)*EC97+(1-EXP(-LN(2)/2))/(LN(2)/2)*DW98*DZ98*VLOOKUP('Données projet'!$B$14,Paramètres!$A$1:$I$89,3,0)*0.475*44/12</f>
        <v>1.9628587636135894E-10</v>
      </c>
      <c r="ED98" s="22">
        <f t="shared" si="72"/>
        <v>119.24282839896381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367.99999999999972</v>
      </c>
      <c r="EK98" s="17">
        <f>EJ98*VLOOKUP('Données projet'!$B$15,Paramètres!$A$1:$I$89,3,0)*VLOOKUP('Données projet'!$B$15,Paramètres!$A$1:$I$89,5,0)</f>
        <v>355.92959999999977</v>
      </c>
      <c r="EL98" s="13">
        <f t="shared" si="99"/>
        <v>82.782281100458206</v>
      </c>
      <c r="EM98" s="20">
        <f t="shared" si="73"/>
        <v>764.08985958329765</v>
      </c>
      <c r="EN98" s="59">
        <f t="shared" si="74"/>
        <v>1057.423192916631</v>
      </c>
      <c r="EO98" s="59">
        <f ca="1">AVERAGE(OFFSET($EN$3,0,0,'Données projet'!$E$15+1,1))-AVERAGE(OFFSET($H$3,0,0,'Données projet'!$E$15+1,1))</f>
        <v>484.41278617935654</v>
      </c>
      <c r="EP98" s="59">
        <f t="shared" si="100"/>
        <v>467.97490540700738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45.166076035678316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45.166076035678316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367.99999999999972</v>
      </c>
      <c r="FF98" s="17">
        <f>FE98*VLOOKUP('Données projet'!$B$16,Paramètres!$A$1:$I$89,3,0)*VLOOKUP('Données projet'!$B$16,Paramètres!$A$1:$I$89,5,0)</f>
        <v>396.11519999999967</v>
      </c>
      <c r="FG98" s="13">
        <f t="shared" si="101"/>
        <v>90.988634849704994</v>
      </c>
      <c r="FH98" s="20">
        <f t="shared" si="76"/>
        <v>848.37251236323561</v>
      </c>
      <c r="FI98" s="59">
        <f t="shared" si="77"/>
        <v>1141.705845696569</v>
      </c>
      <c r="FJ98" s="59">
        <f ca="1">AVERAGE(OFFSET($FI$3,0,0,'Données projet'!$E$16+1,1))-AVERAGE(OFFSET($H$3,0,0,'Données projet'!$E$16+1,1))</f>
        <v>534.54020133239135</v>
      </c>
      <c r="FK98" s="59">
        <f t="shared" si="102"/>
        <v>515.48696069008815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50.265471717125884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50.265471717125884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>
        <f>VLOOKUP(A98,'Données projet'!$A$243:$I$263,2,0)</f>
        <v>270</v>
      </c>
      <c r="FX98" s="12">
        <f>VLOOKUP(A98,'Données projet'!$A$243:$I$263,9,0)</f>
        <v>5</v>
      </c>
      <c r="FY98" s="12">
        <f t="array" ref="FY98">INDEX(FX:FX,MIN(IF(ISNUMBER(FX98:FX294),ROW(FX98:FX294),"")))</f>
        <v>5</v>
      </c>
      <c r="FZ98" s="12">
        <f>IF('Données projet'!$A$244&gt;35,FZ97+FY98-GH97,IF(A98&lt;'Données projet'!$A$244,$FW$205^A98,IF(A98='Données projet'!$A$244,'Données projet'!$B$244,FZ97+FY98-GH97)))</f>
        <v>269.99999999999994</v>
      </c>
      <c r="GA98" s="17">
        <f>FZ98*VLOOKUP('Données projet'!$B$17,Paramètres!$A$1:$I$89,3,0)*VLOOKUP('Données projet'!$B$17,Paramètres!$A$1:$I$89,5,0)</f>
        <v>256.93199999999996</v>
      </c>
      <c r="GB98" s="13">
        <f t="shared" si="103"/>
        <v>62.067953229346557</v>
      </c>
      <c r="GC98" s="20">
        <f t="shared" si="79"/>
        <v>555.59158520777839</v>
      </c>
      <c r="GD98" s="59">
        <f t="shared" si="80"/>
        <v>848.92491854111177</v>
      </c>
      <c r="GE98" s="59">
        <f ca="1">AVERAGE(OFFSET($GD$3,0,0,'Données projet'!$E$17+1,1))-AVERAGE(OFFSET($H$3,0,0,'Données projet'!$E$17+1,1))</f>
        <v>455.71329051283936</v>
      </c>
      <c r="GF98" s="59">
        <f t="shared" si="104"/>
        <v>479.3743231122258</v>
      </c>
      <c r="GG98" s="15">
        <f>IF(ISNA(VLOOKUP(A98,'Données projet'!$A$243:$I$263,3,0)),0,VLOOKUP(A98,'Données projet'!$A$243:$I$263,3,0))</f>
        <v>18</v>
      </c>
      <c r="GH98" s="15">
        <f>IF(ISNA(VLOOKUP(A98,'Données projet'!$A$243:$I$263,4,0)),0,VLOOKUP(A98,'Données projet'!$A$243:$I$263,4,0))</f>
        <v>23</v>
      </c>
      <c r="GI98" s="16">
        <f>IF(ISNA(VLOOKUP(A98,'Données projet'!$A$243:$I$263,5,0)),0%,VLOOKUP(A98,'Données projet'!$A$243:$I$263,5,0)*VLOOKUP('Données projet'!$B$17,Paramètres!$A$1:$I$89,7,0))</f>
        <v>0.43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94.178118298594782</v>
      </c>
      <c r="GM98" s="21">
        <f>EXP(-LN(2)/25)*GM97+(1-EXP(-LN(2)/25))/(LN(2)/25)*Calculateur!GH98*Calculateur!GJ98*VLOOKUP('Données projet'!$B$17,Paramètres!$A$1:$I$89,3,0)*0.475*44/12</f>
        <v>0</v>
      </c>
      <c r="GN98" s="21">
        <f>EXP(-LN(2)/2)*GN97+(1-EXP(-LN(2)/2))/(LN(2)/2)*GH98*GK98*VLOOKUP('Données projet'!$B$17,Paramètres!$A$1:$I$89,3,0)*0.475*44/12</f>
        <v>0</v>
      </c>
      <c r="GO98" s="21">
        <f t="shared" si="81"/>
        <v>94.178118298594782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367.99999999999972</v>
      </c>
      <c r="GV98" s="17">
        <f>GU98*VLOOKUP('Données projet'!$B$18,Paramètres!$A$1:$I$89,3,0)*VLOOKUP('Données projet'!$B$18,Paramètres!$A$1:$I$89,5,0)</f>
        <v>298.52159999999981</v>
      </c>
      <c r="GW98" s="13">
        <f t="shared" si="105"/>
        <v>70.866444995542437</v>
      </c>
      <c r="GX98" s="20">
        <f t="shared" si="82"/>
        <v>643.35084503390271</v>
      </c>
      <c r="GY98" s="59">
        <f t="shared" si="83"/>
        <v>936.68417836723597</v>
      </c>
      <c r="GZ98" s="59">
        <f ca="1">AVERAGE(OFFSET($GY$3,0,0,'Données projet'!$E$18+1,1))-AVERAGE(OFFSET($H$3,0,0,'Données projet'!$E$18+1,1))</f>
        <v>412.59676769258488</v>
      </c>
      <c r="HA98" s="59">
        <f t="shared" si="106"/>
        <v>399.90063795152133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37.881225062181834</v>
      </c>
      <c r="HH98" s="21">
        <f>EXP(-LN(2)/25)*HH97+(1-EXP(-LN(2)/25))/(LN(2)/25)*Calculateur!HC98*Calculateur!HE98*VLOOKUP('Données projet'!$B$18,Paramètres!$A$1:$I$89,3,0)*0.475*44/12</f>
        <v>0</v>
      </c>
      <c r="HI98" s="21">
        <f>EXP(-LN(2)/2)*HI97+(1-EXP(-LN(2)/2))/(LN(2)/2)*HC98*HF98*VLOOKUP('Données projet'!$B$18,Paramètres!$A$1:$I$89,3,0)*0.475*44/12</f>
        <v>0</v>
      </c>
      <c r="HJ98" s="22">
        <f t="shared" si="84"/>
        <v>37.881225062181834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5.6</v>
      </c>
      <c r="N99" s="13">
        <f>IF('Données projet'!$A$36&gt;35,N98+M99-V98,IF(A99&lt;'Données projet'!$A$36,$K$205^A99,IF(A99='Données projet'!$A$36,'Données projet'!$B$36,N98+M99-V98)))</f>
        <v>310.59999999999991</v>
      </c>
      <c r="O99" s="13">
        <f>N99*VLOOKUP('Données projet'!$B$9,Paramètres!$A$1:$I$89,3,0)*VLOOKUP('Données projet'!$B$9,Paramètres!$A$1:$I$89,5,0)</f>
        <v>281.03087999999991</v>
      </c>
      <c r="P99" s="13">
        <f t="shared" si="87"/>
        <v>67.184816842275467</v>
      </c>
      <c r="Q99" s="20">
        <f t="shared" ref="Q99:Q130" si="107">(O99+P99)*0.475*44/12</f>
        <v>606.4756720002963</v>
      </c>
      <c r="R99" s="59">
        <f t="shared" si="55"/>
        <v>899.80900533362956</v>
      </c>
      <c r="S99" s="59">
        <f ca="1">AVERAGE(OFFSET($R$3,0,0,'Données projet'!$E$9+1,1))-AVERAGE(OFFSET($H$3,0,0,'Données projet'!$E$9+1,1))</f>
        <v>439.19854273764042</v>
      </c>
      <c r="T99" s="59">
        <f t="shared" si="88"/>
        <v>278.21741231699929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90.66669396455697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90.66669396455697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5.6</v>
      </c>
      <c r="AI99" s="13">
        <f>IF('Données projet'!$A$62&gt;35,AI98+AH99-AQ98,IF(A99&lt;'Données projet'!$A$62,$AF$205^A99,IF(A99='Données projet'!$A$62,'Données projet'!$B$62,AI98+AH99-AQ98)))</f>
        <v>310.59999999999991</v>
      </c>
      <c r="AJ99" s="13">
        <f>AI99*VLOOKUP('Données projet'!$B$10,Paramètres!$A$1:$I$89,3,0)*VLOOKUP('Données projet'!$B$10,Paramètres!$A$1:$I$89,5,0)</f>
        <v>314.94839999999994</v>
      </c>
      <c r="AK99" s="13">
        <f t="shared" si="89"/>
        <v>74.301298626081149</v>
      </c>
      <c r="AL99" s="20">
        <f t="shared" si="58"/>
        <v>677.94322510709128</v>
      </c>
      <c r="AM99" s="59">
        <f t="shared" si="59"/>
        <v>971.27655844042465</v>
      </c>
      <c r="AN99" s="59">
        <f ca="1">AVERAGE(OFFSET($AM$3,0,0,'Données projet'!$E$10+1,1))-AVERAGE(OFFSET($H$3,0,0,'Données projet'!$E$10+1,1))</f>
        <v>487.18832528146936</v>
      </c>
      <c r="AO99" s="59">
        <f t="shared" si="90"/>
        <v>306.61893266146666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101.60922599476211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101.60922599476211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369.00000000000023</v>
      </c>
      <c r="BE99" s="13">
        <f>BD99*VLOOKUP('Données projet'!$B$11,Paramètres!$A$1:$I$89,3,0)*VLOOKUP('Données projet'!$B$11,Paramètres!$A$1:$I$89,5,0)</f>
        <v>333.87120000000021</v>
      </c>
      <c r="BF99" s="13">
        <f t="shared" si="91"/>
        <v>78.23236011137638</v>
      </c>
      <c r="BG99" s="20">
        <f t="shared" si="61"/>
        <v>717.74703386064755</v>
      </c>
      <c r="BH99" s="59">
        <f t="shared" si="62"/>
        <v>1011.0803671939809</v>
      </c>
      <c r="BI99" s="59">
        <f ca="1">AVERAGE(OFFSET($BH$3,0,0,'Données projet'!$E$11+1,1))-AVERAGE(OFFSET($H$3,0,0,'Données projet'!$E$11+1,1))</f>
        <v>436.23918637269577</v>
      </c>
      <c r="BJ99" s="59">
        <f t="shared" si="92"/>
        <v>611.43967996341894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2.8606668889431277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2.8606668889431277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224.00000000000006</v>
      </c>
      <c r="BZ99" s="13">
        <f>BY99*VLOOKUP('Données projet'!$B$12,Paramètres!$A$1:$I$89,3,0)*VLOOKUP('Données projet'!$B$12,Paramètres!$A$1:$I$89,5,0)</f>
        <v>195.68640000000008</v>
      </c>
      <c r="CA99" s="13">
        <f t="shared" si="93"/>
        <v>48.794969360985156</v>
      </c>
      <c r="CB99" s="20">
        <f t="shared" si="64"/>
        <v>425.8050516370493</v>
      </c>
      <c r="CC99" s="59">
        <f t="shared" si="65"/>
        <v>719.13838497038262</v>
      </c>
      <c r="CD99" s="59">
        <f ca="1">AVERAGE(OFFSET($CC$3,0,0,'Données projet'!$E$12+1,1))-AVERAGE(OFFSET($H$3,0,0,'Données projet'!$E$12+1,1))</f>
        <v>304.32767345253382</v>
      </c>
      <c r="CE99" s="59">
        <f t="shared" si="94"/>
        <v>427.16091343339173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30.892305407198947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30.892305407198947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739.99999999999966</v>
      </c>
      <c r="CU99" s="17">
        <f>CT99*VLOOKUP('Données projet'!$B$13,Paramètres!$A$1:$I$89,3,0)*VLOOKUP('Données projet'!$B$13,Paramètres!$A$1:$I$89,5,0)</f>
        <v>413.65999999999985</v>
      </c>
      <c r="CV99" s="13">
        <f t="shared" si="95"/>
        <v>94.540585122244352</v>
      </c>
      <c r="CW99" s="20">
        <f t="shared" si="67"/>
        <v>885.11601908790863</v>
      </c>
      <c r="CX99" s="59">
        <f t="shared" si="68"/>
        <v>1178.4493524212419</v>
      </c>
      <c r="CY99" s="59">
        <f ca="1">AVERAGE(OFFSET($CX$3,0,0,'Données projet'!$E$13+1,1))-AVERAGE(OFFSET($H$3,0,0,'Données projet'!$E$13+1,1))</f>
        <v>555.15881087162279</v>
      </c>
      <c r="CZ99" s="59">
        <f t="shared" si="96"/>
        <v>668.20427590250733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60.537201360227989</v>
      </c>
      <c r="DG99" s="21">
        <f>EXP(-LN(2)/25)*DG98+(1-EXP(-LN(2)/25))/(LN(2)/25)*Calculateur!DB99*Calculateur!DD99*VLOOKUP('Données projet'!$B$13,Paramètres!$A$1:$I$89,3,0)*0.475*44/12</f>
        <v>9.269808890165363</v>
      </c>
      <c r="DH99" s="21">
        <f>EXP(-LN(2)/2)*DH98+(1-EXP(-LN(2)/2))/(LN(2)/2)*DB99*DE99*VLOOKUP('Données projet'!$B$13,Paramètres!$A$1:$I$89,3,0)*0.475*44/12</f>
        <v>9.9009294847360015E-11</v>
      </c>
      <c r="DI99" s="22">
        <f t="shared" si="69"/>
        <v>69.807010250492354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911.99999999999898</v>
      </c>
      <c r="DP99" s="17">
        <f>DO99*VLOOKUP('Données projet'!$B$14,Paramètres!$A$1:$I$89,3,0)*VLOOKUP('Données projet'!$B$14,Paramètres!$A$1:$I$89,5,0)</f>
        <v>426.81599999999946</v>
      </c>
      <c r="DQ99" s="13">
        <f t="shared" si="97"/>
        <v>97.192496986872399</v>
      </c>
      <c r="DR99" s="20">
        <f t="shared" si="70"/>
        <v>912.64813225213504</v>
      </c>
      <c r="DS99" s="59">
        <f t="shared" si="71"/>
        <v>1205.9814655854684</v>
      </c>
      <c r="DT99" s="59">
        <f ca="1">AVERAGE(OFFSET($DS$3,0,0,'Données projet'!$E$14+1,1))-AVERAGE(OFFSET($H$3,0,0,'Données projet'!$E$14+1,1))</f>
        <v>523.79180230463714</v>
      </c>
      <c r="DU99" s="59">
        <f t="shared" si="98"/>
        <v>459.3547783500515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108.2629637216732</v>
      </c>
      <c r="EB99" s="21">
        <f>EXP(-LN(2)/25)*EB98+(1-EXP(-LN(2)/25))/(LN(2)/25)*Calculateur!DW99*Calculateur!DY99*VLOOKUP('Données projet'!$B$14,Paramètres!$A$1:$I$89,3,0)*0.475*44/12</f>
        <v>8.5734000782976008</v>
      </c>
      <c r="EC99" s="21">
        <f>EXP(-LN(2)/2)*EC98+(1-EXP(-LN(2)/2))/(LN(2)/2)*DW99*DZ99*VLOOKUP('Données projet'!$B$14,Paramètres!$A$1:$I$89,3,0)*0.475*44/12</f>
        <v>1.3879507422626116E-10</v>
      </c>
      <c r="ED99" s="22">
        <f t="shared" si="72"/>
        <v>116.83636380010959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367.99999999999972</v>
      </c>
      <c r="EK99" s="17">
        <f>EJ99*VLOOKUP('Données projet'!$B$15,Paramètres!$A$1:$I$89,3,0)*VLOOKUP('Données projet'!$B$15,Paramètres!$A$1:$I$89,5,0)</f>
        <v>355.92959999999977</v>
      </c>
      <c r="EL99" s="13">
        <f t="shared" si="99"/>
        <v>82.782281100458206</v>
      </c>
      <c r="EM99" s="20">
        <f t="shared" si="73"/>
        <v>764.08985958329765</v>
      </c>
      <c r="EN99" s="59">
        <f t="shared" si="74"/>
        <v>1057.423192916631</v>
      </c>
      <c r="EO99" s="59">
        <f ca="1">AVERAGE(OFFSET($EN$3,0,0,'Données projet'!$E$15+1,1))-AVERAGE(OFFSET($H$3,0,0,'Données projet'!$E$15+1,1))</f>
        <v>484.41278617935654</v>
      </c>
      <c r="EP99" s="59">
        <f t="shared" si="100"/>
        <v>467.97490540700738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44.280396833204847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44.280396833204847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367.99999999999972</v>
      </c>
      <c r="FF99" s="17">
        <f>FE99*VLOOKUP('Données projet'!$B$16,Paramètres!$A$1:$I$89,3,0)*VLOOKUP('Données projet'!$B$16,Paramètres!$A$1:$I$89,5,0)</f>
        <v>396.11519999999967</v>
      </c>
      <c r="FG99" s="13">
        <f t="shared" si="101"/>
        <v>90.988634849704994</v>
      </c>
      <c r="FH99" s="20">
        <f t="shared" si="76"/>
        <v>848.37251236323561</v>
      </c>
      <c r="FI99" s="59">
        <f t="shared" si="77"/>
        <v>1141.705845696569</v>
      </c>
      <c r="FJ99" s="59">
        <f ca="1">AVERAGE(OFFSET($FI$3,0,0,'Données projet'!$E$16+1,1))-AVERAGE(OFFSET($H$3,0,0,'Données projet'!$E$16+1,1))</f>
        <v>534.54020133239135</v>
      </c>
      <c r="FK99" s="59">
        <f t="shared" si="102"/>
        <v>515.48696069008815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49.279796475663474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49.279796475663474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4.5999999999999996</v>
      </c>
      <c r="FZ99" s="12">
        <f>IF('Données projet'!$A$244&gt;35,FZ98+FY99-GH98,IF(A99&lt;'Données projet'!$A$244,$FW$205^A99,IF(A99='Données projet'!$A$244,'Données projet'!$B$244,FZ98+FY99-GH98)))</f>
        <v>251.59999999999997</v>
      </c>
      <c r="GA99" s="17">
        <f>FZ99*VLOOKUP('Données projet'!$B$17,Paramètres!$A$1:$I$89,3,0)*VLOOKUP('Données projet'!$B$17,Paramètres!$A$1:$I$89,5,0)</f>
        <v>239.42255999999998</v>
      </c>
      <c r="GB99" s="13">
        <f t="shared" si="103"/>
        <v>58.315274040589699</v>
      </c>
      <c r="GC99" s="20">
        <f t="shared" si="79"/>
        <v>518.56006095402699</v>
      </c>
      <c r="GD99" s="59">
        <f t="shared" si="80"/>
        <v>811.89339428736025</v>
      </c>
      <c r="GE99" s="59">
        <f ca="1">AVERAGE(OFFSET($GD$3,0,0,'Données projet'!$E$17+1,1))-AVERAGE(OFFSET($H$3,0,0,'Données projet'!$E$17+1,1))</f>
        <v>455.71329051283936</v>
      </c>
      <c r="GF99" s="59">
        <f t="shared" si="104"/>
        <v>479.3743231122258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92.331342841739485</v>
      </c>
      <c r="GM99" s="21">
        <f>EXP(-LN(2)/25)*GM98+(1-EXP(-LN(2)/25))/(LN(2)/25)*Calculateur!GH99*Calculateur!GJ99*VLOOKUP('Données projet'!$B$17,Paramètres!$A$1:$I$89,3,0)*0.475*44/12</f>
        <v>0</v>
      </c>
      <c r="GN99" s="21">
        <f>EXP(-LN(2)/2)*GN98+(1-EXP(-LN(2)/2))/(LN(2)/2)*GH99*GK99*VLOOKUP('Données projet'!$B$17,Paramètres!$A$1:$I$89,3,0)*0.475*44/12</f>
        <v>0</v>
      </c>
      <c r="GO99" s="21">
        <f t="shared" si="81"/>
        <v>92.331342841739485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367.99999999999972</v>
      </c>
      <c r="GV99" s="17">
        <f>GU99*VLOOKUP('Données projet'!$B$18,Paramètres!$A$1:$I$89,3,0)*VLOOKUP('Données projet'!$B$18,Paramètres!$A$1:$I$89,5,0)</f>
        <v>298.52159999999981</v>
      </c>
      <c r="GW99" s="13">
        <f t="shared" si="105"/>
        <v>70.866444995542437</v>
      </c>
      <c r="GX99" s="20">
        <f t="shared" si="82"/>
        <v>643.35084503390271</v>
      </c>
      <c r="GY99" s="59">
        <f t="shared" si="83"/>
        <v>936.68417836723597</v>
      </c>
      <c r="GZ99" s="59">
        <f ca="1">AVERAGE(OFFSET($GY$3,0,0,'Données projet'!$E$18+1,1))-AVERAGE(OFFSET($H$3,0,0,'Données projet'!$E$18+1,1))</f>
        <v>412.59676769258488</v>
      </c>
      <c r="HA99" s="59">
        <f t="shared" si="106"/>
        <v>399.90063795152133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37.138397343978284</v>
      </c>
      <c r="HH99" s="21">
        <f>EXP(-LN(2)/25)*HH98+(1-EXP(-LN(2)/25))/(LN(2)/25)*Calculateur!HC99*Calculateur!HE99*VLOOKUP('Données projet'!$B$18,Paramètres!$A$1:$I$89,3,0)*0.475*44/12</f>
        <v>0</v>
      </c>
      <c r="HI99" s="21">
        <f>EXP(-LN(2)/2)*HI98+(1-EXP(-LN(2)/2))/(LN(2)/2)*HC99*HF99*VLOOKUP('Données projet'!$B$18,Paramètres!$A$1:$I$89,3,0)*0.475*44/12</f>
        <v>0</v>
      </c>
      <c r="HJ99" s="22">
        <f t="shared" si="84"/>
        <v>37.138397343978284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5.6</v>
      </c>
      <c r="N100" s="13">
        <f>IF('Données projet'!$A$36&gt;35,N99+M100-V99,IF(A100&lt;'Données projet'!$A$36,$K$205^A100,IF(A100='Données projet'!$A$36,'Données projet'!$B$36,N99+M100-V99)))</f>
        <v>316.19999999999993</v>
      </c>
      <c r="O100" s="13">
        <f>N100*VLOOKUP('Données projet'!$B$9,Paramètres!$A$1:$I$89,3,0)*VLOOKUP('Données projet'!$B$9,Paramètres!$A$1:$I$89,5,0)</f>
        <v>286.09775999999994</v>
      </c>
      <c r="P100" s="13">
        <f t="shared" si="87"/>
        <v>68.254020651723678</v>
      </c>
      <c r="Q100" s="20">
        <f t="shared" si="107"/>
        <v>617.16268463508527</v>
      </c>
      <c r="R100" s="59">
        <f t="shared" si="55"/>
        <v>910.49601796841853</v>
      </c>
      <c r="S100" s="59">
        <f ca="1">AVERAGE(OFFSET($R$3,0,0,'Données projet'!$E$9+1,1))-AVERAGE(OFFSET($H$3,0,0,'Données projet'!$E$9+1,1))</f>
        <v>439.19854273764042</v>
      </c>
      <c r="T100" s="59">
        <f t="shared" si="88"/>
        <v>278.21741231699929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88.888775397134779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88.888775397134779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5.6</v>
      </c>
      <c r="AI100" s="13">
        <f>IF('Données projet'!$A$62&gt;35,AI99+AH100-AQ99,IF(A100&lt;'Données projet'!$A$62,$AF$205^A100,IF(A100='Données projet'!$A$62,'Données projet'!$B$62,AI99+AH100-AQ99)))</f>
        <v>316.19999999999993</v>
      </c>
      <c r="AJ100" s="13">
        <f>AI100*VLOOKUP('Données projet'!$B$10,Paramètres!$A$1:$I$89,3,0)*VLOOKUP('Données projet'!$B$10,Paramètres!$A$1:$I$89,5,0)</f>
        <v>320.62679999999995</v>
      </c>
      <c r="AK100" s="13">
        <f t="shared" si="89"/>
        <v>75.483756735990909</v>
      </c>
      <c r="AL100" s="20">
        <f t="shared" si="58"/>
        <v>689.89255298185071</v>
      </c>
      <c r="AM100" s="59">
        <f t="shared" si="59"/>
        <v>983.22588631518397</v>
      </c>
      <c r="AN100" s="59">
        <f ca="1">AVERAGE(OFFSET($AM$3,0,0,'Données projet'!$E$10+1,1))-AVERAGE(OFFSET($H$3,0,0,'Données projet'!$E$10+1,1))</f>
        <v>487.18832528146936</v>
      </c>
      <c r="AO100" s="59">
        <f t="shared" si="90"/>
        <v>306.61893266146666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99.616731048513117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99.616731048513117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369.00000000000023</v>
      </c>
      <c r="BE100" s="13">
        <f>BD100*VLOOKUP('Données projet'!$B$11,Paramètres!$A$1:$I$89,3,0)*VLOOKUP('Données projet'!$B$11,Paramètres!$A$1:$I$89,5,0)</f>
        <v>333.87120000000021</v>
      </c>
      <c r="BF100" s="13">
        <f t="shared" si="91"/>
        <v>78.23236011137638</v>
      </c>
      <c r="BG100" s="20">
        <f t="shared" si="61"/>
        <v>717.74703386064755</v>
      </c>
      <c r="BH100" s="59">
        <f t="shared" si="62"/>
        <v>1011.0803671939809</v>
      </c>
      <c r="BI100" s="59">
        <f ca="1">AVERAGE(OFFSET($BH$3,0,0,'Données projet'!$E$11+1,1))-AVERAGE(OFFSET($H$3,0,0,'Données projet'!$E$11+1,1))</f>
        <v>436.23918637269577</v>
      </c>
      <c r="BJ100" s="59">
        <f t="shared" si="92"/>
        <v>611.43967996341894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2.8045709560854672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2.8045709560854672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224.00000000000006</v>
      </c>
      <c r="BZ100" s="13">
        <f>BY100*VLOOKUP('Données projet'!$B$12,Paramètres!$A$1:$I$89,3,0)*VLOOKUP('Données projet'!$B$12,Paramètres!$A$1:$I$89,5,0)</f>
        <v>195.68640000000008</v>
      </c>
      <c r="CA100" s="13">
        <f t="shared" si="93"/>
        <v>48.794969360985156</v>
      </c>
      <c r="CB100" s="20">
        <f t="shared" si="64"/>
        <v>425.8050516370493</v>
      </c>
      <c r="CC100" s="59">
        <f t="shared" si="65"/>
        <v>719.13838497038262</v>
      </c>
      <c r="CD100" s="59">
        <f ca="1">AVERAGE(OFFSET($CC$3,0,0,'Données projet'!$E$12+1,1))-AVERAGE(OFFSET($H$3,0,0,'Données projet'!$E$12+1,1))</f>
        <v>304.32767345253382</v>
      </c>
      <c r="CE100" s="59">
        <f t="shared" si="94"/>
        <v>427.16091343339173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30.286526140609539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30.286526140609539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739.99999999999966</v>
      </c>
      <c r="CU100" s="17">
        <f>CT100*VLOOKUP('Données projet'!$B$13,Paramètres!$A$1:$I$89,3,0)*VLOOKUP('Données projet'!$B$13,Paramètres!$A$1:$I$89,5,0)</f>
        <v>413.65999999999985</v>
      </c>
      <c r="CV100" s="13">
        <f t="shared" si="95"/>
        <v>94.540585122244352</v>
      </c>
      <c r="CW100" s="20">
        <f t="shared" si="67"/>
        <v>885.11601908790863</v>
      </c>
      <c r="CX100" s="59">
        <f t="shared" si="68"/>
        <v>1178.4493524212419</v>
      </c>
      <c r="CY100" s="59">
        <f ca="1">AVERAGE(OFFSET($CX$3,0,0,'Données projet'!$E$13+1,1))-AVERAGE(OFFSET($H$3,0,0,'Données projet'!$E$13+1,1))</f>
        <v>555.15881087162279</v>
      </c>
      <c r="CZ100" s="59">
        <f t="shared" si="96"/>
        <v>668.20427590250733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59.350103765600799</v>
      </c>
      <c r="DG100" s="21">
        <f>EXP(-LN(2)/25)*DG99+(1-EXP(-LN(2)/25))/(LN(2)/25)*Calculateur!DB100*Calculateur!DD100*VLOOKUP('Données projet'!$B$13,Paramètres!$A$1:$I$89,3,0)*0.475*44/12</f>
        <v>9.0163254785857276</v>
      </c>
      <c r="DH100" s="21">
        <f>EXP(-LN(2)/2)*DH99+(1-EXP(-LN(2)/2))/(LN(2)/2)*DB100*DE100*VLOOKUP('Données projet'!$B$13,Paramètres!$A$1:$I$89,3,0)*0.475*44/12</f>
        <v>7.0010143787066564E-11</v>
      </c>
      <c r="DI100" s="22">
        <f t="shared" si="69"/>
        <v>68.366429244256537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911.99999999999898</v>
      </c>
      <c r="DP100" s="17">
        <f>DO100*VLOOKUP('Données projet'!$B$14,Paramètres!$A$1:$I$89,3,0)*VLOOKUP('Données projet'!$B$14,Paramètres!$A$1:$I$89,5,0)</f>
        <v>426.81599999999946</v>
      </c>
      <c r="DQ100" s="13">
        <f t="shared" si="97"/>
        <v>97.192496986872399</v>
      </c>
      <c r="DR100" s="20">
        <f t="shared" si="70"/>
        <v>912.64813225213504</v>
      </c>
      <c r="DS100" s="59">
        <f t="shared" si="71"/>
        <v>1205.9814655854684</v>
      </c>
      <c r="DT100" s="59">
        <f ca="1">AVERAGE(OFFSET($DS$3,0,0,'Données projet'!$E$14+1,1))-AVERAGE(OFFSET($H$3,0,0,'Données projet'!$E$14+1,1))</f>
        <v>523.79180230463714</v>
      </c>
      <c r="DU100" s="59">
        <f t="shared" si="98"/>
        <v>459.3547783500515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106.13999303697875</v>
      </c>
      <c r="EB100" s="21">
        <f>EXP(-LN(2)/25)*EB99+(1-EXP(-LN(2)/25))/(LN(2)/25)*Calculateur!DW100*Calculateur!DY100*VLOOKUP('Données projet'!$B$14,Paramètres!$A$1:$I$89,3,0)*0.475*44/12</f>
        <v>8.3389600023010377</v>
      </c>
      <c r="EC100" s="21">
        <f>EXP(-LN(2)/2)*EC99+(1-EXP(-LN(2)/2))/(LN(2)/2)*DW100*DZ100*VLOOKUP('Données projet'!$B$14,Paramètres!$A$1:$I$89,3,0)*0.475*44/12</f>
        <v>9.8142938180679471E-11</v>
      </c>
      <c r="ED100" s="22">
        <f t="shared" si="72"/>
        <v>114.47895303937793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367.99999999999972</v>
      </c>
      <c r="EK100" s="17">
        <f>EJ100*VLOOKUP('Données projet'!$B$15,Paramètres!$A$1:$I$89,3,0)*VLOOKUP('Données projet'!$B$15,Paramètres!$A$1:$I$89,5,0)</f>
        <v>355.92959999999977</v>
      </c>
      <c r="EL100" s="13">
        <f t="shared" si="99"/>
        <v>82.782281100458206</v>
      </c>
      <c r="EM100" s="20">
        <f t="shared" si="73"/>
        <v>764.08985958329765</v>
      </c>
      <c r="EN100" s="59">
        <f t="shared" si="74"/>
        <v>1057.423192916631</v>
      </c>
      <c r="EO100" s="59">
        <f ca="1">AVERAGE(OFFSET($EN$3,0,0,'Données projet'!$E$15+1,1))-AVERAGE(OFFSET($H$3,0,0,'Données projet'!$E$15+1,1))</f>
        <v>484.41278617935654</v>
      </c>
      <c r="EP100" s="59">
        <f t="shared" si="100"/>
        <v>467.97490540700738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43.412085259680914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43.412085259680914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367.99999999999972</v>
      </c>
      <c r="FF100" s="17">
        <f>FE100*VLOOKUP('Données projet'!$B$16,Paramètres!$A$1:$I$89,3,0)*VLOOKUP('Données projet'!$B$16,Paramètres!$A$1:$I$89,5,0)</f>
        <v>396.11519999999967</v>
      </c>
      <c r="FG100" s="13">
        <f t="shared" si="101"/>
        <v>90.988634849704994</v>
      </c>
      <c r="FH100" s="20">
        <f t="shared" si="76"/>
        <v>848.37251236323561</v>
      </c>
      <c r="FI100" s="59">
        <f t="shared" si="77"/>
        <v>1141.705845696569</v>
      </c>
      <c r="FJ100" s="59">
        <f ca="1">AVERAGE(OFFSET($FI$3,0,0,'Données projet'!$E$16+1,1))-AVERAGE(OFFSET($H$3,0,0,'Données projet'!$E$16+1,1))</f>
        <v>534.54020133239135</v>
      </c>
      <c r="FK100" s="59">
        <f t="shared" si="102"/>
        <v>515.48696069008815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48.313449724483611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48.313449724483611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4.5999999999999996</v>
      </c>
      <c r="FZ100" s="12">
        <f>IF('Données projet'!$A$244&gt;35,FZ99+FY100-GH99,IF(A100&lt;'Données projet'!$A$244,$FW$205^A100,IF(A100='Données projet'!$A$244,'Données projet'!$B$244,FZ99+FY100-GH99)))</f>
        <v>256.2</v>
      </c>
      <c r="GA100" s="17">
        <f>FZ100*VLOOKUP('Données projet'!$B$17,Paramètres!$A$1:$I$89,3,0)*VLOOKUP('Données projet'!$B$17,Paramètres!$A$1:$I$89,5,0)</f>
        <v>243.79991999999999</v>
      </c>
      <c r="GB100" s="13">
        <f t="shared" si="103"/>
        <v>59.256352807083054</v>
      </c>
      <c r="GC100" s="20">
        <f t="shared" si="79"/>
        <v>527.82300847233626</v>
      </c>
      <c r="GD100" s="59">
        <f t="shared" si="80"/>
        <v>821.15634180566963</v>
      </c>
      <c r="GE100" s="59">
        <f ca="1">AVERAGE(OFFSET($GD$3,0,0,'Données projet'!$E$17+1,1))-AVERAGE(OFFSET($H$3,0,0,'Données projet'!$E$17+1,1))</f>
        <v>455.71329051283936</v>
      </c>
      <c r="GF100" s="59">
        <f t="shared" si="104"/>
        <v>479.3743231122258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90.520781525171301</v>
      </c>
      <c r="GM100" s="21">
        <f>EXP(-LN(2)/25)*GM99+(1-EXP(-LN(2)/25))/(LN(2)/25)*Calculateur!GH100*Calculateur!GJ100*VLOOKUP('Données projet'!$B$17,Paramètres!$A$1:$I$89,3,0)*0.475*44/12</f>
        <v>0</v>
      </c>
      <c r="GN100" s="21">
        <f>EXP(-LN(2)/2)*GN99+(1-EXP(-LN(2)/2))/(LN(2)/2)*GH100*GK100*VLOOKUP('Données projet'!$B$17,Paramètres!$A$1:$I$89,3,0)*0.475*44/12</f>
        <v>0</v>
      </c>
      <c r="GO100" s="21">
        <f t="shared" si="81"/>
        <v>90.520781525171301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367.99999999999972</v>
      </c>
      <c r="GV100" s="17">
        <f>GU100*VLOOKUP('Données projet'!$B$18,Paramètres!$A$1:$I$89,3,0)*VLOOKUP('Données projet'!$B$18,Paramètres!$A$1:$I$89,5,0)</f>
        <v>298.52159999999981</v>
      </c>
      <c r="GW100" s="13">
        <f t="shared" si="105"/>
        <v>70.866444995542437</v>
      </c>
      <c r="GX100" s="20">
        <f t="shared" si="82"/>
        <v>643.35084503390271</v>
      </c>
      <c r="GY100" s="59">
        <f t="shared" si="83"/>
        <v>936.68417836723597</v>
      </c>
      <c r="GZ100" s="59">
        <f ca="1">AVERAGE(OFFSET($GY$3,0,0,'Données projet'!$E$18+1,1))-AVERAGE(OFFSET($H$3,0,0,'Données projet'!$E$18+1,1))</f>
        <v>412.59676769258488</v>
      </c>
      <c r="HA100" s="59">
        <f t="shared" si="106"/>
        <v>399.90063795152133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36.41013602424853</v>
      </c>
      <c r="HH100" s="21">
        <f>EXP(-LN(2)/25)*HH99+(1-EXP(-LN(2)/25))/(LN(2)/25)*Calculateur!HC100*Calculateur!HE100*VLOOKUP('Données projet'!$B$18,Paramètres!$A$1:$I$89,3,0)*0.475*44/12</f>
        <v>0</v>
      </c>
      <c r="HI100" s="21">
        <f>EXP(-LN(2)/2)*HI99+(1-EXP(-LN(2)/2))/(LN(2)/2)*HC100*HF100*VLOOKUP('Données projet'!$B$18,Paramètres!$A$1:$I$89,3,0)*0.475*44/12</f>
        <v>0</v>
      </c>
      <c r="HJ100" s="22">
        <f t="shared" si="84"/>
        <v>36.41013602424853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5.6</v>
      </c>
      <c r="N101" s="13">
        <f>IF('Données projet'!$A$36&gt;35,N100+M101-V100,IF(A101&lt;'Données projet'!$A$36,$K$205^A101,IF(A101='Données projet'!$A$36,'Données projet'!$B$36,N100+M101-V100)))</f>
        <v>321.79999999999995</v>
      </c>
      <c r="O101" s="13">
        <f>N101*VLOOKUP('Données projet'!$B$9,Paramètres!$A$1:$I$89,3,0)*VLOOKUP('Données projet'!$B$9,Paramètres!$A$1:$I$89,5,0)</f>
        <v>291.16463999999991</v>
      </c>
      <c r="P101" s="13">
        <f t="shared" si="87"/>
        <v>69.321022467464644</v>
      </c>
      <c r="Q101" s="20">
        <f t="shared" si="107"/>
        <v>627.84586213083401</v>
      </c>
      <c r="R101" s="59">
        <f t="shared" si="55"/>
        <v>921.17919546416738</v>
      </c>
      <c r="S101" s="59">
        <f ca="1">AVERAGE(OFFSET($R$3,0,0,'Données projet'!$E$9+1,1))-AVERAGE(OFFSET($H$3,0,0,'Données projet'!$E$9+1,1))</f>
        <v>439.19854273764042</v>
      </c>
      <c r="T101" s="59">
        <f t="shared" si="88"/>
        <v>278.21741231699929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87.145720728396498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87.145720728396498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5.6</v>
      </c>
      <c r="AI101" s="13">
        <f>IF('Données projet'!$A$62&gt;35,AI100+AH101-AQ100,IF(A101&lt;'Données projet'!$A$62,$AF$205^A101,IF(A101='Données projet'!$A$62,'Données projet'!$B$62,AI100+AH101-AQ100)))</f>
        <v>321.79999999999995</v>
      </c>
      <c r="AJ101" s="13">
        <f>AI101*VLOOKUP('Données projet'!$B$10,Paramètres!$A$1:$I$89,3,0)*VLOOKUP('Données projet'!$B$10,Paramètres!$A$1:$I$89,5,0)</f>
        <v>326.30520000000001</v>
      </c>
      <c r="AK101" s="13">
        <f t="shared" si="89"/>
        <v>76.663779608302349</v>
      </c>
      <c r="AL101" s="20">
        <f t="shared" si="58"/>
        <v>701.83763948445983</v>
      </c>
      <c r="AM101" s="59">
        <f t="shared" si="59"/>
        <v>995.1709728177932</v>
      </c>
      <c r="AN101" s="59">
        <f ca="1">AVERAGE(OFFSET($AM$3,0,0,'Données projet'!$E$10+1,1))-AVERAGE(OFFSET($H$3,0,0,'Données projet'!$E$10+1,1))</f>
        <v>487.18832528146936</v>
      </c>
      <c r="AO101" s="59">
        <f t="shared" si="90"/>
        <v>306.61893266146666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97.663307712858142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97.663307712858142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369.00000000000023</v>
      </c>
      <c r="BE101" s="13">
        <f>BD101*VLOOKUP('Données projet'!$B$11,Paramètres!$A$1:$I$89,3,0)*VLOOKUP('Données projet'!$B$11,Paramètres!$A$1:$I$89,5,0)</f>
        <v>333.87120000000021</v>
      </c>
      <c r="BF101" s="13">
        <f t="shared" si="91"/>
        <v>78.23236011137638</v>
      </c>
      <c r="BG101" s="20">
        <f t="shared" si="61"/>
        <v>717.74703386064755</v>
      </c>
      <c r="BH101" s="59">
        <f t="shared" si="62"/>
        <v>1011.0803671939809</v>
      </c>
      <c r="BI101" s="59">
        <f ca="1">AVERAGE(OFFSET($BH$3,0,0,'Données projet'!$E$11+1,1))-AVERAGE(OFFSET($H$3,0,0,'Données projet'!$E$11+1,1))</f>
        <v>436.23918637269577</v>
      </c>
      <c r="BJ101" s="59">
        <f t="shared" si="92"/>
        <v>611.43967996341894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2.7495750302560049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2.7495750302560049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224.00000000000006</v>
      </c>
      <c r="BZ101" s="13">
        <f>BY101*VLOOKUP('Données projet'!$B$12,Paramètres!$A$1:$I$89,3,0)*VLOOKUP('Données projet'!$B$12,Paramètres!$A$1:$I$89,5,0)</f>
        <v>195.68640000000008</v>
      </c>
      <c r="CA101" s="13">
        <f t="shared" si="93"/>
        <v>48.794969360985156</v>
      </c>
      <c r="CB101" s="20">
        <f t="shared" si="64"/>
        <v>425.8050516370493</v>
      </c>
      <c r="CC101" s="59">
        <f t="shared" si="65"/>
        <v>719.13838497038262</v>
      </c>
      <c r="CD101" s="59">
        <f ca="1">AVERAGE(OFFSET($CC$3,0,0,'Données projet'!$E$12+1,1))-AVERAGE(OFFSET($H$3,0,0,'Données projet'!$E$12+1,1))</f>
        <v>304.32767345253382</v>
      </c>
      <c r="CE101" s="59">
        <f t="shared" si="94"/>
        <v>427.16091343339173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29.692625835949077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29.692625835949077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739.99999999999966</v>
      </c>
      <c r="CU101" s="17">
        <f>CT101*VLOOKUP('Données projet'!$B$13,Paramètres!$A$1:$I$89,3,0)*VLOOKUP('Données projet'!$B$13,Paramètres!$A$1:$I$89,5,0)</f>
        <v>413.65999999999985</v>
      </c>
      <c r="CV101" s="13">
        <f t="shared" si="95"/>
        <v>94.540585122244352</v>
      </c>
      <c r="CW101" s="20">
        <f t="shared" si="67"/>
        <v>885.11601908790863</v>
      </c>
      <c r="CX101" s="59">
        <f t="shared" si="68"/>
        <v>1178.4493524212419</v>
      </c>
      <c r="CY101" s="59">
        <f ca="1">AVERAGE(OFFSET($CX$3,0,0,'Données projet'!$E$13+1,1))-AVERAGE(OFFSET($H$3,0,0,'Données projet'!$E$13+1,1))</f>
        <v>555.15881087162279</v>
      </c>
      <c r="CZ101" s="59">
        <f t="shared" si="96"/>
        <v>668.20427590250733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58.186284430746213</v>
      </c>
      <c r="DG101" s="21">
        <f>EXP(-LN(2)/25)*DG100+(1-EXP(-LN(2)/25))/(LN(2)/25)*Calculateur!DB101*Calculateur!DD101*VLOOKUP('Données projet'!$B$13,Paramètres!$A$1:$I$89,3,0)*0.475*44/12</f>
        <v>8.7697735842258506</v>
      </c>
      <c r="DH101" s="21">
        <f>EXP(-LN(2)/2)*DH100+(1-EXP(-LN(2)/2))/(LN(2)/2)*DB101*DE101*VLOOKUP('Données projet'!$B$13,Paramètres!$A$1:$I$89,3,0)*0.475*44/12</f>
        <v>4.9504647423680008E-11</v>
      </c>
      <c r="DI101" s="22">
        <f t="shared" si="69"/>
        <v>66.956058015021569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911.99999999999898</v>
      </c>
      <c r="DP101" s="17">
        <f>DO101*VLOOKUP('Données projet'!$B$14,Paramètres!$A$1:$I$89,3,0)*VLOOKUP('Données projet'!$B$14,Paramètres!$A$1:$I$89,5,0)</f>
        <v>426.81599999999946</v>
      </c>
      <c r="DQ101" s="13">
        <f t="shared" si="97"/>
        <v>97.192496986872399</v>
      </c>
      <c r="DR101" s="20">
        <f t="shared" si="70"/>
        <v>912.64813225213504</v>
      </c>
      <c r="DS101" s="59">
        <f t="shared" si="71"/>
        <v>1205.9814655854684</v>
      </c>
      <c r="DT101" s="59">
        <f ca="1">AVERAGE(OFFSET($DS$3,0,0,'Données projet'!$E$14+1,1))-AVERAGE(OFFSET($H$3,0,0,'Données projet'!$E$14+1,1))</f>
        <v>523.79180230463714</v>
      </c>
      <c r="DU101" s="59">
        <f t="shared" si="98"/>
        <v>459.3547783500515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104.0586525125269</v>
      </c>
      <c r="EB101" s="21">
        <f>EXP(-LN(2)/25)*EB100+(1-EXP(-LN(2)/25))/(LN(2)/25)*Calculateur!DW101*Calculateur!DY101*VLOOKUP('Données projet'!$B$14,Paramètres!$A$1:$I$89,3,0)*0.475*44/12</f>
        <v>8.1109307025112685</v>
      </c>
      <c r="EC101" s="21">
        <f>EXP(-LN(2)/2)*EC100+(1-EXP(-LN(2)/2))/(LN(2)/2)*DW101*DZ101*VLOOKUP('Données projet'!$B$14,Paramètres!$A$1:$I$89,3,0)*0.475*44/12</f>
        <v>6.9397537113130579E-11</v>
      </c>
      <c r="ED101" s="22">
        <f t="shared" si="72"/>
        <v>112.16958321510756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367.99999999999972</v>
      </c>
      <c r="EK101" s="17">
        <f>EJ101*VLOOKUP('Données projet'!$B$15,Paramètres!$A$1:$I$89,3,0)*VLOOKUP('Données projet'!$B$15,Paramètres!$A$1:$I$89,5,0)</f>
        <v>355.92959999999977</v>
      </c>
      <c r="EL101" s="13">
        <f t="shared" si="99"/>
        <v>82.782281100458206</v>
      </c>
      <c r="EM101" s="20">
        <f t="shared" si="73"/>
        <v>764.08985958329765</v>
      </c>
      <c r="EN101" s="59">
        <f t="shared" si="74"/>
        <v>1057.423192916631</v>
      </c>
      <c r="EO101" s="59">
        <f ca="1">AVERAGE(OFFSET($EN$3,0,0,'Données projet'!$E$15+1,1))-AVERAGE(OFFSET($H$3,0,0,'Données projet'!$E$15+1,1))</f>
        <v>484.41278617935654</v>
      </c>
      <c r="EP101" s="59">
        <f t="shared" si="100"/>
        <v>467.97490540700738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42.560800746496021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42.560800746496021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367.99999999999972</v>
      </c>
      <c r="FF101" s="17">
        <f>FE101*VLOOKUP('Données projet'!$B$16,Paramètres!$A$1:$I$89,3,0)*VLOOKUP('Données projet'!$B$16,Paramètres!$A$1:$I$89,5,0)</f>
        <v>396.11519999999967</v>
      </c>
      <c r="FG101" s="13">
        <f t="shared" si="101"/>
        <v>90.988634849704994</v>
      </c>
      <c r="FH101" s="20">
        <f t="shared" si="76"/>
        <v>848.37251236323561</v>
      </c>
      <c r="FI101" s="59">
        <f t="shared" si="77"/>
        <v>1141.705845696569</v>
      </c>
      <c r="FJ101" s="59">
        <f ca="1">AVERAGE(OFFSET($FI$3,0,0,'Données projet'!$E$16+1,1))-AVERAGE(OFFSET($H$3,0,0,'Données projet'!$E$16+1,1))</f>
        <v>534.54020133239135</v>
      </c>
      <c r="FK101" s="59">
        <f t="shared" si="102"/>
        <v>515.48696069008815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47.36605244368107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47.36605244368107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4.5999999999999996</v>
      </c>
      <c r="FZ101" s="12">
        <f>IF('Données projet'!$A$244&gt;35,FZ100+FY101-GH100,IF(A101&lt;'Données projet'!$A$244,$FW$205^A101,IF(A101='Données projet'!$A$244,'Données projet'!$B$244,FZ100+FY101-GH100)))</f>
        <v>260.8</v>
      </c>
      <c r="GA101" s="17">
        <f>FZ101*VLOOKUP('Données projet'!$B$17,Paramètres!$A$1:$I$89,3,0)*VLOOKUP('Données projet'!$B$17,Paramètres!$A$1:$I$89,5,0)</f>
        <v>248.17728</v>
      </c>
      <c r="GB101" s="13">
        <f t="shared" si="103"/>
        <v>60.195466727261582</v>
      </c>
      <c r="GC101" s="20">
        <f t="shared" si="79"/>
        <v>537.08253388331389</v>
      </c>
      <c r="GD101" s="59">
        <f t="shared" si="80"/>
        <v>830.41586721664726</v>
      </c>
      <c r="GE101" s="59">
        <f ca="1">AVERAGE(OFFSET($GD$3,0,0,'Données projet'!$E$17+1,1))-AVERAGE(OFFSET($H$3,0,0,'Données projet'!$E$17+1,1))</f>
        <v>455.71329051283936</v>
      </c>
      <c r="GF101" s="59">
        <f t="shared" si="104"/>
        <v>479.3743231122258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88.745724211687673</v>
      </c>
      <c r="GM101" s="21">
        <f>EXP(-LN(2)/25)*GM100+(1-EXP(-LN(2)/25))/(LN(2)/25)*Calculateur!GH101*Calculateur!GJ101*VLOOKUP('Données projet'!$B$17,Paramètres!$A$1:$I$89,3,0)*0.475*44/12</f>
        <v>0</v>
      </c>
      <c r="GN101" s="21">
        <f>EXP(-LN(2)/2)*GN100+(1-EXP(-LN(2)/2))/(LN(2)/2)*GH101*GK101*VLOOKUP('Données projet'!$B$17,Paramètres!$A$1:$I$89,3,0)*0.475*44/12</f>
        <v>0</v>
      </c>
      <c r="GO101" s="21">
        <f t="shared" si="81"/>
        <v>88.745724211687673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367.99999999999972</v>
      </c>
      <c r="GV101" s="17">
        <f>GU101*VLOOKUP('Données projet'!$B$18,Paramètres!$A$1:$I$89,3,0)*VLOOKUP('Données projet'!$B$18,Paramètres!$A$1:$I$89,5,0)</f>
        <v>298.52159999999981</v>
      </c>
      <c r="GW101" s="13">
        <f t="shared" si="105"/>
        <v>70.866444995542437</v>
      </c>
      <c r="GX101" s="20">
        <f t="shared" si="82"/>
        <v>643.35084503390271</v>
      </c>
      <c r="GY101" s="59">
        <f t="shared" si="83"/>
        <v>936.68417836723597</v>
      </c>
      <c r="GZ101" s="59">
        <f ca="1">AVERAGE(OFFSET($GY$3,0,0,'Données projet'!$E$18+1,1))-AVERAGE(OFFSET($H$3,0,0,'Données projet'!$E$18+1,1))</f>
        <v>412.59676769258488</v>
      </c>
      <c r="HA101" s="59">
        <f t="shared" si="106"/>
        <v>399.90063795152133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35.696155464803134</v>
      </c>
      <c r="HH101" s="21">
        <f>EXP(-LN(2)/25)*HH100+(1-EXP(-LN(2)/25))/(LN(2)/25)*Calculateur!HC101*Calculateur!HE101*VLOOKUP('Données projet'!$B$18,Paramètres!$A$1:$I$89,3,0)*0.475*44/12</f>
        <v>0</v>
      </c>
      <c r="HI101" s="21">
        <f>EXP(-LN(2)/2)*HI100+(1-EXP(-LN(2)/2))/(LN(2)/2)*HC101*HF101*VLOOKUP('Données projet'!$B$18,Paramètres!$A$1:$I$89,3,0)*0.475*44/12</f>
        <v>0</v>
      </c>
      <c r="HJ101" s="22">
        <f t="shared" si="84"/>
        <v>35.696155464803134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5.6</v>
      </c>
      <c r="N102" s="13">
        <f>IF('Données projet'!$A$36&gt;35,N101+M102-V101,IF(A102&lt;'Données projet'!$A$36,$K$205^A102,IF(A102='Données projet'!$A$36,'Données projet'!$B$36,N101+M102-V101)))</f>
        <v>327.39999999999998</v>
      </c>
      <c r="O102" s="13">
        <f>N102*VLOOKUP('Données projet'!$B$9,Paramètres!$A$1:$I$89,3,0)*VLOOKUP('Données projet'!$B$9,Paramètres!$A$1:$I$89,5,0)</f>
        <v>296.23151999999993</v>
      </c>
      <c r="P102" s="13">
        <f t="shared" si="87"/>
        <v>70.385865030263986</v>
      </c>
      <c r="Q102" s="20">
        <f t="shared" si="107"/>
        <v>638.52527892770956</v>
      </c>
      <c r="R102" s="59">
        <f t="shared" si="55"/>
        <v>931.85861226104294</v>
      </c>
      <c r="S102" s="59">
        <f ca="1">AVERAGE(OFFSET($R$3,0,0,'Données projet'!$E$9+1,1))-AVERAGE(OFFSET($H$3,0,0,'Données projet'!$E$9+1,1))</f>
        <v>439.19854273764042</v>
      </c>
      <c r="T102" s="59">
        <f t="shared" si="88"/>
        <v>278.21741231699929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85.436846298553803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85.436846298553803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5.6</v>
      </c>
      <c r="AI102" s="13">
        <f>IF('Données projet'!$A$62&gt;35,AI101+AH102-AQ101,IF(A102&lt;'Données projet'!$A$62,$AF$205^A102,IF(A102='Données projet'!$A$62,'Données projet'!$B$62,AI101+AH102-AQ101)))</f>
        <v>327.39999999999998</v>
      </c>
      <c r="AJ102" s="13">
        <f>AI102*VLOOKUP('Données projet'!$B$10,Paramètres!$A$1:$I$89,3,0)*VLOOKUP('Données projet'!$B$10,Paramètres!$A$1:$I$89,5,0)</f>
        <v>331.98360000000002</v>
      </c>
      <c r="AK102" s="13">
        <f t="shared" si="89"/>
        <v>77.841414511052207</v>
      </c>
      <c r="AL102" s="20">
        <f t="shared" si="58"/>
        <v>713.77856694008267</v>
      </c>
      <c r="AM102" s="59">
        <f t="shared" si="59"/>
        <v>1007.111900273416</v>
      </c>
      <c r="AN102" s="59">
        <f ca="1">AVERAGE(OFFSET($AM$3,0,0,'Données projet'!$E$10+1,1))-AVERAGE(OFFSET($H$3,0,0,'Données projet'!$E$10+1,1))</f>
        <v>487.18832528146936</v>
      </c>
      <c r="AO102" s="59">
        <f t="shared" si="90"/>
        <v>306.61893266146666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95.74818981734478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95.74818981734478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369.00000000000023</v>
      </c>
      <c r="BE102" s="13">
        <f>BD102*VLOOKUP('Données projet'!$B$11,Paramètres!$A$1:$I$89,3,0)*VLOOKUP('Données projet'!$B$11,Paramètres!$A$1:$I$89,5,0)</f>
        <v>333.87120000000021</v>
      </c>
      <c r="BF102" s="13">
        <f t="shared" si="91"/>
        <v>78.23236011137638</v>
      </c>
      <c r="BG102" s="20">
        <f t="shared" si="61"/>
        <v>717.74703386064755</v>
      </c>
      <c r="BH102" s="59">
        <f t="shared" si="62"/>
        <v>1011.0803671939809</v>
      </c>
      <c r="BI102" s="59">
        <f ca="1">AVERAGE(OFFSET($BH$3,0,0,'Données projet'!$E$11+1,1))-AVERAGE(OFFSET($H$3,0,0,'Données projet'!$E$11+1,1))</f>
        <v>436.23918637269577</v>
      </c>
      <c r="BJ102" s="59">
        <f t="shared" si="92"/>
        <v>611.43967996341894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2.6956575409878556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2.6956575409878556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224.00000000000006</v>
      </c>
      <c r="BZ102" s="13">
        <f>BY102*VLOOKUP('Données projet'!$B$12,Paramètres!$A$1:$I$89,3,0)*VLOOKUP('Données projet'!$B$12,Paramètres!$A$1:$I$89,5,0)</f>
        <v>195.68640000000008</v>
      </c>
      <c r="CA102" s="13">
        <f t="shared" si="93"/>
        <v>48.794969360985156</v>
      </c>
      <c r="CB102" s="20">
        <f t="shared" si="64"/>
        <v>425.8050516370493</v>
      </c>
      <c r="CC102" s="59">
        <f t="shared" si="65"/>
        <v>719.13838497038262</v>
      </c>
      <c r="CD102" s="59">
        <f ca="1">AVERAGE(OFFSET($CC$3,0,0,'Données projet'!$E$12+1,1))-AVERAGE(OFFSET($H$3,0,0,'Données projet'!$E$12+1,1))</f>
        <v>304.32767345253382</v>
      </c>
      <c r="CE102" s="59">
        <f t="shared" si="94"/>
        <v>427.16091343339173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29.11037155401959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29.11037155401959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739.99999999999966</v>
      </c>
      <c r="CU102" s="17">
        <f>CT102*VLOOKUP('Données projet'!$B$13,Paramètres!$A$1:$I$89,3,0)*VLOOKUP('Données projet'!$B$13,Paramètres!$A$1:$I$89,5,0)</f>
        <v>413.65999999999985</v>
      </c>
      <c r="CV102" s="13">
        <f t="shared" si="95"/>
        <v>94.540585122244352</v>
      </c>
      <c r="CW102" s="20">
        <f t="shared" si="67"/>
        <v>885.11601908790863</v>
      </c>
      <c r="CX102" s="59">
        <f t="shared" si="68"/>
        <v>1178.4493524212419</v>
      </c>
      <c r="CY102" s="59">
        <f ca="1">AVERAGE(OFFSET($CX$3,0,0,'Données projet'!$E$13+1,1))-AVERAGE(OFFSET($H$3,0,0,'Données projet'!$E$13+1,1))</f>
        <v>555.15881087162279</v>
      </c>
      <c r="CZ102" s="59">
        <f t="shared" si="96"/>
        <v>668.20427590250733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57.045286883188425</v>
      </c>
      <c r="DG102" s="21">
        <f>EXP(-LN(2)/25)*DG101+(1-EXP(-LN(2)/25))/(LN(2)/25)*Calculateur!DB102*Calculateur!DD102*VLOOKUP('Données projet'!$B$13,Paramètres!$A$1:$I$89,3,0)*0.475*44/12</f>
        <v>8.529963664382846</v>
      </c>
      <c r="DH102" s="21">
        <f>EXP(-LN(2)/2)*DH101+(1-EXP(-LN(2)/2))/(LN(2)/2)*DB102*DE102*VLOOKUP('Données projet'!$B$13,Paramètres!$A$1:$I$89,3,0)*0.475*44/12</f>
        <v>3.5005071893533282E-11</v>
      </c>
      <c r="DI102" s="22">
        <f t="shared" si="69"/>
        <v>65.575250547606274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911.99999999999898</v>
      </c>
      <c r="DP102" s="17">
        <f>DO102*VLOOKUP('Données projet'!$B$14,Paramètres!$A$1:$I$89,3,0)*VLOOKUP('Données projet'!$B$14,Paramètres!$A$1:$I$89,5,0)</f>
        <v>426.81599999999946</v>
      </c>
      <c r="DQ102" s="13">
        <f t="shared" si="97"/>
        <v>97.192496986872399</v>
      </c>
      <c r="DR102" s="20">
        <f t="shared" si="70"/>
        <v>912.64813225213504</v>
      </c>
      <c r="DS102" s="59">
        <f t="shared" si="71"/>
        <v>1205.9814655854684</v>
      </c>
      <c r="DT102" s="59">
        <f ca="1">AVERAGE(OFFSET($DS$3,0,0,'Données projet'!$E$14+1,1))-AVERAGE(OFFSET($H$3,0,0,'Données projet'!$E$14+1,1))</f>
        <v>523.79180230463714</v>
      </c>
      <c r="DU102" s="59">
        <f t="shared" si="98"/>
        <v>459.3547783500515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102.01812580626719</v>
      </c>
      <c r="EB102" s="21">
        <f>EXP(-LN(2)/25)*EB101+(1-EXP(-LN(2)/25))/(LN(2)/25)*Calculateur!DW102*Calculateur!DY102*VLOOKUP('Données projet'!$B$14,Paramètres!$A$1:$I$89,3,0)*0.475*44/12</f>
        <v>7.8891368759157903</v>
      </c>
      <c r="EC102" s="21">
        <f>EXP(-LN(2)/2)*EC101+(1-EXP(-LN(2)/2))/(LN(2)/2)*DW102*DZ102*VLOOKUP('Données projet'!$B$14,Paramètres!$A$1:$I$89,3,0)*0.475*44/12</f>
        <v>4.9071469090339735E-11</v>
      </c>
      <c r="ED102" s="22">
        <f t="shared" si="72"/>
        <v>109.90726268223206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367.99999999999972</v>
      </c>
      <c r="EK102" s="17">
        <f>EJ102*VLOOKUP('Données projet'!$B$15,Paramètres!$A$1:$I$89,3,0)*VLOOKUP('Données projet'!$B$15,Paramètres!$A$1:$I$89,5,0)</f>
        <v>355.92959999999977</v>
      </c>
      <c r="EL102" s="13">
        <f t="shared" si="99"/>
        <v>82.782281100458206</v>
      </c>
      <c r="EM102" s="20">
        <f t="shared" si="73"/>
        <v>764.08985958329765</v>
      </c>
      <c r="EN102" s="59">
        <f t="shared" si="74"/>
        <v>1057.423192916631</v>
      </c>
      <c r="EO102" s="59">
        <f ca="1">AVERAGE(OFFSET($EN$3,0,0,'Données projet'!$E$15+1,1))-AVERAGE(OFFSET($H$3,0,0,'Données projet'!$E$15+1,1))</f>
        <v>484.41278617935654</v>
      </c>
      <c r="EP102" s="59">
        <f t="shared" si="100"/>
        <v>467.97490540700738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41.726209403382398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41.726209403382398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367.99999999999972</v>
      </c>
      <c r="FF102" s="17">
        <f>FE102*VLOOKUP('Données projet'!$B$16,Paramètres!$A$1:$I$89,3,0)*VLOOKUP('Données projet'!$B$16,Paramètres!$A$1:$I$89,5,0)</f>
        <v>396.11519999999967</v>
      </c>
      <c r="FG102" s="13">
        <f t="shared" si="101"/>
        <v>90.988634849704994</v>
      </c>
      <c r="FH102" s="20">
        <f t="shared" si="76"/>
        <v>848.37251236323561</v>
      </c>
      <c r="FI102" s="59">
        <f t="shared" si="77"/>
        <v>1141.705845696569</v>
      </c>
      <c r="FJ102" s="59">
        <f ca="1">AVERAGE(OFFSET($FI$3,0,0,'Données projet'!$E$16+1,1))-AVERAGE(OFFSET($H$3,0,0,'Données projet'!$E$16+1,1))</f>
        <v>534.54020133239135</v>
      </c>
      <c r="FK102" s="59">
        <f t="shared" si="102"/>
        <v>515.48696069008815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46.437233045699784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46.437233045699784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4.5999999999999996</v>
      </c>
      <c r="FZ102" s="12">
        <f>IF('Données projet'!$A$244&gt;35,FZ101+FY102-GH101,IF(A102&lt;'Données projet'!$A$244,$FW$205^A102,IF(A102='Données projet'!$A$244,'Données projet'!$B$244,FZ101+FY102-GH101)))</f>
        <v>265.40000000000003</v>
      </c>
      <c r="GA102" s="17">
        <f>FZ102*VLOOKUP('Données projet'!$B$17,Paramètres!$A$1:$I$89,3,0)*VLOOKUP('Données projet'!$B$17,Paramètres!$A$1:$I$89,5,0)</f>
        <v>252.55464000000001</v>
      </c>
      <c r="GB102" s="13">
        <f t="shared" si="103"/>
        <v>61.132654455470067</v>
      </c>
      <c r="GC102" s="20">
        <f t="shared" si="79"/>
        <v>546.33870450994368</v>
      </c>
      <c r="GD102" s="59">
        <f t="shared" si="80"/>
        <v>839.67203784327694</v>
      </c>
      <c r="GE102" s="59">
        <f ca="1">AVERAGE(OFFSET($GD$3,0,0,'Données projet'!$E$17+1,1))-AVERAGE(OFFSET($H$3,0,0,'Données projet'!$E$17+1,1))</f>
        <v>455.71329051283936</v>
      </c>
      <c r="GF102" s="59">
        <f t="shared" si="104"/>
        <v>479.3743231122258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87.005474689443403</v>
      </c>
      <c r="GM102" s="21">
        <f>EXP(-LN(2)/25)*GM101+(1-EXP(-LN(2)/25))/(LN(2)/25)*Calculateur!GH102*Calculateur!GJ102*VLOOKUP('Données projet'!$B$17,Paramètres!$A$1:$I$89,3,0)*0.475*44/12</f>
        <v>0</v>
      </c>
      <c r="GN102" s="21">
        <f>EXP(-LN(2)/2)*GN101+(1-EXP(-LN(2)/2))/(LN(2)/2)*GH102*GK102*VLOOKUP('Données projet'!$B$17,Paramètres!$A$1:$I$89,3,0)*0.475*44/12</f>
        <v>0</v>
      </c>
      <c r="GO102" s="21">
        <f t="shared" si="81"/>
        <v>87.005474689443403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367.99999999999972</v>
      </c>
      <c r="GV102" s="17">
        <f>GU102*VLOOKUP('Données projet'!$B$18,Paramètres!$A$1:$I$89,3,0)*VLOOKUP('Données projet'!$B$18,Paramètres!$A$1:$I$89,5,0)</f>
        <v>298.52159999999981</v>
      </c>
      <c r="GW102" s="13">
        <f t="shared" si="105"/>
        <v>70.866444995542437</v>
      </c>
      <c r="GX102" s="20">
        <f t="shared" si="82"/>
        <v>643.35084503390271</v>
      </c>
      <c r="GY102" s="59">
        <f t="shared" si="83"/>
        <v>936.68417836723597</v>
      </c>
      <c r="GZ102" s="59">
        <f ca="1">AVERAGE(OFFSET($GY$3,0,0,'Données projet'!$E$18+1,1))-AVERAGE(OFFSET($H$3,0,0,'Données projet'!$E$18+1,1))</f>
        <v>412.59676769258488</v>
      </c>
      <c r="HA102" s="59">
        <f t="shared" si="106"/>
        <v>399.90063795152133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34.996175628643321</v>
      </c>
      <c r="HH102" s="21">
        <f>EXP(-LN(2)/25)*HH101+(1-EXP(-LN(2)/25))/(LN(2)/25)*Calculateur!HC102*Calculateur!HE102*VLOOKUP('Données projet'!$B$18,Paramètres!$A$1:$I$89,3,0)*0.475*44/12</f>
        <v>0</v>
      </c>
      <c r="HI102" s="21">
        <f>EXP(-LN(2)/2)*HI101+(1-EXP(-LN(2)/2))/(LN(2)/2)*HC102*HF102*VLOOKUP('Données projet'!$B$18,Paramètres!$A$1:$I$89,3,0)*0.475*44/12</f>
        <v>0</v>
      </c>
      <c r="HJ102" s="22">
        <f t="shared" si="84"/>
        <v>34.996175628643321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333</v>
      </c>
      <c r="L103" s="12">
        <f>VLOOKUP(A103,'Données projet'!$A$35:$I$55,9,0)</f>
        <v>5.6</v>
      </c>
      <c r="M103" s="12">
        <f t="array" ref="M103">INDEX(L:L,MIN(IF(ISNUMBER(L103:L299),ROW(L103:L299),"")))</f>
        <v>5.6</v>
      </c>
      <c r="N103" s="13">
        <f>IF('Données projet'!$A$36&gt;35,N102+M103-V102,IF(A103&lt;'Données projet'!$A$36,$K$205^A103,IF(A103='Données projet'!$A$36,'Données projet'!$B$36,N102+M103-V102)))</f>
        <v>333</v>
      </c>
      <c r="O103" s="13">
        <f>N103*VLOOKUP('Données projet'!$B$9,Paramètres!$A$1:$I$89,3,0)*VLOOKUP('Données projet'!$B$9,Paramètres!$A$1:$I$89,5,0)</f>
        <v>301.29840000000002</v>
      </c>
      <c r="P103" s="13">
        <f t="shared" si="87"/>
        <v>71.448589534990518</v>
      </c>
      <c r="Q103" s="20">
        <f t="shared" si="107"/>
        <v>649.2010067734418</v>
      </c>
      <c r="R103" s="59">
        <f t="shared" si="55"/>
        <v>942.53434010677506</v>
      </c>
      <c r="S103" s="59">
        <f ca="1">AVERAGE(OFFSET($R$3,0,0,'Données projet'!$E$9+1,1))-AVERAGE(OFFSET($H$3,0,0,'Données projet'!$E$9+1,1))</f>
        <v>439.19854273764042</v>
      </c>
      <c r="T103" s="59">
        <f t="shared" si="88"/>
        <v>278.21741231699929</v>
      </c>
      <c r="U103" s="15">
        <f>IF(ISNA(VLOOKUP(A103,'Données projet'!$A$35:$I$55,3,0)),0,VLOOKUP(A103,'Données projet'!$A$35:$I$55,3,0))</f>
        <v>17</v>
      </c>
      <c r="V103" s="15">
        <f>IF(ISNA(VLOOKUP(A103,'Données projet'!$A$35:$I$55,4,0)),0,VLOOKUP(A103,'Données projet'!$A$35:$I$55,4,0))</f>
        <v>27</v>
      </c>
      <c r="W103" s="16">
        <f>IF(ISNA(VLOOKUP(A103,'Données projet'!$A$35:$I$55,5,0)),0%,VLOOKUP(A103,'Données projet'!$A$35:$I$55,5,0)*VLOOKUP('Données projet'!$B$9,Paramètres!$A$1:$I$89,7,0))</f>
        <v>0.43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95.374147503020254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95.374147503020254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333</v>
      </c>
      <c r="AG103" s="12">
        <f>VLOOKUP(A103,'Données projet'!$A$61:$I$81,9,0)</f>
        <v>5.6</v>
      </c>
      <c r="AH103" s="12">
        <f t="array" ref="AH103">INDEX(AG:AG,MIN(IF(ISNUMBER(AG103:AG299),ROW(AG103:AG299),"")))</f>
        <v>5.6</v>
      </c>
      <c r="AI103" s="13">
        <f>IF('Données projet'!$A$62&gt;35,AI102+AH103-AQ102,IF(A103&lt;'Données projet'!$A$62,$AF$205^A103,IF(A103='Données projet'!$A$62,'Données projet'!$B$62,AI102+AH103-AQ102)))</f>
        <v>333</v>
      </c>
      <c r="AJ103" s="13">
        <f>AI103*VLOOKUP('Données projet'!$B$10,Paramètres!$A$1:$I$89,3,0)*VLOOKUP('Données projet'!$B$10,Paramètres!$A$1:$I$89,5,0)</f>
        <v>337.66200000000003</v>
      </c>
      <c r="AK103" s="13">
        <f t="shared" si="89"/>
        <v>79.016707002632685</v>
      </c>
      <c r="AL103" s="20">
        <f t="shared" si="58"/>
        <v>725.71541469625208</v>
      </c>
      <c r="AM103" s="59">
        <f t="shared" si="59"/>
        <v>1019.0487480295853</v>
      </c>
      <c r="AN103" s="59">
        <f ca="1">AVERAGE(OFFSET($AM$3,0,0,'Données projet'!$E$10+1,1))-AVERAGE(OFFSET($H$3,0,0,'Données projet'!$E$10+1,1))</f>
        <v>487.18832528146936</v>
      </c>
      <c r="AO103" s="59">
        <f t="shared" si="90"/>
        <v>306.61893266146666</v>
      </c>
      <c r="AP103" s="15">
        <f>IF(ISNA(VLOOKUP(A103,'Données projet'!$A$61:$I$81,3,0)),0,VLOOKUP(A103,'Données projet'!$A$61:$I$81,3,0))</f>
        <v>17</v>
      </c>
      <c r="AQ103" s="15">
        <f>IF(ISNA(VLOOKUP(A103,'Données projet'!$A$61:$I$81,4,0)),0,VLOOKUP(A103,'Données projet'!$A$61:$I$81,4,0))</f>
        <v>27</v>
      </c>
      <c r="AR103" s="16">
        <f>IF(ISNA(VLOOKUP(A103,'Données projet'!$A$61:$I$81,5,0)),0%,VLOOKUP(A103,'Données projet'!$A$61:$I$81,5,0)*VLOOKUP('Données projet'!$B$10,Paramètres!$A$1:$I$89,7,0))</f>
        <v>0.43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106.88482047752269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106.88482047752269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369.00000000000023</v>
      </c>
      <c r="BE103" s="13">
        <f>BD103*VLOOKUP('Données projet'!$B$11,Paramètres!$A$1:$I$89,3,0)*VLOOKUP('Données projet'!$B$11,Paramètres!$A$1:$I$89,5,0)</f>
        <v>333.87120000000021</v>
      </c>
      <c r="BF103" s="13">
        <f t="shared" si="91"/>
        <v>78.23236011137638</v>
      </c>
      <c r="BG103" s="20">
        <f t="shared" si="61"/>
        <v>717.74703386064755</v>
      </c>
      <c r="BH103" s="59">
        <f t="shared" si="62"/>
        <v>1011.0803671939809</v>
      </c>
      <c r="BI103" s="59">
        <f ca="1">AVERAGE(OFFSET($BH$3,0,0,'Données projet'!$E$11+1,1))-AVERAGE(OFFSET($H$3,0,0,'Données projet'!$E$11+1,1))</f>
        <v>436.23918637269577</v>
      </c>
      <c r="BJ103" s="59">
        <f t="shared" si="92"/>
        <v>611.43967996341894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2.6427973407978338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2.6427973407978338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224.00000000000006</v>
      </c>
      <c r="BZ103" s="13">
        <f>BY103*VLOOKUP('Données projet'!$B$12,Paramètres!$A$1:$I$89,3,0)*VLOOKUP('Données projet'!$B$12,Paramètres!$A$1:$I$89,5,0)</f>
        <v>195.68640000000008</v>
      </c>
      <c r="CA103" s="13">
        <f t="shared" si="93"/>
        <v>48.794969360985156</v>
      </c>
      <c r="CB103" s="20">
        <f t="shared" si="64"/>
        <v>425.8050516370493</v>
      </c>
      <c r="CC103" s="59">
        <f t="shared" si="65"/>
        <v>719.13838497038262</v>
      </c>
      <c r="CD103" s="59">
        <f ca="1">AVERAGE(OFFSET($CC$3,0,0,'Données projet'!$E$12+1,1))-AVERAGE(OFFSET($H$3,0,0,'Données projet'!$E$12+1,1))</f>
        <v>304.32767345253382</v>
      </c>
      <c r="CE103" s="59">
        <f t="shared" si="94"/>
        <v>427.16091343339173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28.539534923418696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28.539534923418696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739.99999999999966</v>
      </c>
      <c r="CU103" s="17">
        <f>CT103*VLOOKUP('Données projet'!$B$13,Paramètres!$A$1:$I$89,3,0)*VLOOKUP('Données projet'!$B$13,Paramètres!$A$1:$I$89,5,0)</f>
        <v>413.65999999999985</v>
      </c>
      <c r="CV103" s="13">
        <f t="shared" si="95"/>
        <v>94.540585122244352</v>
      </c>
      <c r="CW103" s="20">
        <f t="shared" si="67"/>
        <v>885.11601908790863</v>
      </c>
      <c r="CX103" s="59">
        <f t="shared" si="68"/>
        <v>1178.4493524212419</v>
      </c>
      <c r="CY103" s="59">
        <f ca="1">AVERAGE(OFFSET($CX$3,0,0,'Données projet'!$E$13+1,1))-AVERAGE(OFFSET($H$3,0,0,'Données projet'!$E$13+1,1))</f>
        <v>555.15881087162279</v>
      </c>
      <c r="CZ103" s="59">
        <f t="shared" si="96"/>
        <v>668.20427590250733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55.926663601598456</v>
      </c>
      <c r="DG103" s="21">
        <f>EXP(-LN(2)/25)*DG102+(1-EXP(-LN(2)/25))/(LN(2)/25)*Calculateur!DB103*Calculateur!DD103*VLOOKUP('Données projet'!$B$13,Paramètres!$A$1:$I$89,3,0)*0.475*44/12</f>
        <v>8.2967113594090041</v>
      </c>
      <c r="DH103" s="21">
        <f>EXP(-LN(2)/2)*DH102+(1-EXP(-LN(2)/2))/(LN(2)/2)*DB103*DE103*VLOOKUP('Données projet'!$B$13,Paramètres!$A$1:$I$89,3,0)*0.475*44/12</f>
        <v>2.4752323711840004E-11</v>
      </c>
      <c r="DI103" s="22">
        <f t="shared" si="69"/>
        <v>64.223374961032221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911.99999999999898</v>
      </c>
      <c r="DP103" s="17">
        <f>DO103*VLOOKUP('Données projet'!$B$14,Paramètres!$A$1:$I$89,3,0)*VLOOKUP('Données projet'!$B$14,Paramètres!$A$1:$I$89,5,0)</f>
        <v>426.81599999999946</v>
      </c>
      <c r="DQ103" s="13">
        <f t="shared" si="97"/>
        <v>97.192496986872399</v>
      </c>
      <c r="DR103" s="20">
        <f t="shared" si="70"/>
        <v>912.64813225213504</v>
      </c>
      <c r="DS103" s="59">
        <f t="shared" si="71"/>
        <v>1205.9814655854684</v>
      </c>
      <c r="DT103" s="59">
        <f ca="1">AVERAGE(OFFSET($DS$3,0,0,'Données projet'!$E$14+1,1))-AVERAGE(OFFSET($H$3,0,0,'Données projet'!$E$14+1,1))</f>
        <v>523.79180230463714</v>
      </c>
      <c r="DU103" s="59">
        <f t="shared" si="98"/>
        <v>459.3547783500515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100.01761258411884</v>
      </c>
      <c r="EB103" s="21">
        <f>EXP(-LN(2)/25)*EB102+(1-EXP(-LN(2)/25))/(LN(2)/25)*Calculateur!DW103*Calculateur!DY103*VLOOKUP('Données projet'!$B$14,Paramètres!$A$1:$I$89,3,0)*0.475*44/12</f>
        <v>7.6734080131721951</v>
      </c>
      <c r="EC103" s="21">
        <f>EXP(-LN(2)/2)*EC102+(1-EXP(-LN(2)/2))/(LN(2)/2)*DW103*DZ103*VLOOKUP('Données projet'!$B$14,Paramètres!$A$1:$I$89,3,0)*0.475*44/12</f>
        <v>3.4698768556565289E-11</v>
      </c>
      <c r="ED103" s="22">
        <f t="shared" si="72"/>
        <v>107.69102059732573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367.99999999999972</v>
      </c>
      <c r="EK103" s="17">
        <f>EJ103*VLOOKUP('Données projet'!$B$15,Paramètres!$A$1:$I$89,3,0)*VLOOKUP('Données projet'!$B$15,Paramètres!$A$1:$I$89,5,0)</f>
        <v>355.92959999999977</v>
      </c>
      <c r="EL103" s="13">
        <f t="shared" si="99"/>
        <v>82.782281100458206</v>
      </c>
      <c r="EM103" s="20">
        <f t="shared" si="73"/>
        <v>764.08985958329765</v>
      </c>
      <c r="EN103" s="59">
        <f t="shared" si="74"/>
        <v>1057.423192916631</v>
      </c>
      <c r="EO103" s="59">
        <f ca="1">AVERAGE(OFFSET($EN$3,0,0,'Données projet'!$E$15+1,1))-AVERAGE(OFFSET($H$3,0,0,'Données projet'!$E$15+1,1))</f>
        <v>484.41278617935654</v>
      </c>
      <c r="EP103" s="59">
        <f t="shared" si="100"/>
        <v>467.97490540700738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40.90798388745678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40.90798388745678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367.99999999999972</v>
      </c>
      <c r="FF103" s="17">
        <f>FE103*VLOOKUP('Données projet'!$B$16,Paramètres!$A$1:$I$89,3,0)*VLOOKUP('Données projet'!$B$16,Paramètres!$A$1:$I$89,5,0)</f>
        <v>396.11519999999967</v>
      </c>
      <c r="FG103" s="13">
        <f t="shared" si="101"/>
        <v>90.988634849704994</v>
      </c>
      <c r="FH103" s="20">
        <f t="shared" si="76"/>
        <v>848.37251236323561</v>
      </c>
      <c r="FI103" s="59">
        <f t="shared" si="77"/>
        <v>1141.705845696569</v>
      </c>
      <c r="FJ103" s="59">
        <f ca="1">AVERAGE(OFFSET($FI$3,0,0,'Données projet'!$E$16+1,1))-AVERAGE(OFFSET($H$3,0,0,'Données projet'!$E$16+1,1))</f>
        <v>534.54020133239135</v>
      </c>
      <c r="FK103" s="59">
        <f t="shared" si="102"/>
        <v>515.48696069008815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45.526627229589018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45.526627229589018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>
        <f>VLOOKUP(A103,'Données projet'!$A$243:$I$263,2,0)</f>
        <v>270</v>
      </c>
      <c r="FX103" s="12">
        <f>VLOOKUP(A103,'Données projet'!$A$243:$I$263,9,0)</f>
        <v>4.5999999999999996</v>
      </c>
      <c r="FY103" s="12">
        <f t="array" ref="FY103">INDEX(FX:FX,MIN(IF(ISNUMBER(FX103:FX299),ROW(FX103:FX299),"")))</f>
        <v>4.5999999999999996</v>
      </c>
      <c r="FZ103" s="12">
        <f>IF('Données projet'!$A$244&gt;35,FZ102+FY103-GH102,IF(A103&lt;'Données projet'!$A$244,$FW$205^A103,IF(A103='Données projet'!$A$244,'Données projet'!$B$244,FZ102+FY103-GH102)))</f>
        <v>270.00000000000006</v>
      </c>
      <c r="GA103" s="17">
        <f>FZ103*VLOOKUP('Données projet'!$B$17,Paramètres!$A$1:$I$89,3,0)*VLOOKUP('Données projet'!$B$17,Paramètres!$A$1:$I$89,5,0)</f>
        <v>256.93200000000002</v>
      </c>
      <c r="GB103" s="13">
        <f t="shared" si="103"/>
        <v>62.067953229346614</v>
      </c>
      <c r="GC103" s="20">
        <f t="shared" si="79"/>
        <v>555.59158520777862</v>
      </c>
      <c r="GD103" s="59">
        <f t="shared" si="80"/>
        <v>848.92491854111199</v>
      </c>
      <c r="GE103" s="59">
        <f ca="1">AVERAGE(OFFSET($GD$3,0,0,'Données projet'!$E$17+1,1))-AVERAGE(OFFSET($H$3,0,0,'Données projet'!$E$17+1,1))</f>
        <v>455.71329051283936</v>
      </c>
      <c r="GF103" s="59">
        <f t="shared" si="104"/>
        <v>479.3743231122258</v>
      </c>
      <c r="GG103" s="15">
        <f>IF(ISNA(VLOOKUP(A103,'Données projet'!$A$243:$I$263,3,0)),0,VLOOKUP(A103,'Données projet'!$A$243:$I$263,3,0))</f>
        <v>19</v>
      </c>
      <c r="GH103" s="15">
        <f>IF(ISNA(VLOOKUP(A103,'Données projet'!$A$243:$I$263,4,0)),0,VLOOKUP(A103,'Données projet'!$A$243:$I$263,4,0))</f>
        <v>22</v>
      </c>
      <c r="GI103" s="16">
        <f>IF(ISNA(VLOOKUP(A103,'Données projet'!$A$243:$I$263,5,0)),0%,VLOOKUP(A103,'Données projet'!$A$243:$I$263,5,0)*VLOOKUP('Données projet'!$B$17,Paramètres!$A$1:$I$89,7,0))</f>
        <v>0.43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95.250945099410174</v>
      </c>
      <c r="GM103" s="21">
        <f>EXP(-LN(2)/25)*GM102+(1-EXP(-LN(2)/25))/(LN(2)/25)*Calculateur!GH103*Calculateur!GJ103*VLOOKUP('Données projet'!$B$17,Paramètres!$A$1:$I$89,3,0)*0.475*44/12</f>
        <v>0</v>
      </c>
      <c r="GN103" s="21">
        <f>EXP(-LN(2)/2)*GN102+(1-EXP(-LN(2)/2))/(LN(2)/2)*GH103*GK103*VLOOKUP('Données projet'!$B$17,Paramètres!$A$1:$I$89,3,0)*0.475*44/12</f>
        <v>0</v>
      </c>
      <c r="GO103" s="21">
        <f t="shared" si="81"/>
        <v>95.250945099410174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367.99999999999972</v>
      </c>
      <c r="GV103" s="17">
        <f>GU103*VLOOKUP('Données projet'!$B$18,Paramètres!$A$1:$I$89,3,0)*VLOOKUP('Données projet'!$B$18,Paramètres!$A$1:$I$89,5,0)</f>
        <v>298.52159999999981</v>
      </c>
      <c r="GW103" s="13">
        <f t="shared" si="105"/>
        <v>70.866444995542437</v>
      </c>
      <c r="GX103" s="20">
        <f t="shared" si="82"/>
        <v>643.35084503390271</v>
      </c>
      <c r="GY103" s="59">
        <f t="shared" si="83"/>
        <v>936.68417836723597</v>
      </c>
      <c r="GZ103" s="59">
        <f ca="1">AVERAGE(OFFSET($GY$3,0,0,'Données projet'!$E$18+1,1))-AVERAGE(OFFSET($H$3,0,0,'Données projet'!$E$18+1,1))</f>
        <v>412.59676769258488</v>
      </c>
      <c r="HA103" s="59">
        <f t="shared" si="106"/>
        <v>399.90063795152133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34.30992197012506</v>
      </c>
      <c r="HH103" s="21">
        <f>EXP(-LN(2)/25)*HH102+(1-EXP(-LN(2)/25))/(LN(2)/25)*Calculateur!HC103*Calculateur!HE103*VLOOKUP('Données projet'!$B$18,Paramètres!$A$1:$I$89,3,0)*0.475*44/12</f>
        <v>0</v>
      </c>
      <c r="HI103" s="21">
        <f>EXP(-LN(2)/2)*HI102+(1-EXP(-LN(2)/2))/(LN(2)/2)*HC103*HF103*VLOOKUP('Données projet'!$B$18,Paramètres!$A$1:$I$89,3,0)*0.475*44/12</f>
        <v>0</v>
      </c>
      <c r="HJ103" s="22">
        <f t="shared" si="84"/>
        <v>34.30992197012506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5.4</v>
      </c>
      <c r="N104" s="13">
        <f>IF('Données projet'!$A$36&gt;35,N103+M104-V103,IF(A104&lt;'Données projet'!$A$36,$K$205^A104,IF(A104='Données projet'!$A$36,'Données projet'!$B$36,N103+M104-V103)))</f>
        <v>311.39999999999998</v>
      </c>
      <c r="O104" s="13">
        <f>N104*VLOOKUP('Données projet'!$B$9,Paramètres!$A$1:$I$89,3,0)*VLOOKUP('Données projet'!$B$9,Paramètres!$A$1:$I$89,5,0)</f>
        <v>281.75471999999996</v>
      </c>
      <c r="P104" s="13">
        <f t="shared" si="87"/>
        <v>67.337696723120317</v>
      </c>
      <c r="Q104" s="20">
        <f t="shared" si="107"/>
        <v>608.00262579276773</v>
      </c>
      <c r="R104" s="59">
        <f t="shared" si="55"/>
        <v>901.33595912610099</v>
      </c>
      <c r="S104" s="59">
        <f ca="1">AVERAGE(OFFSET($R$3,0,0,'Données projet'!$E$9+1,1))-AVERAGE(OFFSET($H$3,0,0,'Données projet'!$E$9+1,1))</f>
        <v>439.19854273764042</v>
      </c>
      <c r="T104" s="59">
        <f t="shared" si="88"/>
        <v>278.21741231699929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93.503918642971954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93.503918642971954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5.4</v>
      </c>
      <c r="AI104" s="13">
        <f>IF('Données projet'!$A$62&gt;35,AI103+AH104-AQ103,IF(A104&lt;'Données projet'!$A$62,$AF$205^A104,IF(A104='Données projet'!$A$62,'Données projet'!$B$62,AI103+AH104-AQ103)))</f>
        <v>311.39999999999998</v>
      </c>
      <c r="AJ104" s="13">
        <f>AI104*VLOOKUP('Données projet'!$B$10,Paramètres!$A$1:$I$89,3,0)*VLOOKUP('Données projet'!$B$10,Paramètres!$A$1:$I$89,5,0)</f>
        <v>315.75959999999998</v>
      </c>
      <c r="AK104" s="13">
        <f t="shared" si="89"/>
        <v>74.470372149154613</v>
      </c>
      <c r="AL104" s="20">
        <f t="shared" si="58"/>
        <v>679.6505348264443</v>
      </c>
      <c r="AM104" s="59">
        <f t="shared" si="59"/>
        <v>972.98386815977756</v>
      </c>
      <c r="AN104" s="59">
        <f ca="1">AVERAGE(OFFSET($AM$3,0,0,'Données projet'!$E$10+1,1))-AVERAGE(OFFSET($H$3,0,0,'Données projet'!$E$10+1,1))</f>
        <v>487.18832528146936</v>
      </c>
      <c r="AO104" s="59">
        <f t="shared" si="90"/>
        <v>306.61893266146666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104.78887434126166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104.78887434126166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369.00000000000023</v>
      </c>
      <c r="BE104" s="13">
        <f>BD104*VLOOKUP('Données projet'!$B$11,Paramètres!$A$1:$I$89,3,0)*VLOOKUP('Données projet'!$B$11,Paramètres!$A$1:$I$89,5,0)</f>
        <v>333.87120000000021</v>
      </c>
      <c r="BF104" s="13">
        <f t="shared" si="91"/>
        <v>78.23236011137638</v>
      </c>
      <c r="BG104" s="20">
        <f t="shared" si="61"/>
        <v>717.74703386064755</v>
      </c>
      <c r="BH104" s="59">
        <f t="shared" si="62"/>
        <v>1011.0803671939809</v>
      </c>
      <c r="BI104" s="59">
        <f ca="1">AVERAGE(OFFSET($BH$3,0,0,'Données projet'!$E$11+1,1))-AVERAGE(OFFSET($H$3,0,0,'Données projet'!$E$11+1,1))</f>
        <v>436.23918637269577</v>
      </c>
      <c r="BJ104" s="59">
        <f t="shared" si="92"/>
        <v>611.43967996341894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2.5909736968919996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2.5909736968919996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224.00000000000006</v>
      </c>
      <c r="BZ104" s="13">
        <f>BY104*VLOOKUP('Données projet'!$B$12,Paramètres!$A$1:$I$89,3,0)*VLOOKUP('Données projet'!$B$12,Paramètres!$A$1:$I$89,5,0)</f>
        <v>195.68640000000008</v>
      </c>
      <c r="CA104" s="13">
        <f t="shared" si="93"/>
        <v>48.794969360985156</v>
      </c>
      <c r="CB104" s="20">
        <f t="shared" si="64"/>
        <v>425.8050516370493</v>
      </c>
      <c r="CC104" s="59">
        <f t="shared" si="65"/>
        <v>719.13838497038262</v>
      </c>
      <c r="CD104" s="59">
        <f ca="1">AVERAGE(OFFSET($CC$3,0,0,'Données projet'!$E$12+1,1))-AVERAGE(OFFSET($H$3,0,0,'Données projet'!$E$12+1,1))</f>
        <v>304.32767345253382</v>
      </c>
      <c r="CE104" s="59">
        <f t="shared" si="94"/>
        <v>427.16091343339173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27.979892050967919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27.979892050967919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739.99999999999966</v>
      </c>
      <c r="CU104" s="17">
        <f>CT104*VLOOKUP('Données projet'!$B$13,Paramètres!$A$1:$I$89,3,0)*VLOOKUP('Données projet'!$B$13,Paramètres!$A$1:$I$89,5,0)</f>
        <v>413.65999999999985</v>
      </c>
      <c r="CV104" s="13">
        <f t="shared" si="95"/>
        <v>94.540585122244352</v>
      </c>
      <c r="CW104" s="20">
        <f t="shared" si="67"/>
        <v>885.11601908790863</v>
      </c>
      <c r="CX104" s="59">
        <f t="shared" si="68"/>
        <v>1178.4493524212419</v>
      </c>
      <c r="CY104" s="59">
        <f ca="1">AVERAGE(OFFSET($CX$3,0,0,'Données projet'!$E$13+1,1))-AVERAGE(OFFSET($H$3,0,0,'Données projet'!$E$13+1,1))</f>
        <v>555.15881087162279</v>
      </c>
      <c r="CZ104" s="59">
        <f t="shared" si="96"/>
        <v>668.20427590250733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54.829975840267636</v>
      </c>
      <c r="DG104" s="21">
        <f>EXP(-LN(2)/25)*DG103+(1-EXP(-LN(2)/25))/(LN(2)/25)*Calculateur!DB104*Calculateur!DD104*VLOOKUP('Données projet'!$B$13,Paramètres!$A$1:$I$89,3,0)*0.475*44/12</f>
        <v>8.0698373509808761</v>
      </c>
      <c r="DH104" s="21">
        <f>EXP(-LN(2)/2)*DH103+(1-EXP(-LN(2)/2))/(LN(2)/2)*DB104*DE104*VLOOKUP('Données projet'!$B$13,Paramètres!$A$1:$I$89,3,0)*0.475*44/12</f>
        <v>1.7502535946766641E-11</v>
      </c>
      <c r="DI104" s="22">
        <f t="shared" si="69"/>
        <v>62.899813191266013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911.99999999999898</v>
      </c>
      <c r="DP104" s="17">
        <f>DO104*VLOOKUP('Données projet'!$B$14,Paramètres!$A$1:$I$89,3,0)*VLOOKUP('Données projet'!$B$14,Paramètres!$A$1:$I$89,5,0)</f>
        <v>426.81599999999946</v>
      </c>
      <c r="DQ104" s="13">
        <f t="shared" si="97"/>
        <v>97.192496986872399</v>
      </c>
      <c r="DR104" s="20">
        <f t="shared" si="70"/>
        <v>912.64813225213504</v>
      </c>
      <c r="DS104" s="59">
        <f t="shared" si="71"/>
        <v>1205.9814655854684</v>
      </c>
      <c r="DT104" s="59">
        <f ca="1">AVERAGE(OFFSET($DS$3,0,0,'Données projet'!$E$14+1,1))-AVERAGE(OFFSET($H$3,0,0,'Données projet'!$E$14+1,1))</f>
        <v>523.79180230463714</v>
      </c>
      <c r="DU104" s="59">
        <f t="shared" si="98"/>
        <v>459.3547783500515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98.056328206064222</v>
      </c>
      <c r="EB104" s="21">
        <f>EXP(-LN(2)/25)*EB103+(1-EXP(-LN(2)/25))/(LN(2)/25)*Calculateur!DW104*Calculateur!DY104*VLOOKUP('Données projet'!$B$14,Paramètres!$A$1:$I$89,3,0)*0.475*44/12</f>
        <v>7.463578267525012</v>
      </c>
      <c r="EC104" s="21">
        <f>EXP(-LN(2)/2)*EC103+(1-EXP(-LN(2)/2))/(LN(2)/2)*DW104*DZ104*VLOOKUP('Données projet'!$B$14,Paramètres!$A$1:$I$89,3,0)*0.475*44/12</f>
        <v>2.4535734545169868E-11</v>
      </c>
      <c r="ED104" s="22">
        <f t="shared" si="72"/>
        <v>105.51990647361377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367.99999999999972</v>
      </c>
      <c r="EK104" s="17">
        <f>EJ104*VLOOKUP('Données projet'!$B$15,Paramètres!$A$1:$I$89,3,0)*VLOOKUP('Données projet'!$B$15,Paramètres!$A$1:$I$89,5,0)</f>
        <v>355.92959999999977</v>
      </c>
      <c r="EL104" s="13">
        <f t="shared" si="99"/>
        <v>82.782281100458206</v>
      </c>
      <c r="EM104" s="20">
        <f t="shared" si="73"/>
        <v>764.08985958329765</v>
      </c>
      <c r="EN104" s="59">
        <f t="shared" si="74"/>
        <v>1057.423192916631</v>
      </c>
      <c r="EO104" s="59">
        <f ca="1">AVERAGE(OFFSET($EN$3,0,0,'Données projet'!$E$15+1,1))-AVERAGE(OFFSET($H$3,0,0,'Données projet'!$E$15+1,1))</f>
        <v>484.41278617935654</v>
      </c>
      <c r="EP104" s="59">
        <f t="shared" si="100"/>
        <v>467.97490540700738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40.10580327483018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40.10580327483018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367.99999999999972</v>
      </c>
      <c r="FF104" s="17">
        <f>FE104*VLOOKUP('Données projet'!$B$16,Paramètres!$A$1:$I$89,3,0)*VLOOKUP('Données projet'!$B$16,Paramètres!$A$1:$I$89,5,0)</f>
        <v>396.11519999999967</v>
      </c>
      <c r="FG104" s="13">
        <f t="shared" si="101"/>
        <v>90.988634849704994</v>
      </c>
      <c r="FH104" s="20">
        <f t="shared" si="76"/>
        <v>848.37251236323561</v>
      </c>
      <c r="FI104" s="59">
        <f t="shared" si="77"/>
        <v>1141.705845696569</v>
      </c>
      <c r="FJ104" s="59">
        <f ca="1">AVERAGE(OFFSET($FI$3,0,0,'Données projet'!$E$16+1,1))-AVERAGE(OFFSET($H$3,0,0,'Données projet'!$E$16+1,1))</f>
        <v>534.54020133239135</v>
      </c>
      <c r="FK104" s="59">
        <f t="shared" si="102"/>
        <v>515.48696069008815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44.633877838117478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44.633877838117478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4.4000000000000004</v>
      </c>
      <c r="FZ104" s="12">
        <f>IF('Données projet'!$A$244&gt;35,FZ103+FY104-GH103,IF(A104&lt;'Données projet'!$A$244,$FW$205^A104,IF(A104='Données projet'!$A$244,'Données projet'!$B$244,FZ103+FY104-GH103)))</f>
        <v>252.40000000000003</v>
      </c>
      <c r="GA104" s="17">
        <f>FZ104*VLOOKUP('Données projet'!$B$17,Paramètres!$A$1:$I$89,3,0)*VLOOKUP('Données projet'!$B$17,Paramètres!$A$1:$I$89,5,0)</f>
        <v>240.18384000000006</v>
      </c>
      <c r="GB104" s="13">
        <f t="shared" si="103"/>
        <v>58.479082790905728</v>
      </c>
      <c r="GC104" s="20">
        <f t="shared" si="79"/>
        <v>520.17125719416083</v>
      </c>
      <c r="GD104" s="59">
        <f t="shared" si="80"/>
        <v>813.5045905274942</v>
      </c>
      <c r="GE104" s="59">
        <f ca="1">AVERAGE(OFFSET($GD$3,0,0,'Données projet'!$E$17+1,1))-AVERAGE(OFFSET($H$3,0,0,'Données projet'!$E$17+1,1))</f>
        <v>455.71329051283936</v>
      </c>
      <c r="GF104" s="59">
        <f t="shared" si="104"/>
        <v>479.3743231122258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93.383132163350609</v>
      </c>
      <c r="GM104" s="21">
        <f>EXP(-LN(2)/25)*GM103+(1-EXP(-LN(2)/25))/(LN(2)/25)*Calculateur!GH104*Calculateur!GJ104*VLOOKUP('Données projet'!$B$17,Paramètres!$A$1:$I$89,3,0)*0.475*44/12</f>
        <v>0</v>
      </c>
      <c r="GN104" s="21">
        <f>EXP(-LN(2)/2)*GN103+(1-EXP(-LN(2)/2))/(LN(2)/2)*GH104*GK104*VLOOKUP('Données projet'!$B$17,Paramètres!$A$1:$I$89,3,0)*0.475*44/12</f>
        <v>0</v>
      </c>
      <c r="GO104" s="21">
        <f t="shared" si="81"/>
        <v>93.383132163350609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367.99999999999972</v>
      </c>
      <c r="GV104" s="17">
        <f>GU104*VLOOKUP('Données projet'!$B$18,Paramètres!$A$1:$I$89,3,0)*VLOOKUP('Données projet'!$B$18,Paramètres!$A$1:$I$89,5,0)</f>
        <v>298.52159999999981</v>
      </c>
      <c r="GW104" s="13">
        <f t="shared" si="105"/>
        <v>70.866444995542437</v>
      </c>
      <c r="GX104" s="20">
        <f t="shared" si="82"/>
        <v>643.35084503390271</v>
      </c>
      <c r="GY104" s="59">
        <f t="shared" si="83"/>
        <v>936.68417836723597</v>
      </c>
      <c r="GZ104" s="59">
        <f ca="1">AVERAGE(OFFSET($GY$3,0,0,'Données projet'!$E$18+1,1))-AVERAGE(OFFSET($H$3,0,0,'Données projet'!$E$18+1,1))</f>
        <v>412.59676769258488</v>
      </c>
      <c r="HA104" s="59">
        <f t="shared" si="106"/>
        <v>399.90063795152133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33.637125327276941</v>
      </c>
      <c r="HH104" s="21">
        <f>EXP(-LN(2)/25)*HH103+(1-EXP(-LN(2)/25))/(LN(2)/25)*Calculateur!HC104*Calculateur!HE104*VLOOKUP('Données projet'!$B$18,Paramètres!$A$1:$I$89,3,0)*0.475*44/12</f>
        <v>0</v>
      </c>
      <c r="HI104" s="21">
        <f>EXP(-LN(2)/2)*HI103+(1-EXP(-LN(2)/2))/(LN(2)/2)*HC104*HF104*VLOOKUP('Données projet'!$B$18,Paramètres!$A$1:$I$89,3,0)*0.475*44/12</f>
        <v>0</v>
      </c>
      <c r="HJ104" s="22">
        <f t="shared" si="84"/>
        <v>33.637125327276941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5.4</v>
      </c>
      <c r="N105" s="13">
        <f>IF('Données projet'!$A$36&gt;35,N104+M105-V104,IF(A105&lt;'Données projet'!$A$36,$K$205^A105,IF(A105='Données projet'!$A$36,'Données projet'!$B$36,N104+M105-V104)))</f>
        <v>316.79999999999995</v>
      </c>
      <c r="O105" s="13">
        <f>N105*VLOOKUP('Données projet'!$B$9,Paramètres!$A$1:$I$89,3,0)*VLOOKUP('Données projet'!$B$9,Paramètres!$A$1:$I$89,5,0)</f>
        <v>286.64063999999996</v>
      </c>
      <c r="P105" s="13">
        <f t="shared" si="87"/>
        <v>68.368446832003599</v>
      </c>
      <c r="Q105" s="20">
        <f t="shared" si="107"/>
        <v>618.30749289907283</v>
      </c>
      <c r="R105" s="59">
        <f t="shared" si="55"/>
        <v>911.6408262324062</v>
      </c>
      <c r="S105" s="59">
        <f ca="1">AVERAGE(OFFSET($R$3,0,0,'Données projet'!$E$9+1,1))-AVERAGE(OFFSET($H$3,0,0,'Données projet'!$E$9+1,1))</f>
        <v>439.19854273764042</v>
      </c>
      <c r="T105" s="59">
        <f t="shared" si="88"/>
        <v>278.21741231699929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91.670363830142222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91.670363830142222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5.4</v>
      </c>
      <c r="AI105" s="13">
        <f>IF('Données projet'!$A$62&gt;35,AI104+AH105-AQ104,IF(A105&lt;'Données projet'!$A$62,$AF$205^A105,IF(A105='Données projet'!$A$62,'Données projet'!$B$62,AI104+AH105-AQ104)))</f>
        <v>316.79999999999995</v>
      </c>
      <c r="AJ105" s="13">
        <f>AI105*VLOOKUP('Données projet'!$B$10,Paramètres!$A$1:$I$89,3,0)*VLOOKUP('Données projet'!$B$10,Paramètres!$A$1:$I$89,5,0)</f>
        <v>321.23519999999996</v>
      </c>
      <c r="AK105" s="13">
        <f t="shared" si="89"/>
        <v>75.610303390297929</v>
      </c>
      <c r="AL105" s="20">
        <f t="shared" si="58"/>
        <v>691.17258507143549</v>
      </c>
      <c r="AM105" s="59">
        <f t="shared" si="59"/>
        <v>984.50591840476886</v>
      </c>
      <c r="AN105" s="59">
        <f ca="1">AVERAGE(OFFSET($AM$3,0,0,'Données projet'!$E$10+1,1))-AVERAGE(OFFSET($H$3,0,0,'Données projet'!$E$10+1,1))</f>
        <v>487.18832528146936</v>
      </c>
      <c r="AO105" s="59">
        <f t="shared" si="90"/>
        <v>306.61893266146666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102.73402843033179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102.73402843033179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369.00000000000023</v>
      </c>
      <c r="BE105" s="13">
        <f>BD105*VLOOKUP('Données projet'!$B$11,Paramètres!$A$1:$I$89,3,0)*VLOOKUP('Données projet'!$B$11,Paramètres!$A$1:$I$89,5,0)</f>
        <v>333.87120000000021</v>
      </c>
      <c r="BF105" s="13">
        <f t="shared" si="91"/>
        <v>78.23236011137638</v>
      </c>
      <c r="BG105" s="20">
        <f t="shared" si="61"/>
        <v>717.74703386064755</v>
      </c>
      <c r="BH105" s="59">
        <f t="shared" si="62"/>
        <v>1011.0803671939809</v>
      </c>
      <c r="BI105" s="59">
        <f ca="1">AVERAGE(OFFSET($BH$3,0,0,'Données projet'!$E$11+1,1))-AVERAGE(OFFSET($H$3,0,0,'Données projet'!$E$11+1,1))</f>
        <v>436.23918637269577</v>
      </c>
      <c r="BJ105" s="59">
        <f t="shared" si="92"/>
        <v>611.43967996341894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2.5401662830338574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2.5401662830338574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224.00000000000006</v>
      </c>
      <c r="BZ105" s="13">
        <f>BY105*VLOOKUP('Données projet'!$B$12,Paramètres!$A$1:$I$89,3,0)*VLOOKUP('Données projet'!$B$12,Paramètres!$A$1:$I$89,5,0)</f>
        <v>195.68640000000008</v>
      </c>
      <c r="CA105" s="13">
        <f t="shared" si="93"/>
        <v>48.794969360985156</v>
      </c>
      <c r="CB105" s="20">
        <f t="shared" si="64"/>
        <v>425.8050516370493</v>
      </c>
      <c r="CC105" s="59">
        <f t="shared" si="65"/>
        <v>719.13838497038262</v>
      </c>
      <c r="CD105" s="59">
        <f ca="1">AVERAGE(OFFSET($CC$3,0,0,'Données projet'!$E$12+1,1))-AVERAGE(OFFSET($H$3,0,0,'Données projet'!$E$12+1,1))</f>
        <v>304.32767345253382</v>
      </c>
      <c r="CE105" s="59">
        <f t="shared" si="94"/>
        <v>427.16091343339173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27.431223433897458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27.431223433897458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739.99999999999966</v>
      </c>
      <c r="CU105" s="17">
        <f>CT105*VLOOKUP('Données projet'!$B$13,Paramètres!$A$1:$I$89,3,0)*VLOOKUP('Données projet'!$B$13,Paramètres!$A$1:$I$89,5,0)</f>
        <v>413.65999999999985</v>
      </c>
      <c r="CV105" s="13">
        <f t="shared" si="95"/>
        <v>94.540585122244352</v>
      </c>
      <c r="CW105" s="20">
        <f t="shared" si="67"/>
        <v>885.11601908790863</v>
      </c>
      <c r="CX105" s="59">
        <f t="shared" si="68"/>
        <v>1178.4493524212419</v>
      </c>
      <c r="CY105" s="59">
        <f ca="1">AVERAGE(OFFSET($CX$3,0,0,'Données projet'!$E$13+1,1))-AVERAGE(OFFSET($H$3,0,0,'Données projet'!$E$13+1,1))</f>
        <v>555.15881087162279</v>
      </c>
      <c r="CZ105" s="59">
        <f t="shared" si="96"/>
        <v>668.20427590250733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53.754793457023027</v>
      </c>
      <c r="DG105" s="21">
        <f>EXP(-LN(2)/25)*DG104+(1-EXP(-LN(2)/25))/(LN(2)/25)*Calculateur!DB105*Calculateur!DD105*VLOOKUP('Données projet'!$B$13,Paramètres!$A$1:$I$89,3,0)*0.475*44/12</f>
        <v>7.8491672242440016</v>
      </c>
      <c r="DH105" s="21">
        <f>EXP(-LN(2)/2)*DH104+(1-EXP(-LN(2)/2))/(LN(2)/2)*DB105*DE105*VLOOKUP('Données projet'!$B$13,Paramètres!$A$1:$I$89,3,0)*0.475*44/12</f>
        <v>1.2376161855920002E-11</v>
      </c>
      <c r="DI105" s="22">
        <f t="shared" si="69"/>
        <v>61.603960681279403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911.99999999999898</v>
      </c>
      <c r="DP105" s="17">
        <f>DO105*VLOOKUP('Données projet'!$B$14,Paramètres!$A$1:$I$89,3,0)*VLOOKUP('Données projet'!$B$14,Paramètres!$A$1:$I$89,5,0)</f>
        <v>426.81599999999946</v>
      </c>
      <c r="DQ105" s="13">
        <f t="shared" si="97"/>
        <v>97.192496986872399</v>
      </c>
      <c r="DR105" s="20">
        <f t="shared" si="70"/>
        <v>912.64813225213504</v>
      </c>
      <c r="DS105" s="59">
        <f t="shared" si="71"/>
        <v>1205.9814655854684</v>
      </c>
      <c r="DT105" s="59">
        <f ca="1">AVERAGE(OFFSET($DS$3,0,0,'Données projet'!$E$14+1,1))-AVERAGE(OFFSET($H$3,0,0,'Données projet'!$E$14+1,1))</f>
        <v>523.79180230463714</v>
      </c>
      <c r="DU105" s="59">
        <f t="shared" si="98"/>
        <v>459.3547783500515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96.133503418397908</v>
      </c>
      <c r="EB105" s="21">
        <f>EXP(-LN(2)/25)*EB104+(1-EXP(-LN(2)/25))/(LN(2)/25)*Calculateur!DW105*Calculateur!DY105*VLOOKUP('Données projet'!$B$14,Paramètres!$A$1:$I$89,3,0)*0.475*44/12</f>
        <v>7.2594863273070178</v>
      </c>
      <c r="EC105" s="21">
        <f>EXP(-LN(2)/2)*EC104+(1-EXP(-LN(2)/2))/(LN(2)/2)*DW105*DZ105*VLOOKUP('Données projet'!$B$14,Paramètres!$A$1:$I$89,3,0)*0.475*44/12</f>
        <v>1.7349384278282645E-11</v>
      </c>
      <c r="ED105" s="22">
        <f t="shared" si="72"/>
        <v>103.39298974572228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367.99999999999972</v>
      </c>
      <c r="EK105" s="17">
        <f>EJ105*VLOOKUP('Données projet'!$B$15,Paramètres!$A$1:$I$89,3,0)*VLOOKUP('Données projet'!$B$15,Paramètres!$A$1:$I$89,5,0)</f>
        <v>355.92959999999977</v>
      </c>
      <c r="EL105" s="13">
        <f t="shared" si="99"/>
        <v>82.782281100458206</v>
      </c>
      <c r="EM105" s="20">
        <f t="shared" si="73"/>
        <v>764.08985958329765</v>
      </c>
      <c r="EN105" s="59">
        <f t="shared" si="74"/>
        <v>1057.423192916631</v>
      </c>
      <c r="EO105" s="59">
        <f ca="1">AVERAGE(OFFSET($EN$3,0,0,'Données projet'!$E$15+1,1))-AVERAGE(OFFSET($H$3,0,0,'Données projet'!$E$15+1,1))</f>
        <v>484.41278617935654</v>
      </c>
      <c r="EP105" s="59">
        <f t="shared" si="100"/>
        <v>467.97490540700738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39.319352934735321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39.319352934735321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367.99999999999972</v>
      </c>
      <c r="FF105" s="17">
        <f>FE105*VLOOKUP('Données projet'!$B$16,Paramètres!$A$1:$I$89,3,0)*VLOOKUP('Données projet'!$B$16,Paramètres!$A$1:$I$89,5,0)</f>
        <v>396.11519999999967</v>
      </c>
      <c r="FG105" s="13">
        <f t="shared" si="101"/>
        <v>90.988634849704994</v>
      </c>
      <c r="FH105" s="20">
        <f t="shared" si="76"/>
        <v>848.37251236323561</v>
      </c>
      <c r="FI105" s="59">
        <f t="shared" si="77"/>
        <v>1141.705845696569</v>
      </c>
      <c r="FJ105" s="59">
        <f ca="1">AVERAGE(OFFSET($FI$3,0,0,'Données projet'!$E$16+1,1))-AVERAGE(OFFSET($H$3,0,0,'Données projet'!$E$16+1,1))</f>
        <v>534.54020133239135</v>
      </c>
      <c r="FK105" s="59">
        <f t="shared" si="102"/>
        <v>515.48696069008815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43.758634717689333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43.758634717689333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4.4000000000000004</v>
      </c>
      <c r="FZ105" s="12">
        <f>IF('Données projet'!$A$244&gt;35,FZ104+FY105-GH104,IF(A105&lt;'Données projet'!$A$244,$FW$205^A105,IF(A105='Données projet'!$A$244,'Données projet'!$B$244,FZ104+FY105-GH104)))</f>
        <v>256.8</v>
      </c>
      <c r="GA105" s="17">
        <f>FZ105*VLOOKUP('Données projet'!$B$17,Paramètres!$A$1:$I$89,3,0)*VLOOKUP('Données projet'!$B$17,Paramètres!$A$1:$I$89,5,0)</f>
        <v>244.37088</v>
      </c>
      <c r="GB105" s="13">
        <f t="shared" si="103"/>
        <v>59.378956514447331</v>
      </c>
      <c r="GC105" s="20">
        <f t="shared" si="79"/>
        <v>529.03096526266245</v>
      </c>
      <c r="GD105" s="59">
        <f t="shared" si="80"/>
        <v>822.36429859599571</v>
      </c>
      <c r="GE105" s="59">
        <f ca="1">AVERAGE(OFFSET($GD$3,0,0,'Données projet'!$E$17+1,1))-AVERAGE(OFFSET($H$3,0,0,'Données projet'!$E$17+1,1))</f>
        <v>455.71329051283936</v>
      </c>
      <c r="GF105" s="59">
        <f t="shared" si="104"/>
        <v>479.3743231122258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91.551945899713786</v>
      </c>
      <c r="GM105" s="21">
        <f>EXP(-LN(2)/25)*GM104+(1-EXP(-LN(2)/25))/(LN(2)/25)*Calculateur!GH105*Calculateur!GJ105*VLOOKUP('Données projet'!$B$17,Paramètres!$A$1:$I$89,3,0)*0.475*44/12</f>
        <v>0</v>
      </c>
      <c r="GN105" s="21">
        <f>EXP(-LN(2)/2)*GN104+(1-EXP(-LN(2)/2))/(LN(2)/2)*GH105*GK105*VLOOKUP('Données projet'!$B$17,Paramètres!$A$1:$I$89,3,0)*0.475*44/12</f>
        <v>0</v>
      </c>
      <c r="GO105" s="21">
        <f t="shared" si="81"/>
        <v>91.551945899713786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367.99999999999972</v>
      </c>
      <c r="GV105" s="17">
        <f>GU105*VLOOKUP('Données projet'!$B$18,Paramètres!$A$1:$I$89,3,0)*VLOOKUP('Données projet'!$B$18,Paramètres!$A$1:$I$89,5,0)</f>
        <v>298.52159999999981</v>
      </c>
      <c r="GW105" s="13">
        <f t="shared" si="105"/>
        <v>70.866444995542437</v>
      </c>
      <c r="GX105" s="20">
        <f t="shared" si="82"/>
        <v>643.35084503390271</v>
      </c>
      <c r="GY105" s="59">
        <f t="shared" si="83"/>
        <v>936.68417836723597</v>
      </c>
      <c r="GZ105" s="59">
        <f ca="1">AVERAGE(OFFSET($GY$3,0,0,'Données projet'!$E$18+1,1))-AVERAGE(OFFSET($H$3,0,0,'Données projet'!$E$18+1,1))</f>
        <v>412.59676769258488</v>
      </c>
      <c r="HA105" s="59">
        <f t="shared" si="106"/>
        <v>399.90063795152133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32.97752181622964</v>
      </c>
      <c r="HH105" s="21">
        <f>EXP(-LN(2)/25)*HH104+(1-EXP(-LN(2)/25))/(LN(2)/25)*Calculateur!HC105*Calculateur!HE105*VLOOKUP('Données projet'!$B$18,Paramètres!$A$1:$I$89,3,0)*0.475*44/12</f>
        <v>0</v>
      </c>
      <c r="HI105" s="21">
        <f>EXP(-LN(2)/2)*HI104+(1-EXP(-LN(2)/2))/(LN(2)/2)*HC105*HF105*VLOOKUP('Données projet'!$B$18,Paramètres!$A$1:$I$89,3,0)*0.475*44/12</f>
        <v>0</v>
      </c>
      <c r="HJ105" s="22">
        <f t="shared" si="84"/>
        <v>32.97752181622964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5.4</v>
      </c>
      <c r="N106" s="13">
        <f>IF('Données projet'!$A$36&gt;35,N105+M106-V105,IF(A106&lt;'Données projet'!$A$36,$K$205^A106,IF(A106='Données projet'!$A$36,'Données projet'!$B$36,N105+M106-V105)))</f>
        <v>322.19999999999993</v>
      </c>
      <c r="O106" s="13">
        <f>N106*VLOOKUP('Données projet'!$B$9,Paramètres!$A$1:$I$89,3,0)*VLOOKUP('Données projet'!$B$9,Paramètres!$A$1:$I$89,5,0)</f>
        <v>291.5265599999999</v>
      </c>
      <c r="P106" s="13">
        <f t="shared" si="87"/>
        <v>69.397153761857183</v>
      </c>
      <c r="Q106" s="20">
        <f t="shared" si="107"/>
        <v>628.60880146856778</v>
      </c>
      <c r="R106" s="59">
        <f t="shared" si="55"/>
        <v>921.94213480190115</v>
      </c>
      <c r="S106" s="59">
        <f ca="1">AVERAGE(OFFSET($R$3,0,0,'Données projet'!$E$9+1,1))-AVERAGE(OFFSET($H$3,0,0,'Données projet'!$E$9+1,1))</f>
        <v>439.19854273764042</v>
      </c>
      <c r="T106" s="59">
        <f t="shared" si="88"/>
        <v>278.21741231699929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89.872763908834074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89.872763908834074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5.4</v>
      </c>
      <c r="AI106" s="13">
        <f>IF('Données projet'!$A$62&gt;35,AI105+AH106-AQ105,IF(A106&lt;'Données projet'!$A$62,$AF$205^A106,IF(A106='Données projet'!$A$62,'Données projet'!$B$62,AI105+AH106-AQ105)))</f>
        <v>322.19999999999993</v>
      </c>
      <c r="AJ106" s="13">
        <f>AI106*VLOOKUP('Données projet'!$B$10,Paramètres!$A$1:$I$89,3,0)*VLOOKUP('Données projet'!$B$10,Paramètres!$A$1:$I$89,5,0)</f>
        <v>326.71079999999995</v>
      </c>
      <c r="AK106" s="13">
        <f t="shared" si="89"/>
        <v>76.747975030799893</v>
      </c>
      <c r="AL106" s="20">
        <f t="shared" si="58"/>
        <v>702.69069984530972</v>
      </c>
      <c r="AM106" s="59">
        <f t="shared" si="59"/>
        <v>996.02403317864309</v>
      </c>
      <c r="AN106" s="59">
        <f ca="1">AVERAGE(OFFSET($AM$3,0,0,'Données projet'!$E$10+1,1))-AVERAGE(OFFSET($H$3,0,0,'Données projet'!$E$10+1,1))</f>
        <v>487.18832528146936</v>
      </c>
      <c r="AO106" s="59">
        <f t="shared" si="90"/>
        <v>306.61893266146666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100.71947679438301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100.71947679438301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369.00000000000023</v>
      </c>
      <c r="BE106" s="13">
        <f>BD106*VLOOKUP('Données projet'!$B$11,Paramètres!$A$1:$I$89,3,0)*VLOOKUP('Données projet'!$B$11,Paramètres!$A$1:$I$89,5,0)</f>
        <v>333.87120000000021</v>
      </c>
      <c r="BF106" s="13">
        <f t="shared" si="91"/>
        <v>78.23236011137638</v>
      </c>
      <c r="BG106" s="20">
        <f t="shared" si="61"/>
        <v>717.74703386064755</v>
      </c>
      <c r="BH106" s="59">
        <f t="shared" si="62"/>
        <v>1011.0803671939809</v>
      </c>
      <c r="BI106" s="59">
        <f ca="1">AVERAGE(OFFSET($BH$3,0,0,'Données projet'!$E$11+1,1))-AVERAGE(OFFSET($H$3,0,0,'Données projet'!$E$11+1,1))</f>
        <v>436.23918637269577</v>
      </c>
      <c r="BJ106" s="59">
        <f t="shared" si="92"/>
        <v>611.43967996341894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2.4903551715720105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2.4903551715720105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224.00000000000006</v>
      </c>
      <c r="BZ106" s="13">
        <f>BY106*VLOOKUP('Données projet'!$B$12,Paramètres!$A$1:$I$89,3,0)*VLOOKUP('Données projet'!$B$12,Paramètres!$A$1:$I$89,5,0)</f>
        <v>195.68640000000008</v>
      </c>
      <c r="CA106" s="13">
        <f t="shared" si="93"/>
        <v>48.794969360985156</v>
      </c>
      <c r="CB106" s="20">
        <f t="shared" si="64"/>
        <v>425.8050516370493</v>
      </c>
      <c r="CC106" s="59">
        <f t="shared" si="65"/>
        <v>719.13838497038262</v>
      </c>
      <c r="CD106" s="59">
        <f ca="1">AVERAGE(OFFSET($CC$3,0,0,'Données projet'!$E$12+1,1))-AVERAGE(OFFSET($H$3,0,0,'Données projet'!$E$12+1,1))</f>
        <v>304.32767345253382</v>
      </c>
      <c r="CE106" s="59">
        <f t="shared" si="94"/>
        <v>427.16091343339173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26.893313873752934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26.893313873752934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739.99999999999966</v>
      </c>
      <c r="CU106" s="17">
        <f>CT106*VLOOKUP('Données projet'!$B$13,Paramètres!$A$1:$I$89,3,0)*VLOOKUP('Données projet'!$B$13,Paramètres!$A$1:$I$89,5,0)</f>
        <v>413.65999999999985</v>
      </c>
      <c r="CV106" s="13">
        <f t="shared" si="95"/>
        <v>94.540585122244352</v>
      </c>
      <c r="CW106" s="20">
        <f t="shared" si="67"/>
        <v>885.11601908790863</v>
      </c>
      <c r="CX106" s="59">
        <f t="shared" si="68"/>
        <v>1178.4493524212419</v>
      </c>
      <c r="CY106" s="59">
        <f ca="1">AVERAGE(OFFSET($CX$3,0,0,'Données projet'!$E$13+1,1))-AVERAGE(OFFSET($H$3,0,0,'Données projet'!$E$13+1,1))</f>
        <v>555.15881087162279</v>
      </c>
      <c r="CZ106" s="59">
        <f t="shared" si="96"/>
        <v>668.20427590250733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52.700694744517349</v>
      </c>
      <c r="DG106" s="21">
        <f>EXP(-LN(2)/25)*DG105+(1-EXP(-LN(2)/25))/(LN(2)/25)*Calculateur!DB106*Calculateur!DD106*VLOOKUP('Données projet'!$B$13,Paramètres!$A$1:$I$89,3,0)*0.475*44/12</f>
        <v>7.6345313337272849</v>
      </c>
      <c r="DH106" s="21">
        <f>EXP(-LN(2)/2)*DH105+(1-EXP(-LN(2)/2))/(LN(2)/2)*DB106*DE106*VLOOKUP('Données projet'!$B$13,Paramètres!$A$1:$I$89,3,0)*0.475*44/12</f>
        <v>8.7512679733833205E-12</v>
      </c>
      <c r="DI106" s="22">
        <f t="shared" si="69"/>
        <v>60.335226078253385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911.99999999999898</v>
      </c>
      <c r="DP106" s="17">
        <f>DO106*VLOOKUP('Données projet'!$B$14,Paramètres!$A$1:$I$89,3,0)*VLOOKUP('Données projet'!$B$14,Paramètres!$A$1:$I$89,5,0)</f>
        <v>426.81599999999946</v>
      </c>
      <c r="DQ106" s="13">
        <f t="shared" si="97"/>
        <v>97.192496986872399</v>
      </c>
      <c r="DR106" s="20">
        <f t="shared" si="70"/>
        <v>912.64813225213504</v>
      </c>
      <c r="DS106" s="59">
        <f t="shared" si="71"/>
        <v>1205.9814655854684</v>
      </c>
      <c r="DT106" s="59">
        <f ca="1">AVERAGE(OFFSET($DS$3,0,0,'Données projet'!$E$14+1,1))-AVERAGE(OFFSET($H$3,0,0,'Données projet'!$E$14+1,1))</f>
        <v>523.79180230463714</v>
      </c>
      <c r="DU106" s="59">
        <f t="shared" si="98"/>
        <v>459.3547783500515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94.248384052010422</v>
      </c>
      <c r="EB106" s="21">
        <f>EXP(-LN(2)/25)*EB105+(1-EXP(-LN(2)/25))/(LN(2)/25)*Calculateur!DW106*Calculateur!DY106*VLOOKUP('Données projet'!$B$14,Paramètres!$A$1:$I$89,3,0)*0.475*44/12</f>
        <v>7.0609752919270132</v>
      </c>
      <c r="EC106" s="21">
        <f>EXP(-LN(2)/2)*EC105+(1-EXP(-LN(2)/2))/(LN(2)/2)*DW106*DZ106*VLOOKUP('Données projet'!$B$14,Paramètres!$A$1:$I$89,3,0)*0.475*44/12</f>
        <v>1.2267867272584934E-11</v>
      </c>
      <c r="ED106" s="22">
        <f t="shared" si="72"/>
        <v>101.30935934394969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367.99999999999972</v>
      </c>
      <c r="EK106" s="17">
        <f>EJ106*VLOOKUP('Données projet'!$B$15,Paramètres!$A$1:$I$89,3,0)*VLOOKUP('Données projet'!$B$15,Paramètres!$A$1:$I$89,5,0)</f>
        <v>355.92959999999977</v>
      </c>
      <c r="EL106" s="13">
        <f t="shared" si="99"/>
        <v>82.782281100458206</v>
      </c>
      <c r="EM106" s="20">
        <f t="shared" si="73"/>
        <v>764.08985958329765</v>
      </c>
      <c r="EN106" s="59">
        <f t="shared" si="74"/>
        <v>1057.423192916631</v>
      </c>
      <c r="EO106" s="59">
        <f ca="1">AVERAGE(OFFSET($EN$3,0,0,'Données projet'!$E$15+1,1))-AVERAGE(OFFSET($H$3,0,0,'Données projet'!$E$15+1,1))</f>
        <v>484.41278617935654</v>
      </c>
      <c r="EP106" s="59">
        <f t="shared" si="100"/>
        <v>467.97490540700738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38.548324406122383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38.548324406122383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367.99999999999972</v>
      </c>
      <c r="FF106" s="17">
        <f>FE106*VLOOKUP('Données projet'!$B$16,Paramètres!$A$1:$I$89,3,0)*VLOOKUP('Données projet'!$B$16,Paramètres!$A$1:$I$89,5,0)</f>
        <v>396.11519999999967</v>
      </c>
      <c r="FG106" s="13">
        <f t="shared" si="101"/>
        <v>90.988634849704994</v>
      </c>
      <c r="FH106" s="20">
        <f t="shared" si="76"/>
        <v>848.37251236323561</v>
      </c>
      <c r="FI106" s="59">
        <f t="shared" si="77"/>
        <v>1141.705845696569</v>
      </c>
      <c r="FJ106" s="59">
        <f ca="1">AVERAGE(OFFSET($FI$3,0,0,'Données projet'!$E$16+1,1))-AVERAGE(OFFSET($H$3,0,0,'Données projet'!$E$16+1,1))</f>
        <v>534.54020133239135</v>
      </c>
      <c r="FK106" s="59">
        <f t="shared" si="102"/>
        <v>515.48696069008815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42.900554581007192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42.900554581007192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4.4000000000000004</v>
      </c>
      <c r="FZ106" s="12">
        <f>IF('Données projet'!$A$244&gt;35,FZ105+FY106-GH105,IF(A106&lt;'Données projet'!$A$244,$FW$205^A106,IF(A106='Données projet'!$A$244,'Données projet'!$B$244,FZ105+FY106-GH105)))</f>
        <v>261.2</v>
      </c>
      <c r="GA106" s="17">
        <f>FZ106*VLOOKUP('Données projet'!$B$17,Paramètres!$A$1:$I$89,3,0)*VLOOKUP('Données projet'!$B$17,Paramètres!$A$1:$I$89,5,0)</f>
        <v>248.55792</v>
      </c>
      <c r="GB106" s="13">
        <f t="shared" si="103"/>
        <v>60.277037232293665</v>
      </c>
      <c r="GC106" s="20">
        <f t="shared" si="79"/>
        <v>537.88755051291139</v>
      </c>
      <c r="GD106" s="59">
        <f t="shared" si="80"/>
        <v>831.22088384624476</v>
      </c>
      <c r="GE106" s="59">
        <f ca="1">AVERAGE(OFFSET($GD$3,0,0,'Données projet'!$E$17+1,1))-AVERAGE(OFFSET($H$3,0,0,'Données projet'!$E$17+1,1))</f>
        <v>455.71329051283936</v>
      </c>
      <c r="GF106" s="59">
        <f t="shared" si="104"/>
        <v>479.3743231122258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89.756668081793535</v>
      </c>
      <c r="GM106" s="21">
        <f>EXP(-LN(2)/25)*GM105+(1-EXP(-LN(2)/25))/(LN(2)/25)*Calculateur!GH106*Calculateur!GJ106*VLOOKUP('Données projet'!$B$17,Paramètres!$A$1:$I$89,3,0)*0.475*44/12</f>
        <v>0</v>
      </c>
      <c r="GN106" s="21">
        <f>EXP(-LN(2)/2)*GN105+(1-EXP(-LN(2)/2))/(LN(2)/2)*GH106*GK106*VLOOKUP('Données projet'!$B$17,Paramètres!$A$1:$I$89,3,0)*0.475*44/12</f>
        <v>0</v>
      </c>
      <c r="GO106" s="21">
        <f t="shared" si="81"/>
        <v>89.756668081793535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367.99999999999972</v>
      </c>
      <c r="GV106" s="17">
        <f>GU106*VLOOKUP('Données projet'!$B$18,Paramètres!$A$1:$I$89,3,0)*VLOOKUP('Données projet'!$B$18,Paramètres!$A$1:$I$89,5,0)</f>
        <v>298.52159999999981</v>
      </c>
      <c r="GW106" s="13">
        <f t="shared" si="105"/>
        <v>70.866444995542437</v>
      </c>
      <c r="GX106" s="20">
        <f t="shared" si="82"/>
        <v>643.35084503390271</v>
      </c>
      <c r="GY106" s="59">
        <f t="shared" si="83"/>
        <v>936.68417836723597</v>
      </c>
      <c r="GZ106" s="59">
        <f ca="1">AVERAGE(OFFSET($GY$3,0,0,'Données projet'!$E$18+1,1))-AVERAGE(OFFSET($H$3,0,0,'Données projet'!$E$18+1,1))</f>
        <v>412.59676769258488</v>
      </c>
      <c r="HA106" s="59">
        <f t="shared" si="106"/>
        <v>399.90063795152133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32.330852727715559</v>
      </c>
      <c r="HH106" s="21">
        <f>EXP(-LN(2)/25)*HH105+(1-EXP(-LN(2)/25))/(LN(2)/25)*Calculateur!HC106*Calculateur!HE106*VLOOKUP('Données projet'!$B$18,Paramètres!$A$1:$I$89,3,0)*0.475*44/12</f>
        <v>0</v>
      </c>
      <c r="HI106" s="21">
        <f>EXP(-LN(2)/2)*HI105+(1-EXP(-LN(2)/2))/(LN(2)/2)*HC106*HF106*VLOOKUP('Données projet'!$B$18,Paramètres!$A$1:$I$89,3,0)*0.475*44/12</f>
        <v>0</v>
      </c>
      <c r="HJ106" s="22">
        <f t="shared" si="84"/>
        <v>32.330852727715559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5.4</v>
      </c>
      <c r="N107" s="13">
        <f>IF('Données projet'!$A$36&gt;35,N106+M107-V106,IF(A107&lt;'Données projet'!$A$36,$K$205^A107,IF(A107='Données projet'!$A$36,'Données projet'!$B$36,N106+M107-V106)))</f>
        <v>327.59999999999991</v>
      </c>
      <c r="O107" s="13">
        <f>N107*VLOOKUP('Données projet'!$B$9,Paramètres!$A$1:$I$89,3,0)*VLOOKUP('Données projet'!$B$9,Paramètres!$A$1:$I$89,5,0)</f>
        <v>296.4124799999999</v>
      </c>
      <c r="P107" s="13">
        <f t="shared" si="87"/>
        <v>70.423855708154704</v>
      </c>
      <c r="Q107" s="20">
        <f t="shared" si="107"/>
        <v>638.90661802503598</v>
      </c>
      <c r="R107" s="59">
        <f t="shared" si="55"/>
        <v>932.23995135836935</v>
      </c>
      <c r="S107" s="59">
        <f ca="1">AVERAGE(OFFSET($R$3,0,0,'Données projet'!$E$9+1,1))-AVERAGE(OFFSET($H$3,0,0,'Données projet'!$E$9+1,1))</f>
        <v>439.19854273764042</v>
      </c>
      <c r="T107" s="59">
        <f t="shared" si="88"/>
        <v>278.21741231699929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88.110413825555099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88.110413825555099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5.4</v>
      </c>
      <c r="AI107" s="13">
        <f>IF('Données projet'!$A$62&gt;35,AI106+AH107-AQ106,IF(A107&lt;'Données projet'!$A$62,$AF$205^A107,IF(A107='Données projet'!$A$62,'Données projet'!$B$62,AI106+AH107-AQ106)))</f>
        <v>327.59999999999991</v>
      </c>
      <c r="AJ107" s="13">
        <f>AI107*VLOOKUP('Données projet'!$B$10,Paramètres!$A$1:$I$89,3,0)*VLOOKUP('Données projet'!$B$10,Paramètres!$A$1:$I$89,5,0)</f>
        <v>332.18639999999994</v>
      </c>
      <c r="AK107" s="13">
        <f t="shared" si="89"/>
        <v>77.88342931194974</v>
      </c>
      <c r="AL107" s="20">
        <f t="shared" si="58"/>
        <v>714.20495271831226</v>
      </c>
      <c r="AM107" s="59">
        <f t="shared" si="59"/>
        <v>1007.5382860516456</v>
      </c>
      <c r="AN107" s="59">
        <f ca="1">AVERAGE(OFFSET($AM$3,0,0,'Données projet'!$E$10+1,1))-AVERAGE(OFFSET($H$3,0,0,'Données projet'!$E$10+1,1))</f>
        <v>487.18832528146936</v>
      </c>
      <c r="AO107" s="59">
        <f t="shared" si="90"/>
        <v>306.61893266146666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98.744429287260019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98.744429287260019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369.00000000000023</v>
      </c>
      <c r="BE107" s="13">
        <f>BD107*VLOOKUP('Données projet'!$B$11,Paramètres!$A$1:$I$89,3,0)*VLOOKUP('Données projet'!$B$11,Paramètres!$A$1:$I$89,5,0)</f>
        <v>333.87120000000021</v>
      </c>
      <c r="BF107" s="13">
        <f t="shared" si="91"/>
        <v>78.23236011137638</v>
      </c>
      <c r="BG107" s="20">
        <f t="shared" si="61"/>
        <v>717.74703386064755</v>
      </c>
      <c r="BH107" s="59">
        <f t="shared" si="62"/>
        <v>1011.0803671939809</v>
      </c>
      <c r="BI107" s="59">
        <f ca="1">AVERAGE(OFFSET($BH$3,0,0,'Données projet'!$E$11+1,1))-AVERAGE(OFFSET($H$3,0,0,'Données projet'!$E$11+1,1))</f>
        <v>436.23918637269577</v>
      </c>
      <c r="BJ107" s="59">
        <f t="shared" si="92"/>
        <v>611.43967996341894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2.4415208256241523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2.4415208256241523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224.00000000000006</v>
      </c>
      <c r="BZ107" s="13">
        <f>BY107*VLOOKUP('Données projet'!$B$12,Paramètres!$A$1:$I$89,3,0)*VLOOKUP('Données projet'!$B$12,Paramètres!$A$1:$I$89,5,0)</f>
        <v>195.68640000000008</v>
      </c>
      <c r="CA107" s="13">
        <f t="shared" si="93"/>
        <v>48.794969360985156</v>
      </c>
      <c r="CB107" s="20">
        <f t="shared" si="64"/>
        <v>425.8050516370493</v>
      </c>
      <c r="CC107" s="59">
        <f t="shared" si="65"/>
        <v>719.13838497038262</v>
      </c>
      <c r="CD107" s="59">
        <f ca="1">AVERAGE(OFFSET($CC$3,0,0,'Données projet'!$E$12+1,1))-AVERAGE(OFFSET($H$3,0,0,'Données projet'!$E$12+1,1))</f>
        <v>304.32767345253382</v>
      </c>
      <c r="CE107" s="59">
        <f t="shared" si="94"/>
        <v>427.16091343339173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26.365952391990412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26.365952391990412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739.99999999999966</v>
      </c>
      <c r="CU107" s="17">
        <f>CT107*VLOOKUP('Données projet'!$B$13,Paramètres!$A$1:$I$89,3,0)*VLOOKUP('Données projet'!$B$13,Paramètres!$A$1:$I$89,5,0)</f>
        <v>413.65999999999985</v>
      </c>
      <c r="CV107" s="13">
        <f t="shared" si="95"/>
        <v>94.540585122244352</v>
      </c>
      <c r="CW107" s="20">
        <f t="shared" si="67"/>
        <v>885.11601908790863</v>
      </c>
      <c r="CX107" s="59">
        <f t="shared" si="68"/>
        <v>1178.4493524212419</v>
      </c>
      <c r="CY107" s="59">
        <f ca="1">AVERAGE(OFFSET($CX$3,0,0,'Données projet'!$E$13+1,1))-AVERAGE(OFFSET($H$3,0,0,'Données projet'!$E$13+1,1))</f>
        <v>555.15881087162279</v>
      </c>
      <c r="CZ107" s="59">
        <f t="shared" si="96"/>
        <v>668.20427590250733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51.667266264827177</v>
      </c>
      <c r="DG107" s="21">
        <f>EXP(-LN(2)/25)*DG106+(1-EXP(-LN(2)/25))/(LN(2)/25)*Calculateur!DB107*Calculateur!DD107*VLOOKUP('Données projet'!$B$13,Paramètres!$A$1:$I$89,3,0)*0.475*44/12</f>
        <v>7.4257646729239584</v>
      </c>
      <c r="DH107" s="21">
        <f>EXP(-LN(2)/2)*DH106+(1-EXP(-LN(2)/2))/(LN(2)/2)*DB107*DE107*VLOOKUP('Données projet'!$B$13,Paramètres!$A$1:$I$89,3,0)*0.475*44/12</f>
        <v>6.1880809279600009E-12</v>
      </c>
      <c r="DI107" s="22">
        <f t="shared" si="69"/>
        <v>59.093030937757327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911.99999999999898</v>
      </c>
      <c r="DP107" s="17">
        <f>DO107*VLOOKUP('Données projet'!$B$14,Paramètres!$A$1:$I$89,3,0)*VLOOKUP('Données projet'!$B$14,Paramètres!$A$1:$I$89,5,0)</f>
        <v>426.81599999999946</v>
      </c>
      <c r="DQ107" s="13">
        <f t="shared" si="97"/>
        <v>97.192496986872399</v>
      </c>
      <c r="DR107" s="20">
        <f t="shared" si="70"/>
        <v>912.64813225213504</v>
      </c>
      <c r="DS107" s="59">
        <f t="shared" si="71"/>
        <v>1205.9814655854684</v>
      </c>
      <c r="DT107" s="59">
        <f ca="1">AVERAGE(OFFSET($DS$3,0,0,'Données projet'!$E$14+1,1))-AVERAGE(OFFSET($H$3,0,0,'Données projet'!$E$14+1,1))</f>
        <v>523.79180230463714</v>
      </c>
      <c r="DU107" s="59">
        <f t="shared" si="98"/>
        <v>459.3547783500515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92.400230726588518</v>
      </c>
      <c r="EB107" s="21">
        <f>EXP(-LN(2)/25)*EB106+(1-EXP(-LN(2)/25))/(LN(2)/25)*Calculateur!DW107*Calculateur!DY107*VLOOKUP('Données projet'!$B$14,Paramètres!$A$1:$I$89,3,0)*0.475*44/12</f>
        <v>6.8678925512487163</v>
      </c>
      <c r="EC107" s="21">
        <f>EXP(-LN(2)/2)*EC106+(1-EXP(-LN(2)/2))/(LN(2)/2)*DW107*DZ107*VLOOKUP('Données projet'!$B$14,Paramètres!$A$1:$I$89,3,0)*0.475*44/12</f>
        <v>8.6746921391413223E-12</v>
      </c>
      <c r="ED107" s="22">
        <f t="shared" si="72"/>
        <v>99.268123277845902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367.99999999999972</v>
      </c>
      <c r="EK107" s="17">
        <f>EJ107*VLOOKUP('Données projet'!$B$15,Paramètres!$A$1:$I$89,3,0)*VLOOKUP('Données projet'!$B$15,Paramètres!$A$1:$I$89,5,0)</f>
        <v>355.92959999999977</v>
      </c>
      <c r="EL107" s="13">
        <f t="shared" si="99"/>
        <v>82.782281100458206</v>
      </c>
      <c r="EM107" s="20">
        <f t="shared" si="73"/>
        <v>764.08985958329765</v>
      </c>
      <c r="EN107" s="59">
        <f t="shared" si="74"/>
        <v>1057.423192916631</v>
      </c>
      <c r="EO107" s="59">
        <f ca="1">AVERAGE(OFFSET($EN$3,0,0,'Données projet'!$E$15+1,1))-AVERAGE(OFFSET($H$3,0,0,'Données projet'!$E$15+1,1))</f>
        <v>484.41278617935654</v>
      </c>
      <c r="EP107" s="59">
        <f t="shared" si="100"/>
        <v>467.97490540700738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37.792415276674575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37.792415276674575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367.99999999999972</v>
      </c>
      <c r="FF107" s="17">
        <f>FE107*VLOOKUP('Données projet'!$B$16,Paramètres!$A$1:$I$89,3,0)*VLOOKUP('Données projet'!$B$16,Paramètres!$A$1:$I$89,5,0)</f>
        <v>396.11519999999967</v>
      </c>
      <c r="FG107" s="13">
        <f t="shared" si="101"/>
        <v>90.988634849704994</v>
      </c>
      <c r="FH107" s="20">
        <f t="shared" si="76"/>
        <v>848.37251236323561</v>
      </c>
      <c r="FI107" s="59">
        <f t="shared" si="77"/>
        <v>1141.705845696569</v>
      </c>
      <c r="FJ107" s="59">
        <f ca="1">AVERAGE(OFFSET($FI$3,0,0,'Données projet'!$E$16+1,1))-AVERAGE(OFFSET($H$3,0,0,'Données projet'!$E$16+1,1))</f>
        <v>534.54020133239135</v>
      </c>
      <c r="FK107" s="59">
        <f t="shared" si="102"/>
        <v>515.48696069008815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42.059300872428182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42.059300872428182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4.4000000000000004</v>
      </c>
      <c r="FZ107" s="12">
        <f>IF('Données projet'!$A$244&gt;35,FZ106+FY107-GH106,IF(A107&lt;'Données projet'!$A$244,$FW$205^A107,IF(A107='Données projet'!$A$244,'Données projet'!$B$244,FZ106+FY107-GH106)))</f>
        <v>265.59999999999997</v>
      </c>
      <c r="GA107" s="17">
        <f>FZ107*VLOOKUP('Données projet'!$B$17,Paramètres!$A$1:$I$89,3,0)*VLOOKUP('Données projet'!$B$17,Paramètres!$A$1:$I$89,5,0)</f>
        <v>252.74495999999996</v>
      </c>
      <c r="GB107" s="13">
        <f t="shared" si="103"/>
        <v>61.173358634109022</v>
      </c>
      <c r="GC107" s="20">
        <f t="shared" si="79"/>
        <v>546.74107162107305</v>
      </c>
      <c r="GD107" s="59">
        <f t="shared" si="80"/>
        <v>840.07440495440642</v>
      </c>
      <c r="GE107" s="59">
        <f ca="1">AVERAGE(OFFSET($GD$3,0,0,'Données projet'!$E$17+1,1))-AVERAGE(OFFSET($H$3,0,0,'Données projet'!$E$17+1,1))</f>
        <v>455.71329051283936</v>
      </c>
      <c r="GF107" s="59">
        <f t="shared" si="104"/>
        <v>479.3743231122258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87.996594566871366</v>
      </c>
      <c r="GM107" s="21">
        <f>EXP(-LN(2)/25)*GM106+(1-EXP(-LN(2)/25))/(LN(2)/25)*Calculateur!GH107*Calculateur!GJ107*VLOOKUP('Données projet'!$B$17,Paramètres!$A$1:$I$89,3,0)*0.475*44/12</f>
        <v>0</v>
      </c>
      <c r="GN107" s="21">
        <f>EXP(-LN(2)/2)*GN106+(1-EXP(-LN(2)/2))/(LN(2)/2)*GH107*GK107*VLOOKUP('Données projet'!$B$17,Paramètres!$A$1:$I$89,3,0)*0.475*44/12</f>
        <v>0</v>
      </c>
      <c r="GO107" s="21">
        <f t="shared" si="81"/>
        <v>87.996594566871366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367.99999999999972</v>
      </c>
      <c r="GV107" s="17">
        <f>GU107*VLOOKUP('Données projet'!$B$18,Paramètres!$A$1:$I$89,3,0)*VLOOKUP('Données projet'!$B$18,Paramètres!$A$1:$I$89,5,0)</f>
        <v>298.52159999999981</v>
      </c>
      <c r="GW107" s="13">
        <f t="shared" si="105"/>
        <v>70.866444995542437</v>
      </c>
      <c r="GX107" s="20">
        <f t="shared" si="82"/>
        <v>643.35084503390271</v>
      </c>
      <c r="GY107" s="59">
        <f t="shared" si="83"/>
        <v>936.68417836723597</v>
      </c>
      <c r="GZ107" s="59">
        <f ca="1">AVERAGE(OFFSET($GY$3,0,0,'Données projet'!$E$18+1,1))-AVERAGE(OFFSET($H$3,0,0,'Données projet'!$E$18+1,1))</f>
        <v>412.59676769258488</v>
      </c>
      <c r="HA107" s="59">
        <f t="shared" si="106"/>
        <v>399.90063795152133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31.696864425598044</v>
      </c>
      <c r="HH107" s="21">
        <f>EXP(-LN(2)/25)*HH106+(1-EXP(-LN(2)/25))/(LN(2)/25)*Calculateur!HC107*Calculateur!HE107*VLOOKUP('Données projet'!$B$18,Paramètres!$A$1:$I$89,3,0)*0.475*44/12</f>
        <v>0</v>
      </c>
      <c r="HI107" s="21">
        <f>EXP(-LN(2)/2)*HI106+(1-EXP(-LN(2)/2))/(LN(2)/2)*HC107*HF107*VLOOKUP('Données projet'!$B$18,Paramètres!$A$1:$I$89,3,0)*0.475*44/12</f>
        <v>0</v>
      </c>
      <c r="HJ107" s="22">
        <f t="shared" si="84"/>
        <v>31.696864425598044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333</v>
      </c>
      <c r="L108" s="12">
        <f>VLOOKUP(A108,'Données projet'!$A$35:$I$55,9,0)</f>
        <v>5.4</v>
      </c>
      <c r="M108" s="12">
        <f t="array" ref="M108">INDEX(L:L,MIN(IF(ISNUMBER(L108:L304),ROW(L108:L304),"")))</f>
        <v>5.4</v>
      </c>
      <c r="N108" s="13">
        <f>IF('Données projet'!$A$36&gt;35,N107+M108-V107,IF(A108&lt;'Données projet'!$A$36,$K$205^A108,IF(A108='Données projet'!$A$36,'Données projet'!$B$36,N107+M108-V107)))</f>
        <v>332.99999999999989</v>
      </c>
      <c r="O108" s="13">
        <f>N108*VLOOKUP('Données projet'!$B$9,Paramètres!$A$1:$I$89,3,0)*VLOOKUP('Données projet'!$B$9,Paramètres!$A$1:$I$89,5,0)</f>
        <v>301.2983999999999</v>
      </c>
      <c r="P108" s="13">
        <f t="shared" si="87"/>
        <v>71.448589534990518</v>
      </c>
      <c r="Q108" s="20">
        <f t="shared" si="107"/>
        <v>649.20100677344158</v>
      </c>
      <c r="R108" s="59">
        <f t="shared" si="55"/>
        <v>942.53434010677483</v>
      </c>
      <c r="S108" s="59">
        <f ca="1">AVERAGE(OFFSET($R$3,0,0,'Données projet'!$E$9+1,1))-AVERAGE(OFFSET($H$3,0,0,'Données projet'!$E$9+1,1))</f>
        <v>439.19854273764042</v>
      </c>
      <c r="T108" s="59">
        <f t="shared" si="88"/>
        <v>278.21741231699929</v>
      </c>
      <c r="U108" s="15">
        <f>IF(ISNA(VLOOKUP(A108,'Données projet'!$A$35:$I$55,3,0)),0,VLOOKUP(A108,'Données projet'!$A$35:$I$55,3,0))</f>
        <v>18</v>
      </c>
      <c r="V108" s="15">
        <f>IF(ISNA(VLOOKUP(A108,'Données projet'!$A$35:$I$55,4,0)),0,VLOOKUP(A108,'Données projet'!$A$35:$I$55,4,0))</f>
        <v>26</v>
      </c>
      <c r="W108" s="16">
        <f>IF(ISNA(VLOOKUP(A108,'Données projet'!$A$35:$I$55,5,0)),0%,VLOOKUP(A108,'Données projet'!$A$35:$I$55,5,0)*VLOOKUP('Données projet'!$B$9,Paramètres!$A$1:$I$89,7,0))</f>
        <v>0.43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97.565189273789613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97.565189273789613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333</v>
      </c>
      <c r="AG108" s="12">
        <f>VLOOKUP(A108,'Données projet'!$A$61:$I$81,9,0)</f>
        <v>5.4</v>
      </c>
      <c r="AH108" s="12">
        <f t="array" ref="AH108">INDEX(AG:AG,MIN(IF(ISNUMBER(AG108:AG304),ROW(AG108:AG304),"")))</f>
        <v>5.4</v>
      </c>
      <c r="AI108" s="13">
        <f>IF('Données projet'!$A$62&gt;35,AI107+AH108-AQ107,IF(A108&lt;'Données projet'!$A$62,$AF$205^A108,IF(A108='Données projet'!$A$62,'Données projet'!$B$62,AI107+AH108-AQ107)))</f>
        <v>332.99999999999989</v>
      </c>
      <c r="AJ108" s="13">
        <f>AI108*VLOOKUP('Données projet'!$B$10,Paramètres!$A$1:$I$89,3,0)*VLOOKUP('Données projet'!$B$10,Paramètres!$A$1:$I$89,5,0)</f>
        <v>337.66199999999992</v>
      </c>
      <c r="AK108" s="13">
        <f t="shared" si="89"/>
        <v>79.016707002632685</v>
      </c>
      <c r="AL108" s="20">
        <f t="shared" si="58"/>
        <v>725.71541469625174</v>
      </c>
      <c r="AM108" s="59">
        <f t="shared" si="59"/>
        <v>1019.0487480295851</v>
      </c>
      <c r="AN108" s="59">
        <f ca="1">AVERAGE(OFFSET($AM$3,0,0,'Données projet'!$E$10+1,1))-AVERAGE(OFFSET($H$3,0,0,'Données projet'!$E$10+1,1))</f>
        <v>487.18832528146936</v>
      </c>
      <c r="AO108" s="59">
        <f t="shared" si="90"/>
        <v>306.61893266146666</v>
      </c>
      <c r="AP108" s="15">
        <f>IF(ISNA(VLOOKUP(A108,'Données projet'!$A$61:$I$81,3,0)),0,VLOOKUP(A108,'Données projet'!$A$61:$I$81,3,0))</f>
        <v>18</v>
      </c>
      <c r="AQ108" s="15">
        <f>IF(ISNA(VLOOKUP(A108,'Données projet'!$A$61:$I$81,4,0)),0,VLOOKUP(A108,'Données projet'!$A$61:$I$81,4,0))</f>
        <v>26</v>
      </c>
      <c r="AR108" s="16">
        <f>IF(ISNA(VLOOKUP(A108,'Données projet'!$A$61:$I$81,5,0)),0%,VLOOKUP(A108,'Données projet'!$A$61:$I$81,5,0)*VLOOKUP('Données projet'!$B$10,Paramètres!$A$1:$I$89,7,0))</f>
        <v>0.43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109.34029832407457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109.34029832407457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369.00000000000023</v>
      </c>
      <c r="BE108" s="13">
        <f>BD108*VLOOKUP('Données projet'!$B$11,Paramètres!$A$1:$I$89,3,0)*VLOOKUP('Données projet'!$B$11,Paramètres!$A$1:$I$89,5,0)</f>
        <v>333.87120000000021</v>
      </c>
      <c r="BF108" s="13">
        <f t="shared" si="91"/>
        <v>78.23236011137638</v>
      </c>
      <c r="BG108" s="20">
        <f t="shared" si="61"/>
        <v>717.74703386064755</v>
      </c>
      <c r="BH108" s="59">
        <f t="shared" si="62"/>
        <v>1011.0803671939809</v>
      </c>
      <c r="BI108" s="59">
        <f ca="1">AVERAGE(OFFSET($BH$3,0,0,'Données projet'!$E$11+1,1))-AVERAGE(OFFSET($H$3,0,0,'Données projet'!$E$11+1,1))</f>
        <v>436.23918637269577</v>
      </c>
      <c r="BJ108" s="59">
        <f t="shared" si="92"/>
        <v>611.43967996341894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2.393644091414322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2.393644091414322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224.00000000000006</v>
      </c>
      <c r="BZ108" s="13">
        <f>BY108*VLOOKUP('Données projet'!$B$12,Paramètres!$A$1:$I$89,3,0)*VLOOKUP('Données projet'!$B$12,Paramètres!$A$1:$I$89,5,0)</f>
        <v>195.68640000000008</v>
      </c>
      <c r="CA108" s="13">
        <f t="shared" si="93"/>
        <v>48.794969360985156</v>
      </c>
      <c r="CB108" s="20">
        <f t="shared" si="64"/>
        <v>425.8050516370493</v>
      </c>
      <c r="CC108" s="59">
        <f t="shared" si="65"/>
        <v>719.13838497038262</v>
      </c>
      <c r="CD108" s="59">
        <f ca="1">AVERAGE(OFFSET($CC$3,0,0,'Données projet'!$E$12+1,1))-AVERAGE(OFFSET($H$3,0,0,'Données projet'!$E$12+1,1))</f>
        <v>304.32767345253382</v>
      </c>
      <c r="CE108" s="59">
        <f t="shared" si="94"/>
        <v>427.16091343339173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25.84893214722651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25.84893214722651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739.99999999999966</v>
      </c>
      <c r="CU108" s="17">
        <f>CT108*VLOOKUP('Données projet'!$B$13,Paramètres!$A$1:$I$89,3,0)*VLOOKUP('Données projet'!$B$13,Paramètres!$A$1:$I$89,5,0)</f>
        <v>413.65999999999985</v>
      </c>
      <c r="CV108" s="13">
        <f t="shared" si="95"/>
        <v>94.540585122244352</v>
      </c>
      <c r="CW108" s="20">
        <f t="shared" si="67"/>
        <v>885.11601908790863</v>
      </c>
      <c r="CX108" s="59">
        <f t="shared" si="68"/>
        <v>1178.4493524212419</v>
      </c>
      <c r="CY108" s="59">
        <f ca="1">AVERAGE(OFFSET($CX$3,0,0,'Données projet'!$E$13+1,1))-AVERAGE(OFFSET($H$3,0,0,'Données projet'!$E$13+1,1))</f>
        <v>555.15881087162279</v>
      </c>
      <c r="CZ108" s="59">
        <f t="shared" si="96"/>
        <v>668.20427590250733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50.654102687294596</v>
      </c>
      <c r="DG108" s="21">
        <f>EXP(-LN(2)/25)*DG107+(1-EXP(-LN(2)/25))/(LN(2)/25)*Calculateur!DB108*Calculateur!DD108*VLOOKUP('Données projet'!$B$13,Paramètres!$A$1:$I$89,3,0)*0.475*44/12</f>
        <v>7.2227067474388607</v>
      </c>
      <c r="DH108" s="21">
        <f>EXP(-LN(2)/2)*DH107+(1-EXP(-LN(2)/2))/(LN(2)/2)*DB108*DE108*VLOOKUP('Données projet'!$B$13,Paramètres!$A$1:$I$89,3,0)*0.475*44/12</f>
        <v>4.3756339866916602E-12</v>
      </c>
      <c r="DI108" s="22">
        <f t="shared" si="69"/>
        <v>57.876809434737837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911.99999999999898</v>
      </c>
      <c r="DP108" s="17">
        <f>DO108*VLOOKUP('Données projet'!$B$14,Paramètres!$A$1:$I$89,3,0)*VLOOKUP('Données projet'!$B$14,Paramètres!$A$1:$I$89,5,0)</f>
        <v>426.81599999999946</v>
      </c>
      <c r="DQ108" s="13">
        <f t="shared" si="97"/>
        <v>97.192496986872399</v>
      </c>
      <c r="DR108" s="20">
        <f t="shared" si="70"/>
        <v>912.64813225213504</v>
      </c>
      <c r="DS108" s="59">
        <f t="shared" si="71"/>
        <v>1205.9814655854684</v>
      </c>
      <c r="DT108" s="59">
        <f ca="1">AVERAGE(OFFSET($DS$3,0,0,'Données projet'!$E$14+1,1))-AVERAGE(OFFSET($H$3,0,0,'Données projet'!$E$14+1,1))</f>
        <v>523.79180230463714</v>
      </c>
      <c r="DU108" s="59">
        <f t="shared" si="98"/>
        <v>459.3547783500515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90.588318560615917</v>
      </c>
      <c r="EB108" s="21">
        <f>EXP(-LN(2)/25)*EB107+(1-EXP(-LN(2)/25))/(LN(2)/25)*Calculateur!DW108*Calculateur!DY108*VLOOKUP('Données projet'!$B$14,Paramètres!$A$1:$I$89,3,0)*0.475*44/12</f>
        <v>6.6800896682680477</v>
      </c>
      <c r="EC108" s="21">
        <f>EXP(-LN(2)/2)*EC107+(1-EXP(-LN(2)/2))/(LN(2)/2)*DW108*DZ108*VLOOKUP('Données projet'!$B$14,Paramètres!$A$1:$I$89,3,0)*0.475*44/12</f>
        <v>6.1339336362924669E-12</v>
      </c>
      <c r="ED108" s="22">
        <f t="shared" si="72"/>
        <v>97.26840822889011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367.99999999999972</v>
      </c>
      <c r="EK108" s="17">
        <f>EJ108*VLOOKUP('Données projet'!$B$15,Paramètres!$A$1:$I$89,3,0)*VLOOKUP('Données projet'!$B$15,Paramètres!$A$1:$I$89,5,0)</f>
        <v>355.92959999999977</v>
      </c>
      <c r="EL108" s="13">
        <f t="shared" si="99"/>
        <v>82.782281100458206</v>
      </c>
      <c r="EM108" s="20">
        <f t="shared" si="73"/>
        <v>764.08985958329765</v>
      </c>
      <c r="EN108" s="59">
        <f t="shared" si="74"/>
        <v>1057.423192916631</v>
      </c>
      <c r="EO108" s="59">
        <f ca="1">AVERAGE(OFFSET($EN$3,0,0,'Données projet'!$E$15+1,1))-AVERAGE(OFFSET($H$3,0,0,'Données projet'!$E$15+1,1))</f>
        <v>484.41278617935654</v>
      </c>
      <c r="EP108" s="59">
        <f t="shared" si="100"/>
        <v>467.97490540700738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37.051329064196196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37.051329064196196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367.99999999999972</v>
      </c>
      <c r="FF108" s="17">
        <f>FE108*VLOOKUP('Données projet'!$B$16,Paramètres!$A$1:$I$89,3,0)*VLOOKUP('Données projet'!$B$16,Paramètres!$A$1:$I$89,5,0)</f>
        <v>396.11519999999967</v>
      </c>
      <c r="FG108" s="13">
        <f t="shared" si="101"/>
        <v>90.988634849704994</v>
      </c>
      <c r="FH108" s="20">
        <f t="shared" si="76"/>
        <v>848.37251236323561</v>
      </c>
      <c r="FI108" s="59">
        <f t="shared" si="77"/>
        <v>1141.705845696569</v>
      </c>
      <c r="FJ108" s="59">
        <f ca="1">AVERAGE(OFFSET($FI$3,0,0,'Données projet'!$E$16+1,1))-AVERAGE(OFFSET($H$3,0,0,'Données projet'!$E$16+1,1))</f>
        <v>534.54020133239135</v>
      </c>
      <c r="FK108" s="59">
        <f t="shared" si="102"/>
        <v>515.48696069008815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41.234543635960307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41.234543635960307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>
        <f>VLOOKUP(A108,'Données projet'!$A$243:$I$263,2,0)</f>
        <v>270</v>
      </c>
      <c r="FX108" s="12">
        <f>VLOOKUP(A108,'Données projet'!$A$243:$I$263,9,0)</f>
        <v>4.4000000000000004</v>
      </c>
      <c r="FY108" s="12">
        <f t="array" ref="FY108">INDEX(FX:FX,MIN(IF(ISNUMBER(FX108:FX304),ROW(FX108:FX304),"")))</f>
        <v>4.4000000000000004</v>
      </c>
      <c r="FZ108" s="12">
        <f>IF('Données projet'!$A$244&gt;35,FZ107+FY108-GH107,IF(A108&lt;'Données projet'!$A$244,$FW$205^A108,IF(A108='Données projet'!$A$244,'Données projet'!$B$244,FZ107+FY108-GH107)))</f>
        <v>269.99999999999994</v>
      </c>
      <c r="GA108" s="17">
        <f>FZ108*VLOOKUP('Données projet'!$B$17,Paramètres!$A$1:$I$89,3,0)*VLOOKUP('Données projet'!$B$17,Paramètres!$A$1:$I$89,5,0)</f>
        <v>256.93199999999996</v>
      </c>
      <c r="GB108" s="13">
        <f t="shared" si="103"/>
        <v>62.067953229346557</v>
      </c>
      <c r="GC108" s="20">
        <f t="shared" si="79"/>
        <v>555.59158520777839</v>
      </c>
      <c r="GD108" s="59">
        <f t="shared" si="80"/>
        <v>848.92491854111177</v>
      </c>
      <c r="GE108" s="59">
        <f ca="1">AVERAGE(OFFSET($GD$3,0,0,'Données projet'!$E$17+1,1))-AVERAGE(OFFSET($H$3,0,0,'Données projet'!$E$17+1,1))</f>
        <v>455.71329051283936</v>
      </c>
      <c r="GF108" s="59">
        <f t="shared" si="104"/>
        <v>479.3743231122258</v>
      </c>
      <c r="GG108" s="15">
        <f>IF(ISNA(VLOOKUP(A108,'Données projet'!$A$243:$I$263,3,0)),0,VLOOKUP(A108,'Données projet'!$A$243:$I$263,3,0))</f>
        <v>20</v>
      </c>
      <c r="GH108" s="15">
        <f>IF(ISNA(VLOOKUP(A108,'Données projet'!$A$243:$I$263,4,0)),0,VLOOKUP(A108,'Données projet'!$A$243:$I$263,4,0))</f>
        <v>21</v>
      </c>
      <c r="GI108" s="16">
        <f>IF(ISNA(VLOOKUP(A108,'Données projet'!$A$243:$I$263,5,0)),0%,VLOOKUP(A108,'Données projet'!$A$243:$I$263,5,0)*VLOOKUP('Données projet'!$B$17,Paramètres!$A$1:$I$89,7,0))</f>
        <v>0.43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95.770284506904872</v>
      </c>
      <c r="GM108" s="21">
        <f>EXP(-LN(2)/25)*GM107+(1-EXP(-LN(2)/25))/(LN(2)/25)*Calculateur!GH108*Calculateur!GJ108*VLOOKUP('Données projet'!$B$17,Paramètres!$A$1:$I$89,3,0)*0.475*44/12</f>
        <v>0</v>
      </c>
      <c r="GN108" s="21">
        <f>EXP(-LN(2)/2)*GN107+(1-EXP(-LN(2)/2))/(LN(2)/2)*GH108*GK108*VLOOKUP('Données projet'!$B$17,Paramètres!$A$1:$I$89,3,0)*0.475*44/12</f>
        <v>0</v>
      </c>
      <c r="GO108" s="21">
        <f t="shared" si="81"/>
        <v>95.770284506904872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367.99999999999972</v>
      </c>
      <c r="GV108" s="17">
        <f>GU108*VLOOKUP('Données projet'!$B$18,Paramètres!$A$1:$I$89,3,0)*VLOOKUP('Données projet'!$B$18,Paramètres!$A$1:$I$89,5,0)</f>
        <v>298.52159999999981</v>
      </c>
      <c r="GW108" s="13">
        <f t="shared" si="105"/>
        <v>70.866444995542437</v>
      </c>
      <c r="GX108" s="20">
        <f t="shared" si="82"/>
        <v>643.35084503390271</v>
      </c>
      <c r="GY108" s="59">
        <f t="shared" si="83"/>
        <v>936.68417836723597</v>
      </c>
      <c r="GZ108" s="59">
        <f ca="1">AVERAGE(OFFSET($GY$3,0,0,'Données projet'!$E$18+1,1))-AVERAGE(OFFSET($H$3,0,0,'Données projet'!$E$18+1,1))</f>
        <v>412.59676769258488</v>
      </c>
      <c r="HA108" s="59">
        <f t="shared" si="106"/>
        <v>399.90063795152133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31.075308247390375</v>
      </c>
      <c r="HH108" s="21">
        <f>EXP(-LN(2)/25)*HH107+(1-EXP(-LN(2)/25))/(LN(2)/25)*Calculateur!HC108*Calculateur!HE108*VLOOKUP('Données projet'!$B$18,Paramètres!$A$1:$I$89,3,0)*0.475*44/12</f>
        <v>0</v>
      </c>
      <c r="HI108" s="21">
        <f>EXP(-LN(2)/2)*HI107+(1-EXP(-LN(2)/2))/(LN(2)/2)*HC108*HF108*VLOOKUP('Données projet'!$B$18,Paramètres!$A$1:$I$89,3,0)*0.475*44/12</f>
        <v>0</v>
      </c>
      <c r="HJ108" s="22">
        <f t="shared" si="84"/>
        <v>31.075308247390375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</v>
      </c>
      <c r="N109" s="13">
        <f>IF('Données projet'!$A$36&gt;35,N108+M109-V108,IF(A109&lt;'Données projet'!$A$36,$K$205^A109,IF(A109='Données projet'!$A$36,'Données projet'!$B$36,N108+M109-V108)))</f>
        <v>311.99999999999989</v>
      </c>
      <c r="O109" s="13">
        <f>N109*VLOOKUP('Données projet'!$B$9,Paramètres!$A$1:$I$89,3,0)*VLOOKUP('Données projet'!$B$9,Paramètres!$A$1:$I$89,5,0)</f>
        <v>282.29759999999987</v>
      </c>
      <c r="P109" s="13">
        <f t="shared" si="87"/>
        <v>67.452326629470178</v>
      </c>
      <c r="Q109" s="20">
        <f t="shared" si="107"/>
        <v>609.14778887966042</v>
      </c>
      <c r="R109" s="59">
        <f t="shared" si="55"/>
        <v>902.4811222129938</v>
      </c>
      <c r="S109" s="59">
        <f ca="1">AVERAGE(OFFSET($R$3,0,0,'Données projet'!$E$9+1,1))-AVERAGE(OFFSET($H$3,0,0,'Données projet'!$E$9+1,1))</f>
        <v>439.19854273764042</v>
      </c>
      <c r="T109" s="59">
        <f t="shared" si="88"/>
        <v>278.21741231699929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95.651995421020047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95.651995421020047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</v>
      </c>
      <c r="AI109" s="13">
        <f>IF('Données projet'!$A$62&gt;35,AI108+AH109-AQ108,IF(A109&lt;'Données projet'!$A$62,$AF$205^A109,IF(A109='Données projet'!$A$62,'Données projet'!$B$62,AI108+AH109-AQ108)))</f>
        <v>311.99999999999989</v>
      </c>
      <c r="AJ109" s="13">
        <f>AI109*VLOOKUP('Données projet'!$B$10,Paramètres!$A$1:$I$89,3,0)*VLOOKUP('Données projet'!$B$10,Paramètres!$A$1:$I$89,5,0)</f>
        <v>316.36799999999988</v>
      </c>
      <c r="AK109" s="13">
        <f t="shared" si="89"/>
        <v>74.597144109003438</v>
      </c>
      <c r="AL109" s="20">
        <f t="shared" si="58"/>
        <v>680.93095932318067</v>
      </c>
      <c r="AM109" s="59">
        <f t="shared" si="59"/>
        <v>974.26429265651404</v>
      </c>
      <c r="AN109" s="59">
        <f ca="1">AVERAGE(OFFSET($AM$3,0,0,'Données projet'!$E$10+1,1))-AVERAGE(OFFSET($H$3,0,0,'Données projet'!$E$10+1,1))</f>
        <v>487.18832528146936</v>
      </c>
      <c r="AO109" s="59">
        <f t="shared" si="90"/>
        <v>306.61893266146666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107.19620176493625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107.19620176493625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369.00000000000023</v>
      </c>
      <c r="BE109" s="13">
        <f>BD109*VLOOKUP('Données projet'!$B$11,Paramètres!$A$1:$I$89,3,0)*VLOOKUP('Données projet'!$B$11,Paramètres!$A$1:$I$89,5,0)</f>
        <v>333.87120000000021</v>
      </c>
      <c r="BF109" s="13">
        <f t="shared" si="91"/>
        <v>78.23236011137638</v>
      </c>
      <c r="BG109" s="20">
        <f t="shared" si="61"/>
        <v>717.74703386064755</v>
      </c>
      <c r="BH109" s="59">
        <f t="shared" si="62"/>
        <v>1011.0803671939809</v>
      </c>
      <c r="BI109" s="59">
        <f ca="1">AVERAGE(OFFSET($BH$3,0,0,'Données projet'!$E$11+1,1))-AVERAGE(OFFSET($H$3,0,0,'Données projet'!$E$11+1,1))</f>
        <v>436.23918637269577</v>
      </c>
      <c r="BJ109" s="59">
        <f t="shared" si="92"/>
        <v>611.43967996341894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2.3467061907604219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2.3467061907604219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224.00000000000006</v>
      </c>
      <c r="BZ109" s="13">
        <f>BY109*VLOOKUP('Données projet'!$B$12,Paramètres!$A$1:$I$89,3,0)*VLOOKUP('Données projet'!$B$12,Paramètres!$A$1:$I$89,5,0)</f>
        <v>195.68640000000008</v>
      </c>
      <c r="CA109" s="13">
        <f t="shared" si="93"/>
        <v>48.794969360985156</v>
      </c>
      <c r="CB109" s="20">
        <f t="shared" si="64"/>
        <v>425.8050516370493</v>
      </c>
      <c r="CC109" s="59">
        <f t="shared" si="65"/>
        <v>719.13838497038262</v>
      </c>
      <c r="CD109" s="59">
        <f ca="1">AVERAGE(OFFSET($CC$3,0,0,'Données projet'!$E$12+1,1))-AVERAGE(OFFSET($H$3,0,0,'Données projet'!$E$12+1,1))</f>
        <v>304.32767345253382</v>
      </c>
      <c r="CE109" s="59">
        <f t="shared" si="94"/>
        <v>427.16091343339173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25.342050354111215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25.342050354111215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739.99999999999966</v>
      </c>
      <c r="CU109" s="17">
        <f>CT109*VLOOKUP('Données projet'!$B$13,Paramètres!$A$1:$I$89,3,0)*VLOOKUP('Données projet'!$B$13,Paramètres!$A$1:$I$89,5,0)</f>
        <v>413.65999999999985</v>
      </c>
      <c r="CV109" s="13">
        <f t="shared" si="95"/>
        <v>94.540585122244352</v>
      </c>
      <c r="CW109" s="20">
        <f t="shared" si="67"/>
        <v>885.11601908790863</v>
      </c>
      <c r="CX109" s="59">
        <f t="shared" si="68"/>
        <v>1178.4493524212419</v>
      </c>
      <c r="CY109" s="59">
        <f ca="1">AVERAGE(OFFSET($CX$3,0,0,'Données projet'!$E$13+1,1))-AVERAGE(OFFSET($H$3,0,0,'Données projet'!$E$13+1,1))</f>
        <v>555.15881087162279</v>
      </c>
      <c r="CZ109" s="59">
        <f t="shared" si="96"/>
        <v>668.20427590250733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49.660806629548667</v>
      </c>
      <c r="DG109" s="21">
        <f>EXP(-LN(2)/25)*DG108+(1-EXP(-LN(2)/25))/(LN(2)/25)*Calculateur!DB109*Calculateur!DD109*VLOOKUP('Données projet'!$B$13,Paramètres!$A$1:$I$89,3,0)*0.475*44/12</f>
        <v>7.0252014516045049</v>
      </c>
      <c r="DH109" s="21">
        <f>EXP(-LN(2)/2)*DH108+(1-EXP(-LN(2)/2))/(LN(2)/2)*DB109*DE109*VLOOKUP('Données projet'!$B$13,Paramètres!$A$1:$I$89,3,0)*0.475*44/12</f>
        <v>3.0940404639800005E-12</v>
      </c>
      <c r="DI109" s="22">
        <f t="shared" si="69"/>
        <v>56.68600808115626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911.99999999999898</v>
      </c>
      <c r="DP109" s="17">
        <f>DO109*VLOOKUP('Données projet'!$B$14,Paramètres!$A$1:$I$89,3,0)*VLOOKUP('Données projet'!$B$14,Paramètres!$A$1:$I$89,5,0)</f>
        <v>426.81599999999946</v>
      </c>
      <c r="DQ109" s="13">
        <f t="shared" si="97"/>
        <v>97.192496986872399</v>
      </c>
      <c r="DR109" s="20">
        <f t="shared" si="70"/>
        <v>912.64813225213504</v>
      </c>
      <c r="DS109" s="59">
        <f t="shared" si="71"/>
        <v>1205.9814655854684</v>
      </c>
      <c r="DT109" s="59">
        <f ca="1">AVERAGE(OFFSET($DS$3,0,0,'Données projet'!$E$14+1,1))-AVERAGE(OFFSET($H$3,0,0,'Données projet'!$E$14+1,1))</f>
        <v>523.79180230463714</v>
      </c>
      <c r="DU109" s="59">
        <f t="shared" si="98"/>
        <v>459.3547783500515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88.811936887060739</v>
      </c>
      <c r="EB109" s="21">
        <f>EXP(-LN(2)/25)*EB108+(1-EXP(-LN(2)/25))/(LN(2)/25)*Calculateur!DW109*Calculateur!DY109*VLOOKUP('Données projet'!$B$14,Paramètres!$A$1:$I$89,3,0)*0.475*44/12</f>
        <v>6.49742226499861</v>
      </c>
      <c r="EC109" s="21">
        <f>EXP(-LN(2)/2)*EC108+(1-EXP(-LN(2)/2))/(LN(2)/2)*DW109*DZ109*VLOOKUP('Données projet'!$B$14,Paramètres!$A$1:$I$89,3,0)*0.475*44/12</f>
        <v>4.3373460695706612E-12</v>
      </c>
      <c r="ED109" s="22">
        <f t="shared" si="72"/>
        <v>95.309359152063678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367.99999999999972</v>
      </c>
      <c r="EK109" s="17">
        <f>EJ109*VLOOKUP('Données projet'!$B$15,Paramètres!$A$1:$I$89,3,0)*VLOOKUP('Données projet'!$B$15,Paramètres!$A$1:$I$89,5,0)</f>
        <v>355.92959999999977</v>
      </c>
      <c r="EL109" s="13">
        <f t="shared" si="99"/>
        <v>82.782281100458206</v>
      </c>
      <c r="EM109" s="20">
        <f t="shared" si="73"/>
        <v>764.08985958329765</v>
      </c>
      <c r="EN109" s="59">
        <f t="shared" si="74"/>
        <v>1057.423192916631</v>
      </c>
      <c r="EO109" s="59">
        <f ca="1">AVERAGE(OFFSET($EN$3,0,0,'Données projet'!$E$15+1,1))-AVERAGE(OFFSET($H$3,0,0,'Données projet'!$E$15+1,1))</f>
        <v>484.41278617935654</v>
      </c>
      <c r="EP109" s="59">
        <f t="shared" si="100"/>
        <v>467.97490540700738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36.324775100326562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36.324775100326562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367.99999999999972</v>
      </c>
      <c r="FF109" s="17">
        <f>FE109*VLOOKUP('Données projet'!$B$16,Paramètres!$A$1:$I$89,3,0)*VLOOKUP('Données projet'!$B$16,Paramètres!$A$1:$I$89,5,0)</f>
        <v>396.11519999999967</v>
      </c>
      <c r="FG109" s="13">
        <f t="shared" si="101"/>
        <v>90.988634849704994</v>
      </c>
      <c r="FH109" s="20">
        <f t="shared" si="76"/>
        <v>848.37251236323561</v>
      </c>
      <c r="FI109" s="59">
        <f t="shared" si="77"/>
        <v>1141.705845696569</v>
      </c>
      <c r="FJ109" s="59">
        <f ca="1">AVERAGE(OFFSET($FI$3,0,0,'Données projet'!$E$16+1,1))-AVERAGE(OFFSET($H$3,0,0,'Données projet'!$E$16+1,1))</f>
        <v>534.54020133239135</v>
      </c>
      <c r="FK109" s="59">
        <f t="shared" si="102"/>
        <v>515.48696069008815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40.425959385847328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40.425959385847328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248.99999999999994</v>
      </c>
      <c r="GA109" s="17">
        <f>FZ109*VLOOKUP('Données projet'!$B$17,Paramètres!$A$1:$I$89,3,0)*VLOOKUP('Données projet'!$B$17,Paramètres!$A$1:$I$89,5,0)</f>
        <v>236.94839999999994</v>
      </c>
      <c r="GB109" s="13">
        <f t="shared" si="103"/>
        <v>57.782475694292401</v>
      </c>
      <c r="GC109" s="20">
        <f t="shared" si="79"/>
        <v>513.32294183422573</v>
      </c>
      <c r="GD109" s="59">
        <f t="shared" si="80"/>
        <v>806.65627516755899</v>
      </c>
      <c r="GE109" s="59">
        <f ca="1">AVERAGE(OFFSET($GD$3,0,0,'Données projet'!$E$17+1,1))-AVERAGE(OFFSET($H$3,0,0,'Données projet'!$E$17+1,1))</f>
        <v>455.71329051283936</v>
      </c>
      <c r="GF109" s="59">
        <f t="shared" si="104"/>
        <v>479.3743231122258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93.892287641830109</v>
      </c>
      <c r="GM109" s="21">
        <f>EXP(-LN(2)/25)*GM108+(1-EXP(-LN(2)/25))/(LN(2)/25)*Calculateur!GH109*Calculateur!GJ109*VLOOKUP('Données projet'!$B$17,Paramètres!$A$1:$I$89,3,0)*0.475*44/12</f>
        <v>0</v>
      </c>
      <c r="GN109" s="21">
        <f>EXP(-LN(2)/2)*GN108+(1-EXP(-LN(2)/2))/(LN(2)/2)*GH109*GK109*VLOOKUP('Données projet'!$B$17,Paramètres!$A$1:$I$89,3,0)*0.475*44/12</f>
        <v>0</v>
      </c>
      <c r="GO109" s="21">
        <f t="shared" si="81"/>
        <v>93.892287641830109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367.99999999999972</v>
      </c>
      <c r="GV109" s="17">
        <f>GU109*VLOOKUP('Données projet'!$B$18,Paramètres!$A$1:$I$89,3,0)*VLOOKUP('Données projet'!$B$18,Paramètres!$A$1:$I$89,5,0)</f>
        <v>298.52159999999981</v>
      </c>
      <c r="GW109" s="13">
        <f t="shared" si="105"/>
        <v>70.866444995542437</v>
      </c>
      <c r="GX109" s="20">
        <f t="shared" si="82"/>
        <v>643.35084503390271</v>
      </c>
      <c r="GY109" s="59">
        <f t="shared" si="83"/>
        <v>936.68417836723597</v>
      </c>
      <c r="GZ109" s="59">
        <f ca="1">AVERAGE(OFFSET($GY$3,0,0,'Données projet'!$E$18+1,1))-AVERAGE(OFFSET($H$3,0,0,'Données projet'!$E$18+1,1))</f>
        <v>412.59676769258488</v>
      </c>
      <c r="HA109" s="59">
        <f t="shared" si="106"/>
        <v>399.90063795152133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30.465940406725522</v>
      </c>
      <c r="HH109" s="21">
        <f>EXP(-LN(2)/25)*HH108+(1-EXP(-LN(2)/25))/(LN(2)/25)*Calculateur!HC109*Calculateur!HE109*VLOOKUP('Données projet'!$B$18,Paramètres!$A$1:$I$89,3,0)*0.475*44/12</f>
        <v>0</v>
      </c>
      <c r="HI109" s="21">
        <f>EXP(-LN(2)/2)*HI108+(1-EXP(-LN(2)/2))/(LN(2)/2)*HC109*HF109*VLOOKUP('Données projet'!$B$18,Paramètres!$A$1:$I$89,3,0)*0.475*44/12</f>
        <v>0</v>
      </c>
      <c r="HJ109" s="22">
        <f t="shared" si="84"/>
        <v>30.465940406725522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</v>
      </c>
      <c r="N110" s="13">
        <f>IF('Données projet'!$A$36&gt;35,N109+M110-V109,IF(A110&lt;'Données projet'!$A$36,$K$205^A110,IF(A110='Données projet'!$A$36,'Données projet'!$B$36,N109+M110-V109)))</f>
        <v>316.99999999999989</v>
      </c>
      <c r="O110" s="13">
        <f>N110*VLOOKUP('Données projet'!$B$9,Paramètres!$A$1:$I$89,3,0)*VLOOKUP('Données projet'!$B$9,Paramètres!$A$1:$I$89,5,0)</f>
        <v>286.82159999999988</v>
      </c>
      <c r="P110" s="13">
        <f t="shared" si="87"/>
        <v>68.406583284351413</v>
      </c>
      <c r="Q110" s="20">
        <f t="shared" si="107"/>
        <v>618.68908588691181</v>
      </c>
      <c r="R110" s="59">
        <f t="shared" si="55"/>
        <v>912.02241922024518</v>
      </c>
      <c r="S110" s="59">
        <f ca="1">AVERAGE(OFFSET($R$3,0,0,'Données projet'!$E$9+1,1))-AVERAGE(OFFSET($H$3,0,0,'Données projet'!$E$9+1,1))</f>
        <v>439.19854273764042</v>
      </c>
      <c r="T110" s="59">
        <f t="shared" si="88"/>
        <v>278.21741231699929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93.776318132770257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93.776318132770257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</v>
      </c>
      <c r="AI110" s="13">
        <f>IF('Données projet'!$A$62&gt;35,AI109+AH110-AQ109,IF(A110&lt;'Données projet'!$A$62,$AF$205^A110,IF(A110='Données projet'!$A$62,'Données projet'!$B$62,AI109+AH110-AQ109)))</f>
        <v>316.99999999999989</v>
      </c>
      <c r="AJ110" s="13">
        <f>AI110*VLOOKUP('Données projet'!$B$10,Paramètres!$A$1:$I$89,3,0)*VLOOKUP('Données projet'!$B$10,Paramètres!$A$1:$I$89,5,0)</f>
        <v>321.43799999999987</v>
      </c>
      <c r="AK110" s="13">
        <f t="shared" si="89"/>
        <v>75.652479406660177</v>
      </c>
      <c r="AL110" s="20">
        <f t="shared" si="58"/>
        <v>691.59925163326625</v>
      </c>
      <c r="AM110" s="59">
        <f t="shared" si="59"/>
        <v>984.93258496659951</v>
      </c>
      <c r="AN110" s="59">
        <f ca="1">AVERAGE(OFFSET($AM$3,0,0,'Données projet'!$E$10+1,1))-AVERAGE(OFFSET($H$3,0,0,'Données projet'!$E$10+1,1))</f>
        <v>487.18832528146936</v>
      </c>
      <c r="AO110" s="59">
        <f t="shared" si="90"/>
        <v>306.61893266146666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105.09414963155287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105.09414963155287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369.00000000000023</v>
      </c>
      <c r="BE110" s="13">
        <f>BD110*VLOOKUP('Données projet'!$B$11,Paramètres!$A$1:$I$89,3,0)*VLOOKUP('Données projet'!$B$11,Paramètres!$A$1:$I$89,5,0)</f>
        <v>333.87120000000021</v>
      </c>
      <c r="BF110" s="13">
        <f t="shared" si="91"/>
        <v>78.23236011137638</v>
      </c>
      <c r="BG110" s="20">
        <f t="shared" si="61"/>
        <v>717.74703386064755</v>
      </c>
      <c r="BH110" s="59">
        <f t="shared" si="62"/>
        <v>1011.0803671939809</v>
      </c>
      <c r="BI110" s="59">
        <f ca="1">AVERAGE(OFFSET($BH$3,0,0,'Données projet'!$E$11+1,1))-AVERAGE(OFFSET($H$3,0,0,'Données projet'!$E$11+1,1))</f>
        <v>436.23918637269577</v>
      </c>
      <c r="BJ110" s="59">
        <f t="shared" si="92"/>
        <v>611.43967996341894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2.3006887137090524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2.3006887137090524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224.00000000000006</v>
      </c>
      <c r="BZ110" s="13">
        <f>BY110*VLOOKUP('Données projet'!$B$12,Paramètres!$A$1:$I$89,3,0)*VLOOKUP('Données projet'!$B$12,Paramètres!$A$1:$I$89,5,0)</f>
        <v>195.68640000000008</v>
      </c>
      <c r="CA110" s="13">
        <f t="shared" si="93"/>
        <v>48.794969360985156</v>
      </c>
      <c r="CB110" s="20">
        <f t="shared" si="64"/>
        <v>425.8050516370493</v>
      </c>
      <c r="CC110" s="59">
        <f t="shared" si="65"/>
        <v>719.13838497038262</v>
      </c>
      <c r="CD110" s="59">
        <f ca="1">AVERAGE(OFFSET($CC$3,0,0,'Données projet'!$E$12+1,1))-AVERAGE(OFFSET($H$3,0,0,'Données projet'!$E$12+1,1))</f>
        <v>304.32767345253382</v>
      </c>
      <c r="CE110" s="59">
        <f t="shared" si="94"/>
        <v>427.16091343339173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24.845108203791547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24.845108203791547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739.99999999999966</v>
      </c>
      <c r="CU110" s="17">
        <f>CT110*VLOOKUP('Données projet'!$B$13,Paramètres!$A$1:$I$89,3,0)*VLOOKUP('Données projet'!$B$13,Paramètres!$A$1:$I$89,5,0)</f>
        <v>413.65999999999985</v>
      </c>
      <c r="CV110" s="13">
        <f t="shared" si="95"/>
        <v>94.540585122244352</v>
      </c>
      <c r="CW110" s="20">
        <f t="shared" si="67"/>
        <v>885.11601908790863</v>
      </c>
      <c r="CX110" s="59">
        <f t="shared" si="68"/>
        <v>1178.4493524212419</v>
      </c>
      <c r="CY110" s="59">
        <f ca="1">AVERAGE(OFFSET($CX$3,0,0,'Données projet'!$E$13+1,1))-AVERAGE(OFFSET($H$3,0,0,'Données projet'!$E$13+1,1))</f>
        <v>555.15881087162279</v>
      </c>
      <c r="CZ110" s="59">
        <f t="shared" si="96"/>
        <v>668.20427590250733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48.686988501644365</v>
      </c>
      <c r="DG110" s="21">
        <f>EXP(-LN(2)/25)*DG109+(1-EXP(-LN(2)/25))/(LN(2)/25)*Calculateur!DB110*Calculateur!DD110*VLOOKUP('Données projet'!$B$13,Paramètres!$A$1:$I$89,3,0)*0.475*44/12</f>
        <v>6.8330969484710913</v>
      </c>
      <c r="DH110" s="21">
        <f>EXP(-LN(2)/2)*DH109+(1-EXP(-LN(2)/2))/(LN(2)/2)*DB110*DE110*VLOOKUP('Données projet'!$B$13,Paramètres!$A$1:$I$89,3,0)*0.475*44/12</f>
        <v>2.1878169933458301E-12</v>
      </c>
      <c r="DI110" s="22">
        <f t="shared" si="69"/>
        <v>55.520085450117648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911.99999999999898</v>
      </c>
      <c r="DP110" s="17">
        <f>DO110*VLOOKUP('Données projet'!$B$14,Paramètres!$A$1:$I$89,3,0)*VLOOKUP('Données projet'!$B$14,Paramètres!$A$1:$I$89,5,0)</f>
        <v>426.81599999999946</v>
      </c>
      <c r="DQ110" s="13">
        <f t="shared" si="97"/>
        <v>97.192496986872399</v>
      </c>
      <c r="DR110" s="20">
        <f t="shared" si="70"/>
        <v>912.64813225213504</v>
      </c>
      <c r="DS110" s="59">
        <f t="shared" si="71"/>
        <v>1205.9814655854684</v>
      </c>
      <c r="DT110" s="59">
        <f ca="1">AVERAGE(OFFSET($DS$3,0,0,'Données projet'!$E$14+1,1))-AVERAGE(OFFSET($H$3,0,0,'Données projet'!$E$14+1,1))</f>
        <v>523.79180230463714</v>
      </c>
      <c r="DU110" s="59">
        <f t="shared" si="98"/>
        <v>459.3547783500515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87.070388974638149</v>
      </c>
      <c r="EB110" s="21">
        <f>EXP(-LN(2)/25)*EB109+(1-EXP(-LN(2)/25))/(LN(2)/25)*Calculateur!DW110*Calculateur!DY110*VLOOKUP('Données projet'!$B$14,Paramètres!$A$1:$I$89,3,0)*0.475*44/12</f>
        <v>6.3197499114776363</v>
      </c>
      <c r="EC110" s="21">
        <f>EXP(-LN(2)/2)*EC109+(1-EXP(-LN(2)/2))/(LN(2)/2)*DW110*DZ110*VLOOKUP('Données projet'!$B$14,Paramètres!$A$1:$I$89,3,0)*0.475*44/12</f>
        <v>3.0669668181462335E-12</v>
      </c>
      <c r="ED110" s="22">
        <f t="shared" si="72"/>
        <v>93.390138886118848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367.99999999999972</v>
      </c>
      <c r="EK110" s="17">
        <f>EJ110*VLOOKUP('Données projet'!$B$15,Paramètres!$A$1:$I$89,3,0)*VLOOKUP('Données projet'!$B$15,Paramètres!$A$1:$I$89,5,0)</f>
        <v>355.92959999999977</v>
      </c>
      <c r="EL110" s="13">
        <f t="shared" si="99"/>
        <v>82.782281100458206</v>
      </c>
      <c r="EM110" s="20">
        <f t="shared" si="73"/>
        <v>764.08985958329765</v>
      </c>
      <c r="EN110" s="59">
        <f t="shared" si="74"/>
        <v>1057.423192916631</v>
      </c>
      <c r="EO110" s="59">
        <f ca="1">AVERAGE(OFFSET($EN$3,0,0,'Données projet'!$E$15+1,1))-AVERAGE(OFFSET($H$3,0,0,'Données projet'!$E$15+1,1))</f>
        <v>484.41278617935654</v>
      </c>
      <c r="EP110" s="59">
        <f t="shared" si="100"/>
        <v>467.97490540700738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35.612468416534256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35.612468416534256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367.99999999999972</v>
      </c>
      <c r="FF110" s="17">
        <f>FE110*VLOOKUP('Données projet'!$B$16,Paramètres!$A$1:$I$89,3,0)*VLOOKUP('Données projet'!$B$16,Paramètres!$A$1:$I$89,5,0)</f>
        <v>396.11519999999967</v>
      </c>
      <c r="FG110" s="13">
        <f t="shared" si="101"/>
        <v>90.988634849704994</v>
      </c>
      <c r="FH110" s="20">
        <f t="shared" si="76"/>
        <v>848.37251236323561</v>
      </c>
      <c r="FI110" s="59">
        <f t="shared" si="77"/>
        <v>1141.705845696569</v>
      </c>
      <c r="FJ110" s="59">
        <f ca="1">AVERAGE(OFFSET($FI$3,0,0,'Données projet'!$E$16+1,1))-AVERAGE(OFFSET($H$3,0,0,'Données projet'!$E$16+1,1))</f>
        <v>534.54020133239135</v>
      </c>
      <c r="FK110" s="59">
        <f t="shared" si="102"/>
        <v>515.48696069008815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39.633230979691369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39.633230979691369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248.99999999999994</v>
      </c>
      <c r="GA110" s="17">
        <f>FZ110*VLOOKUP('Données projet'!$B$17,Paramètres!$A$1:$I$89,3,0)*VLOOKUP('Données projet'!$B$17,Paramètres!$A$1:$I$89,5,0)</f>
        <v>236.94839999999994</v>
      </c>
      <c r="GB110" s="13">
        <f t="shared" si="103"/>
        <v>57.782475694292401</v>
      </c>
      <c r="GC110" s="20">
        <f t="shared" si="79"/>
        <v>513.32294183422573</v>
      </c>
      <c r="GD110" s="59">
        <f t="shared" si="80"/>
        <v>806.65627516755899</v>
      </c>
      <c r="GE110" s="59">
        <f ca="1">AVERAGE(OFFSET($GD$3,0,0,'Données projet'!$E$17+1,1))-AVERAGE(OFFSET($H$3,0,0,'Données projet'!$E$17+1,1))</f>
        <v>455.71329051283936</v>
      </c>
      <c r="GF110" s="59">
        <f t="shared" si="104"/>
        <v>479.3743231122258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92.051117149814473</v>
      </c>
      <c r="GM110" s="21">
        <f>EXP(-LN(2)/25)*GM109+(1-EXP(-LN(2)/25))/(LN(2)/25)*Calculateur!GH110*Calculateur!GJ110*VLOOKUP('Données projet'!$B$17,Paramètres!$A$1:$I$89,3,0)*0.475*44/12</f>
        <v>0</v>
      </c>
      <c r="GN110" s="21">
        <f>EXP(-LN(2)/2)*GN109+(1-EXP(-LN(2)/2))/(LN(2)/2)*GH110*GK110*VLOOKUP('Données projet'!$B$17,Paramètres!$A$1:$I$89,3,0)*0.475*44/12</f>
        <v>0</v>
      </c>
      <c r="GO110" s="21">
        <f t="shared" si="81"/>
        <v>92.051117149814473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367.99999999999972</v>
      </c>
      <c r="GV110" s="17">
        <f>GU110*VLOOKUP('Données projet'!$B$18,Paramètres!$A$1:$I$89,3,0)*VLOOKUP('Données projet'!$B$18,Paramètres!$A$1:$I$89,5,0)</f>
        <v>298.52159999999981</v>
      </c>
      <c r="GW110" s="13">
        <f t="shared" si="105"/>
        <v>70.866444995542437</v>
      </c>
      <c r="GX110" s="20">
        <f t="shared" si="82"/>
        <v>643.35084503390271</v>
      </c>
      <c r="GY110" s="59">
        <f t="shared" si="83"/>
        <v>936.68417836723597</v>
      </c>
      <c r="GZ110" s="59">
        <f ca="1">AVERAGE(OFFSET($GY$3,0,0,'Données projet'!$E$18+1,1))-AVERAGE(OFFSET($H$3,0,0,'Données projet'!$E$18+1,1))</f>
        <v>412.59676769258488</v>
      </c>
      <c r="HA110" s="59">
        <f t="shared" si="106"/>
        <v>399.90063795152133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29.868521897738425</v>
      </c>
      <c r="HH110" s="21">
        <f>EXP(-LN(2)/25)*HH109+(1-EXP(-LN(2)/25))/(LN(2)/25)*Calculateur!HC110*Calculateur!HE110*VLOOKUP('Données projet'!$B$18,Paramètres!$A$1:$I$89,3,0)*0.475*44/12</f>
        <v>0</v>
      </c>
      <c r="HI110" s="21">
        <f>EXP(-LN(2)/2)*HI109+(1-EXP(-LN(2)/2))/(LN(2)/2)*HC110*HF110*VLOOKUP('Données projet'!$B$18,Paramètres!$A$1:$I$89,3,0)*0.475*44/12</f>
        <v>0</v>
      </c>
      <c r="HJ110" s="22">
        <f t="shared" si="84"/>
        <v>29.868521897738425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</v>
      </c>
      <c r="N111" s="13">
        <f>IF('Données projet'!$A$36&gt;35,N110+M111-V110,IF(A111&lt;'Données projet'!$A$36,$K$205^A111,IF(A111='Données projet'!$A$36,'Données projet'!$B$36,N110+M111-V110)))</f>
        <v>321.99999999999989</v>
      </c>
      <c r="O111" s="13">
        <f>N111*VLOOKUP('Données projet'!$B$9,Paramètres!$A$1:$I$89,3,0)*VLOOKUP('Données projet'!$B$9,Paramètres!$A$1:$I$89,5,0)</f>
        <v>291.34559999999993</v>
      </c>
      <c r="P111" s="13">
        <f t="shared" si="87"/>
        <v>69.359089490698707</v>
      </c>
      <c r="Q111" s="20">
        <f t="shared" si="107"/>
        <v>628.22733419630015</v>
      </c>
      <c r="R111" s="59">
        <f t="shared" si="55"/>
        <v>921.56066752963352</v>
      </c>
      <c r="S111" s="59">
        <f ca="1">AVERAGE(OFFSET($R$3,0,0,'Données projet'!$E$9+1,1))-AVERAGE(OFFSET($H$3,0,0,'Données projet'!$E$9+1,1))</f>
        <v>439.19854273764042</v>
      </c>
      <c r="T111" s="59">
        <f t="shared" si="88"/>
        <v>278.21741231699929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91.937421732092872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91.937421732092872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</v>
      </c>
      <c r="AI111" s="13">
        <f>IF('Données projet'!$A$62&gt;35,AI110+AH111-AQ110,IF(A111&lt;'Données projet'!$A$62,$AF$205^A111,IF(A111='Données projet'!$A$62,'Données projet'!$B$62,AI110+AH111-AQ110)))</f>
        <v>321.99999999999989</v>
      </c>
      <c r="AJ111" s="13">
        <f>AI111*VLOOKUP('Données projet'!$B$10,Paramètres!$A$1:$I$89,3,0)*VLOOKUP('Données projet'!$B$10,Paramètres!$A$1:$I$89,5,0)</f>
        <v>326.50799999999987</v>
      </c>
      <c r="AK111" s="13">
        <f t="shared" si="89"/>
        <v>76.705878841344258</v>
      </c>
      <c r="AL111" s="20">
        <f t="shared" si="58"/>
        <v>702.26417231534106</v>
      </c>
      <c r="AM111" s="59">
        <f t="shared" si="59"/>
        <v>995.59750564867431</v>
      </c>
      <c r="AN111" s="59">
        <f ca="1">AVERAGE(OFFSET($AM$3,0,0,'Données projet'!$E$10+1,1))-AVERAGE(OFFSET($H$3,0,0,'Données projet'!$E$10+1,1))</f>
        <v>487.18832528146936</v>
      </c>
      <c r="AO111" s="59">
        <f t="shared" si="90"/>
        <v>306.61893266146666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103.03331745837993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103.03331745837993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369.00000000000023</v>
      </c>
      <c r="BE111" s="13">
        <f>BD111*VLOOKUP('Données projet'!$B$11,Paramètres!$A$1:$I$89,3,0)*VLOOKUP('Données projet'!$B$11,Paramètres!$A$1:$I$89,5,0)</f>
        <v>333.87120000000021</v>
      </c>
      <c r="BF111" s="13">
        <f t="shared" si="91"/>
        <v>78.23236011137638</v>
      </c>
      <c r="BG111" s="20">
        <f t="shared" si="61"/>
        <v>717.74703386064755</v>
      </c>
      <c r="BH111" s="59">
        <f t="shared" si="62"/>
        <v>1011.0803671939809</v>
      </c>
      <c r="BI111" s="59">
        <f ca="1">AVERAGE(OFFSET($BH$3,0,0,'Données projet'!$E$11+1,1))-AVERAGE(OFFSET($H$3,0,0,'Données projet'!$E$11+1,1))</f>
        <v>436.23918637269577</v>
      </c>
      <c r="BJ111" s="59">
        <f t="shared" si="92"/>
        <v>611.43967996341894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2.2555736113147709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2.2555736113147709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224.00000000000006</v>
      </c>
      <c r="BZ111" s="13">
        <f>BY111*VLOOKUP('Données projet'!$B$12,Paramètres!$A$1:$I$89,3,0)*VLOOKUP('Données projet'!$B$12,Paramètres!$A$1:$I$89,5,0)</f>
        <v>195.68640000000008</v>
      </c>
      <c r="CA111" s="13">
        <f t="shared" si="93"/>
        <v>48.794969360985156</v>
      </c>
      <c r="CB111" s="20">
        <f t="shared" si="64"/>
        <v>425.8050516370493</v>
      </c>
      <c r="CC111" s="59">
        <f t="shared" si="65"/>
        <v>719.13838497038262</v>
      </c>
      <c r="CD111" s="59">
        <f ca="1">AVERAGE(OFFSET($CC$3,0,0,'Données projet'!$E$12+1,1))-AVERAGE(OFFSET($H$3,0,0,'Données projet'!$E$12+1,1))</f>
        <v>304.32767345253382</v>
      </c>
      <c r="CE111" s="59">
        <f t="shared" si="94"/>
        <v>427.16091343339173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24.357910785934862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24.357910785934862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739.99999999999966</v>
      </c>
      <c r="CU111" s="17">
        <f>CT111*VLOOKUP('Données projet'!$B$13,Paramètres!$A$1:$I$89,3,0)*VLOOKUP('Données projet'!$B$13,Paramètres!$A$1:$I$89,5,0)</f>
        <v>413.65999999999985</v>
      </c>
      <c r="CV111" s="13">
        <f t="shared" si="95"/>
        <v>94.540585122244352</v>
      </c>
      <c r="CW111" s="20">
        <f t="shared" si="67"/>
        <v>885.11601908790863</v>
      </c>
      <c r="CX111" s="59">
        <f t="shared" si="68"/>
        <v>1178.4493524212419</v>
      </c>
      <c r="CY111" s="59">
        <f ca="1">AVERAGE(OFFSET($CX$3,0,0,'Données projet'!$E$13+1,1))-AVERAGE(OFFSET($H$3,0,0,'Données projet'!$E$13+1,1))</f>
        <v>555.15881087162279</v>
      </c>
      <c r="CZ111" s="59">
        <f t="shared" si="96"/>
        <v>668.20427590250733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47.732266353257856</v>
      </c>
      <c r="DG111" s="21">
        <f>EXP(-LN(2)/25)*DG110+(1-EXP(-LN(2)/25))/(LN(2)/25)*Calculateur!DB111*Calculateur!DD111*VLOOKUP('Données projet'!$B$13,Paramètres!$A$1:$I$89,3,0)*0.475*44/12</f>
        <v>6.6462455530781979</v>
      </c>
      <c r="DH111" s="21">
        <f>EXP(-LN(2)/2)*DH110+(1-EXP(-LN(2)/2))/(LN(2)/2)*DB111*DE111*VLOOKUP('Données projet'!$B$13,Paramètres!$A$1:$I$89,3,0)*0.475*44/12</f>
        <v>1.5470202319900002E-12</v>
      </c>
      <c r="DI111" s="22">
        <f t="shared" si="69"/>
        <v>54.3785119063376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911.99999999999898</v>
      </c>
      <c r="DP111" s="17">
        <f>DO111*VLOOKUP('Données projet'!$B$14,Paramètres!$A$1:$I$89,3,0)*VLOOKUP('Données projet'!$B$14,Paramètres!$A$1:$I$89,5,0)</f>
        <v>426.81599999999946</v>
      </c>
      <c r="DQ111" s="13">
        <f t="shared" si="97"/>
        <v>97.192496986872399</v>
      </c>
      <c r="DR111" s="20">
        <f t="shared" si="70"/>
        <v>912.64813225213504</v>
      </c>
      <c r="DS111" s="59">
        <f t="shared" si="71"/>
        <v>1205.9814655854684</v>
      </c>
      <c r="DT111" s="59">
        <f ca="1">AVERAGE(OFFSET($DS$3,0,0,'Données projet'!$E$14+1,1))-AVERAGE(OFFSET($H$3,0,0,'Données projet'!$E$14+1,1))</f>
        <v>523.79180230463714</v>
      </c>
      <c r="DU111" s="59">
        <f t="shared" si="98"/>
        <v>459.3547783500515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85.362991754538825</v>
      </c>
      <c r="EB111" s="21">
        <f>EXP(-LN(2)/25)*EB110+(1-EXP(-LN(2)/25))/(LN(2)/25)*Calculateur!DW111*Calculateur!DY111*VLOOKUP('Données projet'!$B$14,Paramètres!$A$1:$I$89,3,0)*0.475*44/12</f>
        <v>6.1469360178070769</v>
      </c>
      <c r="EC111" s="21">
        <f>EXP(-LN(2)/2)*EC110+(1-EXP(-LN(2)/2))/(LN(2)/2)*DW111*DZ111*VLOOKUP('Données projet'!$B$14,Paramètres!$A$1:$I$89,3,0)*0.475*44/12</f>
        <v>2.1686730347853306E-12</v>
      </c>
      <c r="ED111" s="22">
        <f t="shared" si="72"/>
        <v>91.509927772348078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367.99999999999972</v>
      </c>
      <c r="EK111" s="17">
        <f>EJ111*VLOOKUP('Données projet'!$B$15,Paramètres!$A$1:$I$89,3,0)*VLOOKUP('Données projet'!$B$15,Paramètres!$A$1:$I$89,5,0)</f>
        <v>355.92959999999977</v>
      </c>
      <c r="EL111" s="13">
        <f t="shared" si="99"/>
        <v>82.782281100458206</v>
      </c>
      <c r="EM111" s="20">
        <f t="shared" si="73"/>
        <v>764.08985958329765</v>
      </c>
      <c r="EN111" s="59">
        <f t="shared" si="74"/>
        <v>1057.423192916631</v>
      </c>
      <c r="EO111" s="59">
        <f ca="1">AVERAGE(OFFSET($EN$3,0,0,'Données projet'!$E$15+1,1))-AVERAGE(OFFSET($H$3,0,0,'Données projet'!$E$15+1,1))</f>
        <v>484.41278617935654</v>
      </c>
      <c r="EP111" s="59">
        <f t="shared" si="100"/>
        <v>467.97490540700738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34.914129632346935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34.914129632346935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367.99999999999972</v>
      </c>
      <c r="FF111" s="17">
        <f>FE111*VLOOKUP('Données projet'!$B$16,Paramètres!$A$1:$I$89,3,0)*VLOOKUP('Données projet'!$B$16,Paramètres!$A$1:$I$89,5,0)</f>
        <v>396.11519999999967</v>
      </c>
      <c r="FG111" s="13">
        <f t="shared" si="101"/>
        <v>90.988634849704994</v>
      </c>
      <c r="FH111" s="20">
        <f t="shared" si="76"/>
        <v>848.37251236323561</v>
      </c>
      <c r="FI111" s="59">
        <f t="shared" si="77"/>
        <v>1141.705845696569</v>
      </c>
      <c r="FJ111" s="59">
        <f ca="1">AVERAGE(OFFSET($FI$3,0,0,'Données projet'!$E$16+1,1))-AVERAGE(OFFSET($H$3,0,0,'Données projet'!$E$16+1,1))</f>
        <v>534.54020133239135</v>
      </c>
      <c r="FK111" s="59">
        <f t="shared" si="102"/>
        <v>515.48696069008815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38.856047494063546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38.856047494063546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248.99999999999994</v>
      </c>
      <c r="GA111" s="17">
        <f>FZ111*VLOOKUP('Données projet'!$B$17,Paramètres!$A$1:$I$89,3,0)*VLOOKUP('Données projet'!$B$17,Paramètres!$A$1:$I$89,5,0)</f>
        <v>236.94839999999994</v>
      </c>
      <c r="GB111" s="13">
        <f t="shared" si="103"/>
        <v>57.782475694292401</v>
      </c>
      <c r="GC111" s="20">
        <f t="shared" si="79"/>
        <v>513.32294183422573</v>
      </c>
      <c r="GD111" s="59">
        <f t="shared" si="80"/>
        <v>806.65627516755899</v>
      </c>
      <c r="GE111" s="59">
        <f ca="1">AVERAGE(OFFSET($GD$3,0,0,'Données projet'!$E$17+1,1))-AVERAGE(OFFSET($H$3,0,0,'Données projet'!$E$17+1,1))</f>
        <v>455.71329051283936</v>
      </c>
      <c r="GF111" s="59">
        <f t="shared" si="104"/>
        <v>479.3743231122258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90.246050888144154</v>
      </c>
      <c r="GM111" s="21">
        <f>EXP(-LN(2)/25)*GM110+(1-EXP(-LN(2)/25))/(LN(2)/25)*Calculateur!GH111*Calculateur!GJ111*VLOOKUP('Données projet'!$B$17,Paramètres!$A$1:$I$89,3,0)*0.475*44/12</f>
        <v>0</v>
      </c>
      <c r="GN111" s="21">
        <f>EXP(-LN(2)/2)*GN110+(1-EXP(-LN(2)/2))/(LN(2)/2)*GH111*GK111*VLOOKUP('Données projet'!$B$17,Paramètres!$A$1:$I$89,3,0)*0.475*44/12</f>
        <v>0</v>
      </c>
      <c r="GO111" s="21">
        <f t="shared" si="81"/>
        <v>90.246050888144154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367.99999999999972</v>
      </c>
      <c r="GV111" s="17">
        <f>GU111*VLOOKUP('Données projet'!$B$18,Paramètres!$A$1:$I$89,3,0)*VLOOKUP('Données projet'!$B$18,Paramètres!$A$1:$I$89,5,0)</f>
        <v>298.52159999999981</v>
      </c>
      <c r="GW111" s="13">
        <f t="shared" si="105"/>
        <v>70.866444995542437</v>
      </c>
      <c r="GX111" s="20">
        <f t="shared" si="82"/>
        <v>643.35084503390271</v>
      </c>
      <c r="GY111" s="59">
        <f t="shared" si="83"/>
        <v>936.68417836723597</v>
      </c>
      <c r="GZ111" s="59">
        <f ca="1">AVERAGE(OFFSET($GY$3,0,0,'Données projet'!$E$18+1,1))-AVERAGE(OFFSET($H$3,0,0,'Données projet'!$E$18+1,1))</f>
        <v>412.59676769258488</v>
      </c>
      <c r="HA111" s="59">
        <f t="shared" si="106"/>
        <v>399.90063795152133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29.282818401323254</v>
      </c>
      <c r="HH111" s="21">
        <f>EXP(-LN(2)/25)*HH110+(1-EXP(-LN(2)/25))/(LN(2)/25)*Calculateur!HC111*Calculateur!HE111*VLOOKUP('Données projet'!$B$18,Paramètres!$A$1:$I$89,3,0)*0.475*44/12</f>
        <v>0</v>
      </c>
      <c r="HI111" s="21">
        <f>EXP(-LN(2)/2)*HI110+(1-EXP(-LN(2)/2))/(LN(2)/2)*HC111*HF111*VLOOKUP('Données projet'!$B$18,Paramètres!$A$1:$I$89,3,0)*0.475*44/12</f>
        <v>0</v>
      </c>
      <c r="HJ111" s="22">
        <f t="shared" si="84"/>
        <v>29.282818401323254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5</v>
      </c>
      <c r="N112" s="13">
        <f>IF('Données projet'!$A$36&gt;35,N111+M112-V111,IF(A112&lt;'Données projet'!$A$36,$K$205^A112,IF(A112='Données projet'!$A$36,'Données projet'!$B$36,N111+M112-V111)))</f>
        <v>326.99999999999989</v>
      </c>
      <c r="O112" s="13">
        <f>N112*VLOOKUP('Données projet'!$B$9,Paramètres!$A$1:$I$89,3,0)*VLOOKUP('Données projet'!$B$9,Paramètres!$A$1:$I$89,5,0)</f>
        <v>295.86959999999988</v>
      </c>
      <c r="P112" s="13">
        <f t="shared" si="87"/>
        <v>70.309875568291218</v>
      </c>
      <c r="Q112" s="20">
        <f t="shared" si="107"/>
        <v>637.76258661477357</v>
      </c>
      <c r="R112" s="59">
        <f t="shared" si="55"/>
        <v>931.09591994810694</v>
      </c>
      <c r="S112" s="59">
        <f ca="1">AVERAGE(OFFSET($R$3,0,0,'Données projet'!$E$9+1,1))-AVERAGE(OFFSET($H$3,0,0,'Données projet'!$E$9+1,1))</f>
        <v>439.19854273764042</v>
      </c>
      <c r="T112" s="59">
        <f t="shared" si="88"/>
        <v>278.21741231699929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90.134584968216714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90.134584968216714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</v>
      </c>
      <c r="AI112" s="13">
        <f>IF('Données projet'!$A$62&gt;35,AI111+AH112-AQ111,IF(A112&lt;'Données projet'!$A$62,$AF$205^A112,IF(A112='Données projet'!$A$62,'Données projet'!$B$62,AI111+AH112-AQ111)))</f>
        <v>326.99999999999989</v>
      </c>
      <c r="AJ112" s="13">
        <f>AI112*VLOOKUP('Données projet'!$B$10,Paramètres!$A$1:$I$89,3,0)*VLOOKUP('Données projet'!$B$10,Paramètres!$A$1:$I$89,5,0)</f>
        <v>331.57799999999992</v>
      </c>
      <c r="AK112" s="13">
        <f t="shared" si="89"/>
        <v>77.75737594442586</v>
      </c>
      <c r="AL112" s="20">
        <f t="shared" si="58"/>
        <v>712.92577976987479</v>
      </c>
      <c r="AM112" s="59">
        <f t="shared" si="59"/>
        <v>1006.2591131032082</v>
      </c>
      <c r="AN112" s="59">
        <f ca="1">AVERAGE(OFFSET($AM$3,0,0,'Données projet'!$E$10+1,1))-AVERAGE(OFFSET($H$3,0,0,'Données projet'!$E$10+1,1))</f>
        <v>487.18832528146936</v>
      </c>
      <c r="AO112" s="59">
        <f t="shared" si="90"/>
        <v>306.61893266146666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101.01289694713941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101.01289694713941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369.00000000000023</v>
      </c>
      <c r="BE112" s="13">
        <f>BD112*VLOOKUP('Données projet'!$B$11,Paramètres!$A$1:$I$89,3,0)*VLOOKUP('Données projet'!$B$11,Paramètres!$A$1:$I$89,5,0)</f>
        <v>333.87120000000021</v>
      </c>
      <c r="BF112" s="13">
        <f t="shared" si="91"/>
        <v>78.23236011137638</v>
      </c>
      <c r="BG112" s="20">
        <f t="shared" si="61"/>
        <v>717.74703386064755</v>
      </c>
      <c r="BH112" s="59">
        <f t="shared" si="62"/>
        <v>1011.0803671939809</v>
      </c>
      <c r="BI112" s="59">
        <f ca="1">AVERAGE(OFFSET($BH$3,0,0,'Données projet'!$E$11+1,1))-AVERAGE(OFFSET($H$3,0,0,'Données projet'!$E$11+1,1))</f>
        <v>436.23918637269577</v>
      </c>
      <c r="BJ112" s="59">
        <f t="shared" si="92"/>
        <v>611.43967996341894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2.2113431885609458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2.2113431885609458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224.00000000000006</v>
      </c>
      <c r="BZ112" s="13">
        <f>BY112*VLOOKUP('Données projet'!$B$12,Paramètres!$A$1:$I$89,3,0)*VLOOKUP('Données projet'!$B$12,Paramètres!$A$1:$I$89,5,0)</f>
        <v>195.68640000000008</v>
      </c>
      <c r="CA112" s="13">
        <f t="shared" si="93"/>
        <v>48.794969360985156</v>
      </c>
      <c r="CB112" s="20">
        <f t="shared" si="64"/>
        <v>425.8050516370493</v>
      </c>
      <c r="CC112" s="59">
        <f t="shared" si="65"/>
        <v>719.13838497038262</v>
      </c>
      <c r="CD112" s="59">
        <f ca="1">AVERAGE(OFFSET($CC$3,0,0,'Données projet'!$E$12+1,1))-AVERAGE(OFFSET($H$3,0,0,'Données projet'!$E$12+1,1))</f>
        <v>304.32767345253382</v>
      </c>
      <c r="CE112" s="59">
        <f t="shared" si="94"/>
        <v>427.16091343339173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23.880267012281266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23.880267012281266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739.99999999999966</v>
      </c>
      <c r="CU112" s="17">
        <f>CT112*VLOOKUP('Données projet'!$B$13,Paramètres!$A$1:$I$89,3,0)*VLOOKUP('Données projet'!$B$13,Paramètres!$A$1:$I$89,5,0)</f>
        <v>413.65999999999985</v>
      </c>
      <c r="CV112" s="13">
        <f t="shared" si="95"/>
        <v>94.540585122244352</v>
      </c>
      <c r="CW112" s="20">
        <f t="shared" si="67"/>
        <v>885.11601908790863</v>
      </c>
      <c r="CX112" s="59">
        <f t="shared" si="68"/>
        <v>1178.4493524212419</v>
      </c>
      <c r="CY112" s="59">
        <f ca="1">AVERAGE(OFFSET($CX$3,0,0,'Données projet'!$E$13+1,1))-AVERAGE(OFFSET($H$3,0,0,'Données projet'!$E$13+1,1))</f>
        <v>555.15881087162279</v>
      </c>
      <c r="CZ112" s="59">
        <f t="shared" si="96"/>
        <v>668.20427590250733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46.796265723878193</v>
      </c>
      <c r="DG112" s="21">
        <f>EXP(-LN(2)/25)*DG111+(1-EXP(-LN(2)/25))/(LN(2)/25)*Calculateur!DB112*Calculateur!DD112*VLOOKUP('Données projet'!$B$13,Paramètres!$A$1:$I$89,3,0)*0.475*44/12</f>
        <v>6.4645036189184113</v>
      </c>
      <c r="DH112" s="21">
        <f>EXP(-LN(2)/2)*DH111+(1-EXP(-LN(2)/2))/(LN(2)/2)*DB112*DE112*VLOOKUP('Données projet'!$B$13,Paramètres!$A$1:$I$89,3,0)*0.475*44/12</f>
        <v>1.0939084966729151E-12</v>
      </c>
      <c r="DI112" s="22">
        <f t="shared" si="69"/>
        <v>53.260769342797701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911.99999999999898</v>
      </c>
      <c r="DP112" s="17">
        <f>DO112*VLOOKUP('Données projet'!$B$14,Paramètres!$A$1:$I$89,3,0)*VLOOKUP('Données projet'!$B$14,Paramètres!$A$1:$I$89,5,0)</f>
        <v>426.81599999999946</v>
      </c>
      <c r="DQ112" s="13">
        <f t="shared" si="97"/>
        <v>97.192496986872399</v>
      </c>
      <c r="DR112" s="20">
        <f t="shared" si="70"/>
        <v>912.64813225213504</v>
      </c>
      <c r="DS112" s="59">
        <f t="shared" si="71"/>
        <v>1205.9814655854684</v>
      </c>
      <c r="DT112" s="59">
        <f ca="1">AVERAGE(OFFSET($DS$3,0,0,'Données projet'!$E$14+1,1))-AVERAGE(OFFSET($H$3,0,0,'Données projet'!$E$14+1,1))</f>
        <v>523.79180230463714</v>
      </c>
      <c r="DU112" s="59">
        <f t="shared" si="98"/>
        <v>459.3547783500515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83.689075552516172</v>
      </c>
      <c r="EB112" s="21">
        <f>EXP(-LN(2)/25)*EB111+(1-EXP(-LN(2)/25))/(LN(2)/25)*Calculateur!DW112*Calculateur!DY112*VLOOKUP('Données projet'!$B$14,Paramètres!$A$1:$I$89,3,0)*0.475*44/12</f>
        <v>5.9788477291468265</v>
      </c>
      <c r="EC112" s="21">
        <f>EXP(-LN(2)/2)*EC111+(1-EXP(-LN(2)/2))/(LN(2)/2)*DW112*DZ112*VLOOKUP('Données projet'!$B$14,Paramètres!$A$1:$I$89,3,0)*0.475*44/12</f>
        <v>1.5334834090731167E-12</v>
      </c>
      <c r="ED112" s="22">
        <f t="shared" si="72"/>
        <v>89.667923281664528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367.99999999999972</v>
      </c>
      <c r="EK112" s="17">
        <f>EJ112*VLOOKUP('Données projet'!$B$15,Paramètres!$A$1:$I$89,3,0)*VLOOKUP('Données projet'!$B$15,Paramètres!$A$1:$I$89,5,0)</f>
        <v>355.92959999999977</v>
      </c>
      <c r="EL112" s="13">
        <f t="shared" si="99"/>
        <v>82.782281100458206</v>
      </c>
      <c r="EM112" s="20">
        <f t="shared" si="73"/>
        <v>764.08985958329765</v>
      </c>
      <c r="EN112" s="59">
        <f t="shared" si="74"/>
        <v>1057.423192916631</v>
      </c>
      <c r="EO112" s="59">
        <f ca="1">AVERAGE(OFFSET($EN$3,0,0,'Données projet'!$E$15+1,1))-AVERAGE(OFFSET($H$3,0,0,'Données projet'!$E$15+1,1))</f>
        <v>484.41278617935654</v>
      </c>
      <c r="EP112" s="59">
        <f t="shared" si="100"/>
        <v>467.97490540700738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34.22948484577293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34.22948484577293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367.99999999999972</v>
      </c>
      <c r="FF112" s="17">
        <f>FE112*VLOOKUP('Données projet'!$B$16,Paramètres!$A$1:$I$89,3,0)*VLOOKUP('Données projet'!$B$16,Paramètres!$A$1:$I$89,5,0)</f>
        <v>396.11519999999967</v>
      </c>
      <c r="FG112" s="13">
        <f t="shared" si="101"/>
        <v>90.988634849704994</v>
      </c>
      <c r="FH112" s="20">
        <f t="shared" si="76"/>
        <v>848.37251236323561</v>
      </c>
      <c r="FI112" s="59">
        <f t="shared" si="77"/>
        <v>1141.705845696569</v>
      </c>
      <c r="FJ112" s="59">
        <f ca="1">AVERAGE(OFFSET($FI$3,0,0,'Données projet'!$E$16+1,1))-AVERAGE(OFFSET($H$3,0,0,'Données projet'!$E$16+1,1))</f>
        <v>534.54020133239135</v>
      </c>
      <c r="FK112" s="59">
        <f t="shared" si="102"/>
        <v>515.48696069008815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38.094104102553764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38.094104102553764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248.99999999999994</v>
      </c>
      <c r="GA112" s="17">
        <f>FZ112*VLOOKUP('Données projet'!$B$17,Paramètres!$A$1:$I$89,3,0)*VLOOKUP('Données projet'!$B$17,Paramètres!$A$1:$I$89,5,0)</f>
        <v>236.94839999999994</v>
      </c>
      <c r="GB112" s="13">
        <f t="shared" si="103"/>
        <v>57.782475694292401</v>
      </c>
      <c r="GC112" s="20">
        <f t="shared" si="79"/>
        <v>513.32294183422573</v>
      </c>
      <c r="GD112" s="59">
        <f t="shared" si="80"/>
        <v>806.65627516755899</v>
      </c>
      <c r="GE112" s="59">
        <f ca="1">AVERAGE(OFFSET($GD$3,0,0,'Données projet'!$E$17+1,1))-AVERAGE(OFFSET($H$3,0,0,'Données projet'!$E$17+1,1))</f>
        <v>455.71329051283936</v>
      </c>
      <c r="GF112" s="59">
        <f t="shared" si="104"/>
        <v>479.3743231122258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88.476380874883475</v>
      </c>
      <c r="GM112" s="21">
        <f>EXP(-LN(2)/25)*GM111+(1-EXP(-LN(2)/25))/(LN(2)/25)*Calculateur!GH112*Calculateur!GJ112*VLOOKUP('Données projet'!$B$17,Paramètres!$A$1:$I$89,3,0)*0.475*44/12</f>
        <v>0</v>
      </c>
      <c r="GN112" s="21">
        <f>EXP(-LN(2)/2)*GN111+(1-EXP(-LN(2)/2))/(LN(2)/2)*GH112*GK112*VLOOKUP('Données projet'!$B$17,Paramètres!$A$1:$I$89,3,0)*0.475*44/12</f>
        <v>0</v>
      </c>
      <c r="GO112" s="21">
        <f t="shared" si="81"/>
        <v>88.476380874883475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367.99999999999972</v>
      </c>
      <c r="GV112" s="17">
        <f>GU112*VLOOKUP('Données projet'!$B$18,Paramètres!$A$1:$I$89,3,0)*VLOOKUP('Données projet'!$B$18,Paramètres!$A$1:$I$89,5,0)</f>
        <v>298.52159999999981</v>
      </c>
      <c r="GW112" s="13">
        <f t="shared" si="105"/>
        <v>70.866444995542437</v>
      </c>
      <c r="GX112" s="20">
        <f t="shared" si="82"/>
        <v>643.35084503390271</v>
      </c>
      <c r="GY112" s="59">
        <f t="shared" si="83"/>
        <v>936.68417836723597</v>
      </c>
      <c r="GZ112" s="59">
        <f ca="1">AVERAGE(OFFSET($GY$3,0,0,'Données projet'!$E$18+1,1))-AVERAGE(OFFSET($H$3,0,0,'Données projet'!$E$18+1,1))</f>
        <v>412.59676769258488</v>
      </c>
      <c r="HA112" s="59">
        <f t="shared" si="106"/>
        <v>399.90063795152133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28.708600193228929</v>
      </c>
      <c r="HH112" s="21">
        <f>EXP(-LN(2)/25)*HH111+(1-EXP(-LN(2)/25))/(LN(2)/25)*Calculateur!HC112*Calculateur!HE112*VLOOKUP('Données projet'!$B$18,Paramètres!$A$1:$I$89,3,0)*0.475*44/12</f>
        <v>0</v>
      </c>
      <c r="HI112" s="21">
        <f>EXP(-LN(2)/2)*HI111+(1-EXP(-LN(2)/2))/(LN(2)/2)*HC112*HF112*VLOOKUP('Données projet'!$B$18,Paramètres!$A$1:$I$89,3,0)*0.475*44/12</f>
        <v>0</v>
      </c>
      <c r="HJ112" s="22">
        <f t="shared" si="84"/>
        <v>28.708600193228929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332</v>
      </c>
      <c r="L113" s="12">
        <f>VLOOKUP(A113,'Données projet'!$A$35:$I$55,9,0)</f>
        <v>5</v>
      </c>
      <c r="M113" s="12">
        <f t="array" ref="M113">INDEX(L:L,MIN(IF(ISNUMBER(L113:L309),ROW(L113:L309),"")))</f>
        <v>5</v>
      </c>
      <c r="N113" s="13">
        <f>IF('Données projet'!$A$36&gt;35,N112+M113-V112,IF(A113&lt;'Données projet'!$A$36,$K$205^A113,IF(A113='Données projet'!$A$36,'Données projet'!$B$36,N112+M113-V112)))</f>
        <v>331.99999999999989</v>
      </c>
      <c r="O113" s="13">
        <f>N113*VLOOKUP('Données projet'!$B$9,Paramètres!$A$1:$I$89,3,0)*VLOOKUP('Données projet'!$B$9,Paramètres!$A$1:$I$89,5,0)</f>
        <v>300.39359999999988</v>
      </c>
      <c r="P113" s="13">
        <f t="shared" si="87"/>
        <v>71.258970856492667</v>
      </c>
      <c r="Q113" s="20">
        <f t="shared" si="107"/>
        <v>647.29489424172459</v>
      </c>
      <c r="R113" s="59">
        <f t="shared" si="55"/>
        <v>940.62822757505796</v>
      </c>
      <c r="S113" s="59">
        <f ca="1">AVERAGE(OFFSET($R$3,0,0,'Données projet'!$E$9+1,1))-AVERAGE(OFFSET($H$3,0,0,'Données projet'!$E$9+1,1))</f>
        <v>439.19854273764042</v>
      </c>
      <c r="T113" s="59">
        <f t="shared" si="88"/>
        <v>278.21741231699929</v>
      </c>
      <c r="U113" s="15">
        <f>IF(ISNA(VLOOKUP(A113,'Données projet'!$A$35:$I$55,3,0)),0,VLOOKUP(A113,'Données projet'!$A$35:$I$55,3,0))</f>
        <v>19</v>
      </c>
      <c r="V113" s="15">
        <f>IF(ISNA(VLOOKUP(A113,'Données projet'!$A$35:$I$55,4,0)),0,VLOOKUP(A113,'Données projet'!$A$35:$I$55,4,0))</f>
        <v>25</v>
      </c>
      <c r="W113" s="16">
        <f>IF(ISNA(VLOOKUP(A113,'Données projet'!$A$35:$I$55,5,0)),0%,VLOOKUP(A113,'Données projet'!$A$35:$I$55,5,0)*VLOOKUP('Données projet'!$B$9,Paramètres!$A$1:$I$89,7,0))</f>
        <v>0.43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99.119568927223511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99.119568927223511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332</v>
      </c>
      <c r="AG113" s="12">
        <f>VLOOKUP(A113,'Données projet'!$A$61:$I$81,9,0)</f>
        <v>5</v>
      </c>
      <c r="AH113" s="12">
        <f t="array" ref="AH113">INDEX(AG:AG,MIN(IF(ISNUMBER(AG113:AG309),ROW(AG113:AG309),"")))</f>
        <v>5</v>
      </c>
      <c r="AI113" s="13">
        <f>IF('Données projet'!$A$62&gt;35,AI112+AH113-AQ112,IF(A113&lt;'Données projet'!$A$62,$AF$205^A113,IF(A113='Données projet'!$A$62,'Données projet'!$B$62,AI112+AH113-AQ112)))</f>
        <v>331.99999999999989</v>
      </c>
      <c r="AJ113" s="13">
        <f>AI113*VLOOKUP('Données projet'!$B$10,Paramètres!$A$1:$I$89,3,0)*VLOOKUP('Données projet'!$B$10,Paramètres!$A$1:$I$89,5,0)</f>
        <v>336.64799999999991</v>
      </c>
      <c r="AK113" s="13">
        <f t="shared" si="89"/>
        <v>78.807003163010307</v>
      </c>
      <c r="AL113" s="20">
        <f t="shared" si="58"/>
        <v>723.58413050890942</v>
      </c>
      <c r="AM113" s="59">
        <f t="shared" si="59"/>
        <v>1016.9174638422428</v>
      </c>
      <c r="AN113" s="59">
        <f ca="1">AVERAGE(OFFSET($AM$3,0,0,'Données projet'!$E$10+1,1))-AVERAGE(OFFSET($H$3,0,0,'Données projet'!$E$10+1,1))</f>
        <v>487.18832528146936</v>
      </c>
      <c r="AO113" s="59">
        <f t="shared" si="90"/>
        <v>306.61893266146666</v>
      </c>
      <c r="AP113" s="15">
        <f>IF(ISNA(VLOOKUP(A113,'Données projet'!$A$61:$I$81,3,0)),0,VLOOKUP(A113,'Données projet'!$A$61:$I$81,3,0))</f>
        <v>19</v>
      </c>
      <c r="AQ113" s="15">
        <f>IF(ISNA(VLOOKUP(A113,'Données projet'!$A$61:$I$81,4,0)),0,VLOOKUP(A113,'Données projet'!$A$61:$I$81,4,0))</f>
        <v>25</v>
      </c>
      <c r="AR113" s="16">
        <f>IF(ISNA(VLOOKUP(A113,'Données projet'!$A$61:$I$81,5,0)),0%,VLOOKUP(A113,'Données projet'!$A$61:$I$81,5,0)*VLOOKUP('Données projet'!$B$10,Paramètres!$A$1:$I$89,7,0))</f>
        <v>0.43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111.08227552188841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111.08227552188841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369.00000000000023</v>
      </c>
      <c r="BE113" s="13">
        <f>BD113*VLOOKUP('Données projet'!$B$11,Paramètres!$A$1:$I$89,3,0)*VLOOKUP('Données projet'!$B$11,Paramètres!$A$1:$I$89,5,0)</f>
        <v>333.87120000000021</v>
      </c>
      <c r="BF113" s="13">
        <f t="shared" si="91"/>
        <v>78.23236011137638</v>
      </c>
      <c r="BG113" s="20">
        <f t="shared" si="61"/>
        <v>717.74703386064755</v>
      </c>
      <c r="BH113" s="59">
        <f t="shared" si="62"/>
        <v>1011.0803671939809</v>
      </c>
      <c r="BI113" s="59">
        <f ca="1">AVERAGE(OFFSET($BH$3,0,0,'Données projet'!$E$11+1,1))-AVERAGE(OFFSET($H$3,0,0,'Données projet'!$E$11+1,1))</f>
        <v>436.23918637269577</v>
      </c>
      <c r="BJ113" s="59">
        <f t="shared" si="92"/>
        <v>611.43967996341894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2.167980097419429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2.167980097419429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224.00000000000006</v>
      </c>
      <c r="BZ113" s="13">
        <f>BY113*VLOOKUP('Données projet'!$B$12,Paramètres!$A$1:$I$89,3,0)*VLOOKUP('Données projet'!$B$12,Paramètres!$A$1:$I$89,5,0)</f>
        <v>195.68640000000008</v>
      </c>
      <c r="CA113" s="13">
        <f t="shared" si="93"/>
        <v>48.794969360985156</v>
      </c>
      <c r="CB113" s="20">
        <f t="shared" si="64"/>
        <v>425.8050516370493</v>
      </c>
      <c r="CC113" s="59">
        <f t="shared" si="65"/>
        <v>719.13838497038262</v>
      </c>
      <c r="CD113" s="59">
        <f ca="1">AVERAGE(OFFSET($CC$3,0,0,'Données projet'!$E$12+1,1))-AVERAGE(OFFSET($H$3,0,0,'Données projet'!$E$12+1,1))</f>
        <v>304.32767345253382</v>
      </c>
      <c r="CE113" s="59">
        <f t="shared" si="94"/>
        <v>427.16091343339173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23.411989541695082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23.411989541695082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739.99999999999966</v>
      </c>
      <c r="CU113" s="17">
        <f>CT113*VLOOKUP('Données projet'!$B$13,Paramètres!$A$1:$I$89,3,0)*VLOOKUP('Données projet'!$B$13,Paramètres!$A$1:$I$89,5,0)</f>
        <v>413.65999999999985</v>
      </c>
      <c r="CV113" s="13">
        <f t="shared" si="95"/>
        <v>94.540585122244352</v>
      </c>
      <c r="CW113" s="20">
        <f t="shared" si="67"/>
        <v>885.11601908790863</v>
      </c>
      <c r="CX113" s="59">
        <f t="shared" si="68"/>
        <v>1178.4493524212419</v>
      </c>
      <c r="CY113" s="59">
        <f ca="1">AVERAGE(OFFSET($CX$3,0,0,'Données projet'!$E$13+1,1))-AVERAGE(OFFSET($H$3,0,0,'Données projet'!$E$13+1,1))</f>
        <v>555.15881087162279</v>
      </c>
      <c r="CZ113" s="59">
        <f t="shared" si="96"/>
        <v>668.20427590250733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45.878619495936654</v>
      </c>
      <c r="DG113" s="21">
        <f>EXP(-LN(2)/25)*DG112+(1-EXP(-LN(2)/25))/(LN(2)/25)*Calculateur!DB113*Calculateur!DD113*VLOOKUP('Données projet'!$B$13,Paramètres!$A$1:$I$89,3,0)*0.475*44/12</f>
        <v>6.2877314275056166</v>
      </c>
      <c r="DH113" s="21">
        <f>EXP(-LN(2)/2)*DH112+(1-EXP(-LN(2)/2))/(LN(2)/2)*DB113*DE113*VLOOKUP('Données projet'!$B$13,Paramètres!$A$1:$I$89,3,0)*0.475*44/12</f>
        <v>7.7351011599500012E-13</v>
      </c>
      <c r="DI113" s="22">
        <f t="shared" si="69"/>
        <v>52.166350923443048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911.99999999999898</v>
      </c>
      <c r="DP113" s="17">
        <f>DO113*VLOOKUP('Données projet'!$B$14,Paramètres!$A$1:$I$89,3,0)*VLOOKUP('Données projet'!$B$14,Paramètres!$A$1:$I$89,5,0)</f>
        <v>426.81599999999946</v>
      </c>
      <c r="DQ113" s="13">
        <f t="shared" si="97"/>
        <v>97.192496986872399</v>
      </c>
      <c r="DR113" s="20">
        <f t="shared" si="70"/>
        <v>912.64813225213504</v>
      </c>
      <c r="DS113" s="59">
        <f t="shared" si="71"/>
        <v>1205.9814655854684</v>
      </c>
      <c r="DT113" s="59">
        <f ca="1">AVERAGE(OFFSET($DS$3,0,0,'Données projet'!$E$14+1,1))-AVERAGE(OFFSET($H$3,0,0,'Données projet'!$E$14+1,1))</f>
        <v>523.79180230463714</v>
      </c>
      <c r="DU113" s="59">
        <f t="shared" si="98"/>
        <v>459.3547783500515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82.04798382622711</v>
      </c>
      <c r="EB113" s="21">
        <f>EXP(-LN(2)/25)*EB112+(1-EXP(-LN(2)/25))/(LN(2)/25)*Calculateur!DW113*Calculateur!DY113*VLOOKUP('Données projet'!$B$14,Paramètres!$A$1:$I$89,3,0)*0.475*44/12</f>
        <v>5.8153558235793694</v>
      </c>
      <c r="EC113" s="21">
        <f>EXP(-LN(2)/2)*EC112+(1-EXP(-LN(2)/2))/(LN(2)/2)*DW113*DZ113*VLOOKUP('Données projet'!$B$14,Paramètres!$A$1:$I$89,3,0)*0.475*44/12</f>
        <v>1.0843365173926653E-12</v>
      </c>
      <c r="ED113" s="22">
        <f t="shared" si="72"/>
        <v>87.863339649807557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367.99999999999972</v>
      </c>
      <c r="EK113" s="17">
        <f>EJ113*VLOOKUP('Données projet'!$B$15,Paramètres!$A$1:$I$89,3,0)*VLOOKUP('Données projet'!$B$15,Paramètres!$A$1:$I$89,5,0)</f>
        <v>355.92959999999977</v>
      </c>
      <c r="EL113" s="13">
        <f t="shared" si="99"/>
        <v>82.782281100458206</v>
      </c>
      <c r="EM113" s="20">
        <f t="shared" si="73"/>
        <v>764.08985958329765</v>
      </c>
      <c r="EN113" s="59">
        <f t="shared" si="74"/>
        <v>1057.423192916631</v>
      </c>
      <c r="EO113" s="59">
        <f ca="1">AVERAGE(OFFSET($EN$3,0,0,'Données projet'!$E$15+1,1))-AVERAGE(OFFSET($H$3,0,0,'Données projet'!$E$15+1,1))</f>
        <v>484.41278617935654</v>
      </c>
      <c r="EP113" s="59">
        <f t="shared" si="100"/>
        <v>467.97490540700738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33.558265525871555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33.558265525871555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367.99999999999972</v>
      </c>
      <c r="FF113" s="17">
        <f>FE113*VLOOKUP('Données projet'!$B$16,Paramètres!$A$1:$I$89,3,0)*VLOOKUP('Données projet'!$B$16,Paramètres!$A$1:$I$89,5,0)</f>
        <v>396.11519999999967</v>
      </c>
      <c r="FG113" s="13">
        <f t="shared" si="101"/>
        <v>90.988634849704994</v>
      </c>
      <c r="FH113" s="20">
        <f t="shared" si="76"/>
        <v>848.37251236323561</v>
      </c>
      <c r="FI113" s="59">
        <f t="shared" si="77"/>
        <v>1141.705845696569</v>
      </c>
      <c r="FJ113" s="59">
        <f ca="1">AVERAGE(OFFSET($FI$3,0,0,'Données projet'!$E$16+1,1))-AVERAGE(OFFSET($H$3,0,0,'Données projet'!$E$16+1,1))</f>
        <v>534.54020133239135</v>
      </c>
      <c r="FK113" s="59">
        <f t="shared" si="102"/>
        <v>515.48696069008815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37.347101956211908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37.347101956211908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248.99999999999994</v>
      </c>
      <c r="GA113" s="17">
        <f>FZ113*VLOOKUP('Données projet'!$B$17,Paramètres!$A$1:$I$89,3,0)*VLOOKUP('Données projet'!$B$17,Paramètres!$A$1:$I$89,5,0)</f>
        <v>236.94839999999994</v>
      </c>
      <c r="GB113" s="13">
        <f t="shared" si="103"/>
        <v>57.782475694292401</v>
      </c>
      <c r="GC113" s="20">
        <f t="shared" si="79"/>
        <v>513.32294183422573</v>
      </c>
      <c r="GD113" s="59">
        <f t="shared" si="80"/>
        <v>806.65627516755899</v>
      </c>
      <c r="GE113" s="59">
        <f ca="1">AVERAGE(OFFSET($GD$3,0,0,'Données projet'!$E$17+1,1))-AVERAGE(OFFSET($H$3,0,0,'Données projet'!$E$17+1,1))</f>
        <v>455.71329051283936</v>
      </c>
      <c r="GF113" s="59">
        <f t="shared" si="104"/>
        <v>479.3743231122258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86.741413011190716</v>
      </c>
      <c r="GM113" s="21">
        <f>EXP(-LN(2)/25)*GM112+(1-EXP(-LN(2)/25))/(LN(2)/25)*Calculateur!GH113*Calculateur!GJ113*VLOOKUP('Données projet'!$B$17,Paramètres!$A$1:$I$89,3,0)*0.475*44/12</f>
        <v>0</v>
      </c>
      <c r="GN113" s="21">
        <f>EXP(-LN(2)/2)*GN112+(1-EXP(-LN(2)/2))/(LN(2)/2)*GH113*GK113*VLOOKUP('Données projet'!$B$17,Paramètres!$A$1:$I$89,3,0)*0.475*44/12</f>
        <v>0</v>
      </c>
      <c r="GO113" s="21">
        <f t="shared" si="81"/>
        <v>86.741413011190716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367.99999999999972</v>
      </c>
      <c r="GV113" s="17">
        <f>GU113*VLOOKUP('Données projet'!$B$18,Paramètres!$A$1:$I$89,3,0)*VLOOKUP('Données projet'!$B$18,Paramètres!$A$1:$I$89,5,0)</f>
        <v>298.52159999999981</v>
      </c>
      <c r="GW113" s="13">
        <f t="shared" si="105"/>
        <v>70.866444995542437</v>
      </c>
      <c r="GX113" s="20">
        <f t="shared" si="82"/>
        <v>643.35084503390271</v>
      </c>
      <c r="GY113" s="59">
        <f t="shared" si="83"/>
        <v>936.68417836723597</v>
      </c>
      <c r="GZ113" s="59">
        <f ca="1">AVERAGE(OFFSET($GY$3,0,0,'Données projet'!$E$18+1,1))-AVERAGE(OFFSET($H$3,0,0,'Données projet'!$E$18+1,1))</f>
        <v>412.59676769258488</v>
      </c>
      <c r="HA113" s="59">
        <f t="shared" si="106"/>
        <v>399.90063795152133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28.145642053956806</v>
      </c>
      <c r="HH113" s="21">
        <f>EXP(-LN(2)/25)*HH112+(1-EXP(-LN(2)/25))/(LN(2)/25)*Calculateur!HC113*Calculateur!HE113*VLOOKUP('Données projet'!$B$18,Paramètres!$A$1:$I$89,3,0)*0.475*44/12</f>
        <v>0</v>
      </c>
      <c r="HI113" s="21">
        <f>EXP(-LN(2)/2)*HI112+(1-EXP(-LN(2)/2))/(LN(2)/2)*HC113*HF113*VLOOKUP('Données projet'!$B$18,Paramètres!$A$1:$I$89,3,0)*0.475*44/12</f>
        <v>0</v>
      </c>
      <c r="HJ113" s="22">
        <f t="shared" si="84"/>
        <v>28.145642053956806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4.8</v>
      </c>
      <c r="N114" s="13">
        <f>IF('Données projet'!$A$36&gt;35,N113+M114-V113,IF(A114&lt;'Données projet'!$A$36,$K$205^A114,IF(A114='Données projet'!$A$36,'Données projet'!$B$36,N113+M114-V113)))</f>
        <v>311.7999999999999</v>
      </c>
      <c r="O114" s="13">
        <f>N114*VLOOKUP('Données projet'!$B$9,Paramètres!$A$1:$I$89,3,0)*VLOOKUP('Données projet'!$B$9,Paramètres!$A$1:$I$89,5,0)</f>
        <v>282.1166399999999</v>
      </c>
      <c r="P114" s="13">
        <f t="shared" si="87"/>
        <v>67.414119514142243</v>
      </c>
      <c r="Q114" s="20">
        <f t="shared" si="107"/>
        <v>608.76607282046416</v>
      </c>
      <c r="R114" s="59">
        <f t="shared" si="55"/>
        <v>902.09940615379742</v>
      </c>
      <c r="S114" s="59">
        <f ca="1">AVERAGE(OFFSET($R$3,0,0,'Données projet'!$E$9+1,1))-AVERAGE(OFFSET($H$3,0,0,'Données projet'!$E$9+1,1))</f>
        <v>439.19854273764042</v>
      </c>
      <c r="T114" s="59">
        <f t="shared" si="88"/>
        <v>278.21741231699929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97.175894637528074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97.175894637528074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4.8</v>
      </c>
      <c r="AI114" s="13">
        <f>IF('Données projet'!$A$62&gt;35,AI113+AH114-AQ113,IF(A114&lt;'Données projet'!$A$62,$AF$205^A114,IF(A114='Données projet'!$A$62,'Données projet'!$B$62,AI113+AH114-AQ113)))</f>
        <v>311.7999999999999</v>
      </c>
      <c r="AJ114" s="13">
        <f>AI114*VLOOKUP('Données projet'!$B$10,Paramètres!$A$1:$I$89,3,0)*VLOOKUP('Données projet'!$B$10,Paramètres!$A$1:$I$89,5,0)</f>
        <v>316.16519999999991</v>
      </c>
      <c r="AK114" s="13">
        <f t="shared" si="89"/>
        <v>74.554889944758472</v>
      </c>
      <c r="AL114" s="20">
        <f t="shared" si="58"/>
        <v>680.50415665378762</v>
      </c>
      <c r="AM114" s="59">
        <f t="shared" si="59"/>
        <v>973.83748998712099</v>
      </c>
      <c r="AN114" s="59">
        <f ca="1">AVERAGE(OFFSET($AM$3,0,0,'Données projet'!$E$10+1,1))-AVERAGE(OFFSET($H$3,0,0,'Données projet'!$E$10+1,1))</f>
        <v>487.18832528146936</v>
      </c>
      <c r="AO114" s="59">
        <f t="shared" si="90"/>
        <v>306.61893266146666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108.90401985240214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108.90401985240214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369.00000000000023</v>
      </c>
      <c r="BE114" s="13">
        <f>BD114*VLOOKUP('Données projet'!$B$11,Paramètres!$A$1:$I$89,3,0)*VLOOKUP('Données projet'!$B$11,Paramètres!$A$1:$I$89,5,0)</f>
        <v>333.87120000000021</v>
      </c>
      <c r="BF114" s="13">
        <f t="shared" si="91"/>
        <v>78.23236011137638</v>
      </c>
      <c r="BG114" s="20">
        <f t="shared" si="61"/>
        <v>717.74703386064755</v>
      </c>
      <c r="BH114" s="59">
        <f t="shared" si="62"/>
        <v>1011.0803671939809</v>
      </c>
      <c r="BI114" s="59">
        <f ca="1">AVERAGE(OFFSET($BH$3,0,0,'Données projet'!$E$11+1,1))-AVERAGE(OFFSET($H$3,0,0,'Données projet'!$E$11+1,1))</f>
        <v>436.23918637269577</v>
      </c>
      <c r="BJ114" s="59">
        <f t="shared" si="92"/>
        <v>611.43967996341894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2.1254673300463236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2.1254673300463236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224.00000000000006</v>
      </c>
      <c r="BZ114" s="13">
        <f>BY114*VLOOKUP('Données projet'!$B$12,Paramètres!$A$1:$I$89,3,0)*VLOOKUP('Données projet'!$B$12,Paramètres!$A$1:$I$89,5,0)</f>
        <v>195.68640000000008</v>
      </c>
      <c r="CA114" s="13">
        <f t="shared" si="93"/>
        <v>48.794969360985156</v>
      </c>
      <c r="CB114" s="20">
        <f t="shared" si="64"/>
        <v>425.8050516370493</v>
      </c>
      <c r="CC114" s="59">
        <f t="shared" si="65"/>
        <v>719.13838497038262</v>
      </c>
      <c r="CD114" s="59">
        <f ca="1">AVERAGE(OFFSET($CC$3,0,0,'Données projet'!$E$12+1,1))-AVERAGE(OFFSET($H$3,0,0,'Données projet'!$E$12+1,1))</f>
        <v>304.32767345253382</v>
      </c>
      <c r="CE114" s="59">
        <f t="shared" si="94"/>
        <v>427.16091343339173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22.952894706686038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22.952894706686038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739.99999999999966</v>
      </c>
      <c r="CU114" s="17">
        <f>CT114*VLOOKUP('Données projet'!$B$13,Paramètres!$A$1:$I$89,3,0)*VLOOKUP('Données projet'!$B$13,Paramètres!$A$1:$I$89,5,0)</f>
        <v>413.65999999999985</v>
      </c>
      <c r="CV114" s="13">
        <f t="shared" si="95"/>
        <v>94.540585122244352</v>
      </c>
      <c r="CW114" s="20">
        <f t="shared" si="67"/>
        <v>885.11601908790863</v>
      </c>
      <c r="CX114" s="59">
        <f t="shared" si="68"/>
        <v>1178.4493524212419</v>
      </c>
      <c r="CY114" s="59">
        <f ca="1">AVERAGE(OFFSET($CX$3,0,0,'Données projet'!$E$13+1,1))-AVERAGE(OFFSET($H$3,0,0,'Données projet'!$E$13+1,1))</f>
        <v>555.15881087162279</v>
      </c>
      <c r="CZ114" s="59">
        <f t="shared" si="96"/>
        <v>668.20427590250733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44.978967750816118</v>
      </c>
      <c r="DG114" s="21">
        <f>EXP(-LN(2)/25)*DG113+(1-EXP(-LN(2)/25))/(LN(2)/25)*Calculateur!DB114*Calculateur!DD114*VLOOKUP('Données projet'!$B$13,Paramètres!$A$1:$I$89,3,0)*0.475*44/12</f>
        <v>6.1157930809630505</v>
      </c>
      <c r="DH114" s="21">
        <f>EXP(-LN(2)/2)*DH113+(1-EXP(-LN(2)/2))/(LN(2)/2)*DB114*DE114*VLOOKUP('Données projet'!$B$13,Paramètres!$A$1:$I$89,3,0)*0.475*44/12</f>
        <v>5.4695424833645753E-13</v>
      </c>
      <c r="DI114" s="22">
        <f t="shared" si="69"/>
        <v>51.094760831779716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911.99999999999898</v>
      </c>
      <c r="DP114" s="17">
        <f>DO114*VLOOKUP('Données projet'!$B$14,Paramètres!$A$1:$I$89,3,0)*VLOOKUP('Données projet'!$B$14,Paramètres!$A$1:$I$89,5,0)</f>
        <v>426.81599999999946</v>
      </c>
      <c r="DQ114" s="13">
        <f t="shared" si="97"/>
        <v>97.192496986872399</v>
      </c>
      <c r="DR114" s="20">
        <f t="shared" si="70"/>
        <v>912.64813225213504</v>
      </c>
      <c r="DS114" s="59">
        <f t="shared" si="71"/>
        <v>1205.9814655854684</v>
      </c>
      <c r="DT114" s="59">
        <f ca="1">AVERAGE(OFFSET($DS$3,0,0,'Données projet'!$E$14+1,1))-AVERAGE(OFFSET($H$3,0,0,'Données projet'!$E$14+1,1))</f>
        <v>523.79180230463714</v>
      </c>
      <c r="DU114" s="59">
        <f t="shared" si="98"/>
        <v>459.3547783500515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80.439072907723457</v>
      </c>
      <c r="EB114" s="21">
        <f>EXP(-LN(2)/25)*EB113+(1-EXP(-LN(2)/25))/(LN(2)/25)*Calculateur!DW114*Calculateur!DY114*VLOOKUP('Données projet'!$B$14,Paramètres!$A$1:$I$89,3,0)*0.475*44/12</f>
        <v>5.6563346127673197</v>
      </c>
      <c r="EC114" s="21">
        <f>EXP(-LN(2)/2)*EC113+(1-EXP(-LN(2)/2))/(LN(2)/2)*DW114*DZ114*VLOOKUP('Données projet'!$B$14,Paramètres!$A$1:$I$89,3,0)*0.475*44/12</f>
        <v>7.6674170453655837E-13</v>
      </c>
      <c r="ED114" s="22">
        <f t="shared" si="72"/>
        <v>86.095407520491548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367.99999999999972</v>
      </c>
      <c r="EK114" s="17">
        <f>EJ114*VLOOKUP('Données projet'!$B$15,Paramètres!$A$1:$I$89,3,0)*VLOOKUP('Données projet'!$B$15,Paramètres!$A$1:$I$89,5,0)</f>
        <v>355.92959999999977</v>
      </c>
      <c r="EL114" s="13">
        <f t="shared" si="99"/>
        <v>82.782281100458206</v>
      </c>
      <c r="EM114" s="20">
        <f t="shared" si="73"/>
        <v>764.08985958329765</v>
      </c>
      <c r="EN114" s="59">
        <f t="shared" si="74"/>
        <v>1057.423192916631</v>
      </c>
      <c r="EO114" s="59">
        <f ca="1">AVERAGE(OFFSET($EN$3,0,0,'Données projet'!$E$15+1,1))-AVERAGE(OFFSET($H$3,0,0,'Données projet'!$E$15+1,1))</f>
        <v>484.41278617935654</v>
      </c>
      <c r="EP114" s="59">
        <f t="shared" si="100"/>
        <v>467.97490540700738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32.900208407430085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32.900208407430085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367.99999999999972</v>
      </c>
      <c r="FF114" s="17">
        <f>FE114*VLOOKUP('Données projet'!$B$16,Paramètres!$A$1:$I$89,3,0)*VLOOKUP('Données projet'!$B$16,Paramètres!$A$1:$I$89,5,0)</f>
        <v>396.11519999999967</v>
      </c>
      <c r="FG114" s="13">
        <f t="shared" si="101"/>
        <v>90.988634849704994</v>
      </c>
      <c r="FH114" s="20">
        <f t="shared" si="76"/>
        <v>848.37251236323561</v>
      </c>
      <c r="FI114" s="59">
        <f t="shared" si="77"/>
        <v>1141.705845696569</v>
      </c>
      <c r="FJ114" s="59">
        <f ca="1">AVERAGE(OFFSET($FI$3,0,0,'Données projet'!$E$16+1,1))-AVERAGE(OFFSET($H$3,0,0,'Données projet'!$E$16+1,1))</f>
        <v>534.54020133239135</v>
      </c>
      <c r="FK114" s="59">
        <f t="shared" si="102"/>
        <v>515.48696069008815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36.614748066333497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36.614748066333497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248.99999999999994</v>
      </c>
      <c r="GA114" s="17">
        <f>FZ114*VLOOKUP('Données projet'!$B$17,Paramètres!$A$1:$I$89,3,0)*VLOOKUP('Données projet'!$B$17,Paramètres!$A$1:$I$89,5,0)</f>
        <v>236.94839999999994</v>
      </c>
      <c r="GB114" s="13">
        <f t="shared" si="103"/>
        <v>57.782475694292401</v>
      </c>
      <c r="GC114" s="20">
        <f t="shared" si="79"/>
        <v>513.32294183422573</v>
      </c>
      <c r="GD114" s="59">
        <f t="shared" si="80"/>
        <v>806.65627516755899</v>
      </c>
      <c r="GE114" s="59">
        <f ca="1">AVERAGE(OFFSET($GD$3,0,0,'Données projet'!$E$17+1,1))-AVERAGE(OFFSET($H$3,0,0,'Données projet'!$E$17+1,1))</f>
        <v>455.71329051283936</v>
      </c>
      <c r="GF114" s="59">
        <f t="shared" si="104"/>
        <v>479.3743231122258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85.040466809079064</v>
      </c>
      <c r="GM114" s="21">
        <f>EXP(-LN(2)/25)*GM113+(1-EXP(-LN(2)/25))/(LN(2)/25)*Calculateur!GH114*Calculateur!GJ114*VLOOKUP('Données projet'!$B$17,Paramètres!$A$1:$I$89,3,0)*0.475*44/12</f>
        <v>0</v>
      </c>
      <c r="GN114" s="21">
        <f>EXP(-LN(2)/2)*GN113+(1-EXP(-LN(2)/2))/(LN(2)/2)*GH114*GK114*VLOOKUP('Données projet'!$B$17,Paramètres!$A$1:$I$89,3,0)*0.475*44/12</f>
        <v>0</v>
      </c>
      <c r="GO114" s="21">
        <f t="shared" si="81"/>
        <v>85.040466809079064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367.99999999999972</v>
      </c>
      <c r="GV114" s="17">
        <f>GU114*VLOOKUP('Données projet'!$B$18,Paramètres!$A$1:$I$89,3,0)*VLOOKUP('Données projet'!$B$18,Paramètres!$A$1:$I$89,5,0)</f>
        <v>298.52159999999981</v>
      </c>
      <c r="GW114" s="13">
        <f t="shared" si="105"/>
        <v>70.866444995542437</v>
      </c>
      <c r="GX114" s="20">
        <f t="shared" si="82"/>
        <v>643.35084503390271</v>
      </c>
      <c r="GY114" s="59">
        <f t="shared" si="83"/>
        <v>936.68417836723597</v>
      </c>
      <c r="GZ114" s="59">
        <f ca="1">AVERAGE(OFFSET($GY$3,0,0,'Données projet'!$E$18+1,1))-AVERAGE(OFFSET($H$3,0,0,'Données projet'!$E$18+1,1))</f>
        <v>412.59676769258488</v>
      </c>
      <c r="HA114" s="59">
        <f t="shared" si="106"/>
        <v>399.90063795152133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27.593723180425251</v>
      </c>
      <c r="HH114" s="21">
        <f>EXP(-LN(2)/25)*HH113+(1-EXP(-LN(2)/25))/(LN(2)/25)*Calculateur!HC114*Calculateur!HE114*VLOOKUP('Données projet'!$B$18,Paramètres!$A$1:$I$89,3,0)*0.475*44/12</f>
        <v>0</v>
      </c>
      <c r="HI114" s="21">
        <f>EXP(-LN(2)/2)*HI113+(1-EXP(-LN(2)/2))/(LN(2)/2)*HC114*HF114*VLOOKUP('Données projet'!$B$18,Paramètres!$A$1:$I$89,3,0)*0.475*44/12</f>
        <v>0</v>
      </c>
      <c r="HJ114" s="22">
        <f t="shared" si="84"/>
        <v>27.593723180425251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4.8</v>
      </c>
      <c r="N115" s="13">
        <f>IF('Données projet'!$A$36&gt;35,N114+M115-V114,IF(A115&lt;'Données projet'!$A$36,$K$205^A115,IF(A115='Données projet'!$A$36,'Données projet'!$B$36,N114+M115-V114)))</f>
        <v>316.59999999999991</v>
      </c>
      <c r="O115" s="13">
        <f>N115*VLOOKUP('Données projet'!$B$9,Paramètres!$A$1:$I$89,3,0)*VLOOKUP('Données projet'!$B$9,Paramètres!$A$1:$I$89,5,0)</f>
        <v>286.45967999999988</v>
      </c>
      <c r="P115" s="13">
        <f t="shared" si="87"/>
        <v>68.330307577101138</v>
      </c>
      <c r="Q115" s="20">
        <f t="shared" si="107"/>
        <v>617.92589503011754</v>
      </c>
      <c r="R115" s="59">
        <f t="shared" si="55"/>
        <v>911.2592283634508</v>
      </c>
      <c r="S115" s="59">
        <f ca="1">AVERAGE(OFFSET($R$3,0,0,'Données projet'!$E$9+1,1))-AVERAGE(OFFSET($H$3,0,0,'Données projet'!$E$9+1,1))</f>
        <v>439.19854273764042</v>
      </c>
      <c r="T115" s="59">
        <f t="shared" si="88"/>
        <v>278.21741231699929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95.270334615129315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95.270334615129315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4.8</v>
      </c>
      <c r="AI115" s="13">
        <f>IF('Données projet'!$A$62&gt;35,AI114+AH115-AQ114,IF(A115&lt;'Données projet'!$A$62,$AF$205^A115,IF(A115='Données projet'!$A$62,'Données projet'!$B$62,AI114+AH115-AQ114)))</f>
        <v>316.59999999999991</v>
      </c>
      <c r="AJ115" s="13">
        <f>AI115*VLOOKUP('Données projet'!$B$10,Paramètres!$A$1:$I$89,3,0)*VLOOKUP('Données projet'!$B$10,Paramètres!$A$1:$I$89,5,0)</f>
        <v>321.03239999999988</v>
      </c>
      <c r="AK115" s="13">
        <f t="shared" si="89"/>
        <v>75.568124274523356</v>
      </c>
      <c r="AL115" s="20">
        <f t="shared" si="58"/>
        <v>690.74591311146139</v>
      </c>
      <c r="AM115" s="59">
        <f t="shared" si="59"/>
        <v>984.07924644479476</v>
      </c>
      <c r="AN115" s="59">
        <f ca="1">AVERAGE(OFFSET($AM$3,0,0,'Données projet'!$E$10+1,1))-AVERAGE(OFFSET($H$3,0,0,'Données projet'!$E$10+1,1))</f>
        <v>487.18832528146936</v>
      </c>
      <c r="AO115" s="59">
        <f t="shared" si="90"/>
        <v>306.61893266146666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106.76847844798974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106.76847844798974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369.00000000000023</v>
      </c>
      <c r="BE115" s="13">
        <f>BD115*VLOOKUP('Données projet'!$B$11,Paramètres!$A$1:$I$89,3,0)*VLOOKUP('Données projet'!$B$11,Paramètres!$A$1:$I$89,5,0)</f>
        <v>333.87120000000021</v>
      </c>
      <c r="BF115" s="13">
        <f t="shared" si="91"/>
        <v>78.23236011137638</v>
      </c>
      <c r="BG115" s="20">
        <f t="shared" si="61"/>
        <v>717.74703386064755</v>
      </c>
      <c r="BH115" s="59">
        <f t="shared" si="62"/>
        <v>1011.0803671939809</v>
      </c>
      <c r="BI115" s="59">
        <f ca="1">AVERAGE(OFFSET($BH$3,0,0,'Données projet'!$E$11+1,1))-AVERAGE(OFFSET($H$3,0,0,'Données projet'!$E$11+1,1))</f>
        <v>436.23918637269577</v>
      </c>
      <c r="BJ115" s="59">
        <f t="shared" si="92"/>
        <v>611.43967996341894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2.0837882121111768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2.0837882121111768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224.00000000000006</v>
      </c>
      <c r="BZ115" s="13">
        <f>BY115*VLOOKUP('Données projet'!$B$12,Paramètres!$A$1:$I$89,3,0)*VLOOKUP('Données projet'!$B$12,Paramètres!$A$1:$I$89,5,0)</f>
        <v>195.68640000000008</v>
      </c>
      <c r="CA115" s="13">
        <f t="shared" si="93"/>
        <v>48.794969360985156</v>
      </c>
      <c r="CB115" s="20">
        <f t="shared" si="64"/>
        <v>425.8050516370493</v>
      </c>
      <c r="CC115" s="59">
        <f t="shared" si="65"/>
        <v>719.13838497038262</v>
      </c>
      <c r="CD115" s="59">
        <f ca="1">AVERAGE(OFFSET($CC$3,0,0,'Données projet'!$E$12+1,1))-AVERAGE(OFFSET($H$3,0,0,'Données projet'!$E$12+1,1))</f>
        <v>304.32767345253382</v>
      </c>
      <c r="CE115" s="59">
        <f t="shared" si="94"/>
        <v>427.16091343339173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22.502802441371323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22.502802441371323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739.99999999999966</v>
      </c>
      <c r="CU115" s="17">
        <f>CT115*VLOOKUP('Données projet'!$B$13,Paramètres!$A$1:$I$89,3,0)*VLOOKUP('Données projet'!$B$13,Paramètres!$A$1:$I$89,5,0)</f>
        <v>413.65999999999985</v>
      </c>
      <c r="CV115" s="13">
        <f t="shared" si="95"/>
        <v>94.540585122244352</v>
      </c>
      <c r="CW115" s="20">
        <f t="shared" si="67"/>
        <v>885.11601908790863</v>
      </c>
      <c r="CX115" s="59">
        <f t="shared" si="68"/>
        <v>1178.4493524212419</v>
      </c>
      <c r="CY115" s="59">
        <f ca="1">AVERAGE(OFFSET($CX$3,0,0,'Données projet'!$E$13+1,1))-AVERAGE(OFFSET($H$3,0,0,'Données projet'!$E$13+1,1))</f>
        <v>555.15881087162279</v>
      </c>
      <c r="CZ115" s="59">
        <f t="shared" si="96"/>
        <v>668.20427590250733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44.096957627684013</v>
      </c>
      <c r="DG115" s="21">
        <f>EXP(-LN(2)/25)*DG114+(1-EXP(-LN(2)/25))/(LN(2)/25)*Calculateur!DB115*Calculateur!DD115*VLOOKUP('Données projet'!$B$13,Paramètres!$A$1:$I$89,3,0)*0.475*44/12</f>
        <v>5.9485563975485354</v>
      </c>
      <c r="DH115" s="21">
        <f>EXP(-LN(2)/2)*DH114+(1-EXP(-LN(2)/2))/(LN(2)/2)*DB115*DE115*VLOOKUP('Données projet'!$B$13,Paramètres!$A$1:$I$89,3,0)*0.475*44/12</f>
        <v>3.8675505799750006E-13</v>
      </c>
      <c r="DI115" s="22">
        <f t="shared" si="69"/>
        <v>50.045514025232933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911.99999999999898</v>
      </c>
      <c r="DP115" s="17">
        <f>DO115*VLOOKUP('Données projet'!$B$14,Paramètres!$A$1:$I$89,3,0)*VLOOKUP('Données projet'!$B$14,Paramètres!$A$1:$I$89,5,0)</f>
        <v>426.81599999999946</v>
      </c>
      <c r="DQ115" s="13">
        <f t="shared" si="97"/>
        <v>97.192496986872399</v>
      </c>
      <c r="DR115" s="20">
        <f t="shared" si="70"/>
        <v>912.64813225213504</v>
      </c>
      <c r="DS115" s="59">
        <f t="shared" si="71"/>
        <v>1205.9814655854684</v>
      </c>
      <c r="DT115" s="59">
        <f ca="1">AVERAGE(OFFSET($DS$3,0,0,'Données projet'!$E$14+1,1))-AVERAGE(OFFSET($H$3,0,0,'Données projet'!$E$14+1,1))</f>
        <v>523.79180230463714</v>
      </c>
      <c r="DU115" s="59">
        <f t="shared" si="98"/>
        <v>459.3547783500515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78.86171175099291</v>
      </c>
      <c r="EB115" s="21">
        <f>EXP(-LN(2)/25)*EB114+(1-EXP(-LN(2)/25))/(LN(2)/25)*Calculateur!DW115*Calculateur!DY115*VLOOKUP('Données projet'!$B$14,Paramètres!$A$1:$I$89,3,0)*0.475*44/12</f>
        <v>5.5016618453274875</v>
      </c>
      <c r="EC115" s="21">
        <f>EXP(-LN(2)/2)*EC114+(1-EXP(-LN(2)/2))/(LN(2)/2)*DW115*DZ115*VLOOKUP('Données projet'!$B$14,Paramètres!$A$1:$I$89,3,0)*0.475*44/12</f>
        <v>5.4216825869633264E-13</v>
      </c>
      <c r="ED115" s="22">
        <f t="shared" si="72"/>
        <v>84.36337359632094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367.99999999999972</v>
      </c>
      <c r="EK115" s="17">
        <f>EJ115*VLOOKUP('Données projet'!$B$15,Paramètres!$A$1:$I$89,3,0)*VLOOKUP('Données projet'!$B$15,Paramètres!$A$1:$I$89,5,0)</f>
        <v>355.92959999999977</v>
      </c>
      <c r="EL115" s="13">
        <f t="shared" si="99"/>
        <v>82.782281100458206</v>
      </c>
      <c r="EM115" s="20">
        <f t="shared" si="73"/>
        <v>764.08985958329765</v>
      </c>
      <c r="EN115" s="59">
        <f t="shared" si="74"/>
        <v>1057.423192916631</v>
      </c>
      <c r="EO115" s="59">
        <f ca="1">AVERAGE(OFFSET($EN$3,0,0,'Données projet'!$E$15+1,1))-AVERAGE(OFFSET($H$3,0,0,'Données projet'!$E$15+1,1))</f>
        <v>484.41278617935654</v>
      </c>
      <c r="EP115" s="59">
        <f t="shared" si="100"/>
        <v>467.97490540700738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32.255055387706044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32.255055387706044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367.99999999999972</v>
      </c>
      <c r="FF115" s="17">
        <f>FE115*VLOOKUP('Données projet'!$B$16,Paramètres!$A$1:$I$89,3,0)*VLOOKUP('Données projet'!$B$16,Paramètres!$A$1:$I$89,5,0)</f>
        <v>396.11519999999967</v>
      </c>
      <c r="FG115" s="13">
        <f t="shared" si="101"/>
        <v>90.988634849704994</v>
      </c>
      <c r="FH115" s="20">
        <f t="shared" si="76"/>
        <v>848.37251236323561</v>
      </c>
      <c r="FI115" s="59">
        <f t="shared" si="77"/>
        <v>1141.705845696569</v>
      </c>
      <c r="FJ115" s="59">
        <f ca="1">AVERAGE(OFFSET($FI$3,0,0,'Données projet'!$E$16+1,1))-AVERAGE(OFFSET($H$3,0,0,'Données projet'!$E$16+1,1))</f>
        <v>534.54020133239135</v>
      </c>
      <c r="FK115" s="59">
        <f t="shared" si="102"/>
        <v>515.48696069008815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35.896755189543839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35.896755189543839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248.99999999999994</v>
      </c>
      <c r="GA115" s="17">
        <f>FZ115*VLOOKUP('Données projet'!$B$17,Paramètres!$A$1:$I$89,3,0)*VLOOKUP('Données projet'!$B$17,Paramètres!$A$1:$I$89,5,0)</f>
        <v>236.94839999999994</v>
      </c>
      <c r="GB115" s="13">
        <f t="shared" si="103"/>
        <v>57.782475694292401</v>
      </c>
      <c r="GC115" s="20">
        <f t="shared" si="79"/>
        <v>513.32294183422573</v>
      </c>
      <c r="GD115" s="59">
        <f t="shared" si="80"/>
        <v>806.65627516755899</v>
      </c>
      <c r="GE115" s="59">
        <f ca="1">AVERAGE(OFFSET($GD$3,0,0,'Données projet'!$E$17+1,1))-AVERAGE(OFFSET($H$3,0,0,'Données projet'!$E$17+1,1))</f>
        <v>455.71329051283936</v>
      </c>
      <c r="GF115" s="59">
        <f t="shared" si="104"/>
        <v>479.3743231122258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83.372875124516085</v>
      </c>
      <c r="GM115" s="21">
        <f>EXP(-LN(2)/25)*GM114+(1-EXP(-LN(2)/25))/(LN(2)/25)*Calculateur!GH115*Calculateur!GJ115*VLOOKUP('Données projet'!$B$17,Paramètres!$A$1:$I$89,3,0)*0.475*44/12</f>
        <v>0</v>
      </c>
      <c r="GN115" s="21">
        <f>EXP(-LN(2)/2)*GN114+(1-EXP(-LN(2)/2))/(LN(2)/2)*GH115*GK115*VLOOKUP('Données projet'!$B$17,Paramètres!$A$1:$I$89,3,0)*0.475*44/12</f>
        <v>0</v>
      </c>
      <c r="GO115" s="21">
        <f t="shared" si="81"/>
        <v>83.372875124516085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367.99999999999972</v>
      </c>
      <c r="GV115" s="17">
        <f>GU115*VLOOKUP('Données projet'!$B$18,Paramètres!$A$1:$I$89,3,0)*VLOOKUP('Données projet'!$B$18,Paramètres!$A$1:$I$89,5,0)</f>
        <v>298.52159999999981</v>
      </c>
      <c r="GW115" s="13">
        <f t="shared" si="105"/>
        <v>70.866444995542437</v>
      </c>
      <c r="GX115" s="20">
        <f t="shared" si="82"/>
        <v>643.35084503390271</v>
      </c>
      <c r="GY115" s="59">
        <f t="shared" si="83"/>
        <v>936.68417836723597</v>
      </c>
      <c r="GZ115" s="59">
        <f ca="1">AVERAGE(OFFSET($GY$3,0,0,'Données projet'!$E$18+1,1))-AVERAGE(OFFSET($H$3,0,0,'Données projet'!$E$18+1,1))</f>
        <v>412.59676769258488</v>
      </c>
      <c r="HA115" s="59">
        <f t="shared" si="106"/>
        <v>399.90063795152133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27.052627099366376</v>
      </c>
      <c r="HH115" s="21">
        <f>EXP(-LN(2)/25)*HH114+(1-EXP(-LN(2)/25))/(LN(2)/25)*Calculateur!HC115*Calculateur!HE115*VLOOKUP('Données projet'!$B$18,Paramètres!$A$1:$I$89,3,0)*0.475*44/12</f>
        <v>0</v>
      </c>
      <c r="HI115" s="21">
        <f>EXP(-LN(2)/2)*HI114+(1-EXP(-LN(2)/2))/(LN(2)/2)*HC115*HF115*VLOOKUP('Données projet'!$B$18,Paramètres!$A$1:$I$89,3,0)*0.475*44/12</f>
        <v>0</v>
      </c>
      <c r="HJ115" s="22">
        <f t="shared" si="84"/>
        <v>27.052627099366376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4.8</v>
      </c>
      <c r="N116" s="13">
        <f>IF('Données projet'!$A$36&gt;35,N115+M116-V115,IF(A116&lt;'Données projet'!$A$36,$K$205^A116,IF(A116='Données projet'!$A$36,'Données projet'!$B$36,N115+M116-V115)))</f>
        <v>321.39999999999992</v>
      </c>
      <c r="O116" s="13">
        <f>N116*VLOOKUP('Données projet'!$B$9,Paramètres!$A$1:$I$89,3,0)*VLOOKUP('Données projet'!$B$9,Paramètres!$A$1:$I$89,5,0)</f>
        <v>290.80271999999991</v>
      </c>
      <c r="P116" s="13">
        <f t="shared" si="87"/>
        <v>69.244880157128961</v>
      </c>
      <c r="Q116" s="20">
        <f t="shared" si="107"/>
        <v>627.08290360699937</v>
      </c>
      <c r="R116" s="59">
        <f t="shared" si="55"/>
        <v>920.41623694033274</v>
      </c>
      <c r="S116" s="59">
        <f ca="1">AVERAGE(OFFSET($R$3,0,0,'Données projet'!$E$9+1,1))-AVERAGE(OFFSET($H$3,0,0,'Données projet'!$E$9+1,1))</f>
        <v>439.19854273764042</v>
      </c>
      <c r="T116" s="59">
        <f t="shared" si="88"/>
        <v>278.21741231699929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93.402141462492935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93.402141462492935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4.8</v>
      </c>
      <c r="AI116" s="13">
        <f>IF('Données projet'!$A$62&gt;35,AI115+AH116-AQ115,IF(A116&lt;'Données projet'!$A$62,$AF$205^A116,IF(A116='Données projet'!$A$62,'Données projet'!$B$62,AI115+AH116-AQ115)))</f>
        <v>321.39999999999992</v>
      </c>
      <c r="AJ116" s="13">
        <f>AI116*VLOOKUP('Données projet'!$B$10,Paramètres!$A$1:$I$89,3,0)*VLOOKUP('Données projet'!$B$10,Paramètres!$A$1:$I$89,5,0)</f>
        <v>325.89959999999996</v>
      </c>
      <c r="AK116" s="13">
        <f t="shared" si="89"/>
        <v>76.579572003009503</v>
      </c>
      <c r="AL116" s="20">
        <f t="shared" si="58"/>
        <v>700.98455790524133</v>
      </c>
      <c r="AM116" s="59">
        <f t="shared" si="59"/>
        <v>994.3178912385747</v>
      </c>
      <c r="AN116" s="59">
        <f ca="1">AVERAGE(OFFSET($AM$3,0,0,'Données projet'!$E$10+1,1))-AVERAGE(OFFSET($H$3,0,0,'Données projet'!$E$10+1,1))</f>
        <v>487.18832528146936</v>
      </c>
      <c r="AO116" s="59">
        <f t="shared" si="90"/>
        <v>306.61893266146666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104.67481370796621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104.67481370796621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369.00000000000023</v>
      </c>
      <c r="BE116" s="13">
        <f>BD116*VLOOKUP('Données projet'!$B$11,Paramètres!$A$1:$I$89,3,0)*VLOOKUP('Données projet'!$B$11,Paramètres!$A$1:$I$89,5,0)</f>
        <v>333.87120000000021</v>
      </c>
      <c r="BF116" s="13">
        <f t="shared" si="91"/>
        <v>78.23236011137638</v>
      </c>
      <c r="BG116" s="20">
        <f t="shared" si="61"/>
        <v>717.74703386064755</v>
      </c>
      <c r="BH116" s="59">
        <f t="shared" si="62"/>
        <v>1011.0803671939809</v>
      </c>
      <c r="BI116" s="59">
        <f ca="1">AVERAGE(OFFSET($BH$3,0,0,'Données projet'!$E$11+1,1))-AVERAGE(OFFSET($H$3,0,0,'Données projet'!$E$11+1,1))</f>
        <v>436.23918637269577</v>
      </c>
      <c r="BJ116" s="59">
        <f t="shared" si="92"/>
        <v>611.43967996341894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2.0429263962569868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2.0429263962569868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224.00000000000006</v>
      </c>
      <c r="BZ116" s="13">
        <f>BY116*VLOOKUP('Données projet'!$B$12,Paramètres!$A$1:$I$89,3,0)*VLOOKUP('Données projet'!$B$12,Paramètres!$A$1:$I$89,5,0)</f>
        <v>195.68640000000008</v>
      </c>
      <c r="CA116" s="13">
        <f t="shared" si="93"/>
        <v>48.794969360985156</v>
      </c>
      <c r="CB116" s="20">
        <f t="shared" si="64"/>
        <v>425.8050516370493</v>
      </c>
      <c r="CC116" s="59">
        <f t="shared" si="65"/>
        <v>719.13838497038262</v>
      </c>
      <c r="CD116" s="59">
        <f ca="1">AVERAGE(OFFSET($CC$3,0,0,'Données projet'!$E$12+1,1))-AVERAGE(OFFSET($H$3,0,0,'Données projet'!$E$12+1,1))</f>
        <v>304.32767345253382</v>
      </c>
      <c r="CE116" s="59">
        <f t="shared" si="94"/>
        <v>427.16091343339173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22.061536210850253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22.061536210850253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739.99999999999966</v>
      </c>
      <c r="CU116" s="17">
        <f>CT116*VLOOKUP('Données projet'!$B$13,Paramètres!$A$1:$I$89,3,0)*VLOOKUP('Données projet'!$B$13,Paramètres!$A$1:$I$89,5,0)</f>
        <v>413.65999999999985</v>
      </c>
      <c r="CV116" s="13">
        <f t="shared" si="95"/>
        <v>94.540585122244352</v>
      </c>
      <c r="CW116" s="20">
        <f t="shared" si="67"/>
        <v>885.11601908790863</v>
      </c>
      <c r="CX116" s="59">
        <f t="shared" si="68"/>
        <v>1178.4493524212419</v>
      </c>
      <c r="CY116" s="59">
        <f ca="1">AVERAGE(OFFSET($CX$3,0,0,'Données projet'!$E$13+1,1))-AVERAGE(OFFSET($H$3,0,0,'Données projet'!$E$13+1,1))</f>
        <v>555.15881087162279</v>
      </c>
      <c r="CZ116" s="59">
        <f t="shared" si="96"/>
        <v>668.20427590250733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43.232243185093473</v>
      </c>
      <c r="DG116" s="21">
        <f>EXP(-LN(2)/25)*DG115+(1-EXP(-LN(2)/25))/(LN(2)/25)*Calculateur!DB116*Calculateur!DD116*VLOOKUP('Données projet'!$B$13,Paramètres!$A$1:$I$89,3,0)*0.475*44/12</f>
        <v>5.785892810036585</v>
      </c>
      <c r="DH116" s="21">
        <f>EXP(-LN(2)/2)*DH115+(1-EXP(-LN(2)/2))/(LN(2)/2)*DB116*DE116*VLOOKUP('Données projet'!$B$13,Paramètres!$A$1:$I$89,3,0)*0.475*44/12</f>
        <v>2.7347712416822877E-13</v>
      </c>
      <c r="DI116" s="22">
        <f t="shared" si="69"/>
        <v>49.018135995130329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911.99999999999898</v>
      </c>
      <c r="DP116" s="17">
        <f>DO116*VLOOKUP('Données projet'!$B$14,Paramètres!$A$1:$I$89,3,0)*VLOOKUP('Données projet'!$B$14,Paramètres!$A$1:$I$89,5,0)</f>
        <v>426.81599999999946</v>
      </c>
      <c r="DQ116" s="13">
        <f t="shared" si="97"/>
        <v>97.192496986872399</v>
      </c>
      <c r="DR116" s="20">
        <f t="shared" si="70"/>
        <v>912.64813225213504</v>
      </c>
      <c r="DS116" s="59">
        <f t="shared" si="71"/>
        <v>1205.9814655854684</v>
      </c>
      <c r="DT116" s="59">
        <f ca="1">AVERAGE(OFFSET($DS$3,0,0,'Données projet'!$E$14+1,1))-AVERAGE(OFFSET($H$3,0,0,'Données projet'!$E$14+1,1))</f>
        <v>523.79180230463714</v>
      </c>
      <c r="DU116" s="59">
        <f t="shared" si="98"/>
        <v>459.3547783500515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77.31528168445054</v>
      </c>
      <c r="EB116" s="21">
        <f>EXP(-LN(2)/25)*EB115+(1-EXP(-LN(2)/25))/(LN(2)/25)*Calculateur!DW116*Calculateur!DY116*VLOOKUP('Données projet'!$B$14,Paramètres!$A$1:$I$89,3,0)*0.475*44/12</f>
        <v>5.3512186128471848</v>
      </c>
      <c r="EC116" s="21">
        <f>EXP(-LN(2)/2)*EC115+(1-EXP(-LN(2)/2))/(LN(2)/2)*DW116*DZ116*VLOOKUP('Données projet'!$B$14,Paramètres!$A$1:$I$89,3,0)*0.475*44/12</f>
        <v>3.8337085226827918E-13</v>
      </c>
      <c r="ED116" s="22">
        <f t="shared" si="72"/>
        <v>82.666500297298114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367.99999999999972</v>
      </c>
      <c r="EK116" s="17">
        <f>EJ116*VLOOKUP('Données projet'!$B$15,Paramètres!$A$1:$I$89,3,0)*VLOOKUP('Données projet'!$B$15,Paramètres!$A$1:$I$89,5,0)</f>
        <v>355.92959999999977</v>
      </c>
      <c r="EL116" s="13">
        <f t="shared" si="99"/>
        <v>82.782281100458206</v>
      </c>
      <c r="EM116" s="20">
        <f t="shared" si="73"/>
        <v>764.08985958329765</v>
      </c>
      <c r="EN116" s="59">
        <f t="shared" si="74"/>
        <v>1057.423192916631</v>
      </c>
      <c r="EO116" s="59">
        <f ca="1">AVERAGE(OFFSET($EN$3,0,0,'Données projet'!$E$15+1,1))-AVERAGE(OFFSET($H$3,0,0,'Données projet'!$E$15+1,1))</f>
        <v>484.41278617935654</v>
      </c>
      <c r="EP116" s="59">
        <f t="shared" si="100"/>
        <v>467.97490540700738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31.622553425194305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31.622553425194305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367.99999999999972</v>
      </c>
      <c r="FF116" s="17">
        <f>FE116*VLOOKUP('Données projet'!$B$16,Paramètres!$A$1:$I$89,3,0)*VLOOKUP('Données projet'!$B$16,Paramètres!$A$1:$I$89,5,0)</f>
        <v>396.11519999999967</v>
      </c>
      <c r="FG116" s="13">
        <f t="shared" si="101"/>
        <v>90.988634849704994</v>
      </c>
      <c r="FH116" s="20">
        <f t="shared" si="76"/>
        <v>848.37251236323561</v>
      </c>
      <c r="FI116" s="59">
        <f t="shared" si="77"/>
        <v>1141.705845696569</v>
      </c>
      <c r="FJ116" s="59">
        <f ca="1">AVERAGE(OFFSET($FI$3,0,0,'Données projet'!$E$16+1,1))-AVERAGE(OFFSET($H$3,0,0,'Données projet'!$E$16+1,1))</f>
        <v>534.54020133239135</v>
      </c>
      <c r="FK116" s="59">
        <f t="shared" si="102"/>
        <v>515.48696069008815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35.192841715135614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35.192841715135614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248.99999999999994</v>
      </c>
      <c r="GA116" s="17">
        <f>FZ116*VLOOKUP('Données projet'!$B$17,Paramètres!$A$1:$I$89,3,0)*VLOOKUP('Données projet'!$B$17,Paramètres!$A$1:$I$89,5,0)</f>
        <v>236.94839999999994</v>
      </c>
      <c r="GB116" s="13">
        <f t="shared" si="103"/>
        <v>57.782475694292401</v>
      </c>
      <c r="GC116" s="20">
        <f t="shared" si="79"/>
        <v>513.32294183422573</v>
      </c>
      <c r="GD116" s="59">
        <f t="shared" si="80"/>
        <v>806.65627516755899</v>
      </c>
      <c r="GE116" s="59">
        <f ca="1">AVERAGE(OFFSET($GD$3,0,0,'Données projet'!$E$17+1,1))-AVERAGE(OFFSET($H$3,0,0,'Données projet'!$E$17+1,1))</f>
        <v>455.71329051283936</v>
      </c>
      <c r="GF116" s="59">
        <f t="shared" si="104"/>
        <v>479.3743231122258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81.737983895756884</v>
      </c>
      <c r="GM116" s="21">
        <f>EXP(-LN(2)/25)*GM115+(1-EXP(-LN(2)/25))/(LN(2)/25)*Calculateur!GH116*Calculateur!GJ116*VLOOKUP('Données projet'!$B$17,Paramètres!$A$1:$I$89,3,0)*0.475*44/12</f>
        <v>0</v>
      </c>
      <c r="GN116" s="21">
        <f>EXP(-LN(2)/2)*GN115+(1-EXP(-LN(2)/2))/(LN(2)/2)*GH116*GK116*VLOOKUP('Données projet'!$B$17,Paramètres!$A$1:$I$89,3,0)*0.475*44/12</f>
        <v>0</v>
      </c>
      <c r="GO116" s="21">
        <f t="shared" si="81"/>
        <v>81.737983895756884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367.99999999999972</v>
      </c>
      <c r="GV116" s="17">
        <f>GU116*VLOOKUP('Données projet'!$B$18,Paramètres!$A$1:$I$89,3,0)*VLOOKUP('Données projet'!$B$18,Paramètres!$A$1:$I$89,5,0)</f>
        <v>298.52159999999981</v>
      </c>
      <c r="GW116" s="13">
        <f t="shared" si="105"/>
        <v>70.866444995542437</v>
      </c>
      <c r="GX116" s="20">
        <f t="shared" si="82"/>
        <v>643.35084503390271</v>
      </c>
      <c r="GY116" s="59">
        <f t="shared" si="83"/>
        <v>936.68417836723597</v>
      </c>
      <c r="GZ116" s="59">
        <f ca="1">AVERAGE(OFFSET($GY$3,0,0,'Données projet'!$E$18+1,1))-AVERAGE(OFFSET($H$3,0,0,'Données projet'!$E$18+1,1))</f>
        <v>412.59676769258488</v>
      </c>
      <c r="HA116" s="59">
        <f t="shared" si="106"/>
        <v>399.90063795152133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26.522141582421046</v>
      </c>
      <c r="HH116" s="21">
        <f>EXP(-LN(2)/25)*HH115+(1-EXP(-LN(2)/25))/(LN(2)/25)*Calculateur!HC116*Calculateur!HE116*VLOOKUP('Données projet'!$B$18,Paramètres!$A$1:$I$89,3,0)*0.475*44/12</f>
        <v>0</v>
      </c>
      <c r="HI116" s="21">
        <f>EXP(-LN(2)/2)*HI115+(1-EXP(-LN(2)/2))/(LN(2)/2)*HC116*HF116*VLOOKUP('Données projet'!$B$18,Paramètres!$A$1:$I$89,3,0)*0.475*44/12</f>
        <v>0</v>
      </c>
      <c r="HJ116" s="22">
        <f t="shared" si="84"/>
        <v>26.522141582421046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4.8</v>
      </c>
      <c r="N117" s="13">
        <f>IF('Données projet'!$A$36&gt;35,N116+M117-V116,IF(A117&lt;'Données projet'!$A$36,$K$205^A117,IF(A117='Données projet'!$A$36,'Données projet'!$B$36,N116+M117-V116)))</f>
        <v>326.19999999999993</v>
      </c>
      <c r="O117" s="13">
        <f>N117*VLOOKUP('Données projet'!$B$9,Paramètres!$A$1:$I$89,3,0)*VLOOKUP('Données projet'!$B$9,Paramètres!$A$1:$I$89,5,0)</f>
        <v>295.14575999999994</v>
      </c>
      <c r="P117" s="13">
        <f t="shared" si="87"/>
        <v>70.157864167878188</v>
      </c>
      <c r="Q117" s="20">
        <f t="shared" si="107"/>
        <v>636.237145425721</v>
      </c>
      <c r="R117" s="59">
        <f t="shared" si="55"/>
        <v>929.57047875905437</v>
      </c>
      <c r="S117" s="59">
        <f ca="1">AVERAGE(OFFSET($R$3,0,0,'Données projet'!$E$9+1,1))-AVERAGE(OFFSET($H$3,0,0,'Données projet'!$E$9+1,1))</f>
        <v>439.19854273764042</v>
      </c>
      <c r="T117" s="59">
        <f t="shared" si="88"/>
        <v>278.21741231699929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91.570582438094448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91.570582438094448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4.8</v>
      </c>
      <c r="AI117" s="13">
        <f>IF('Données projet'!$A$62&gt;35,AI116+AH117-AQ116,IF(A117&lt;'Données projet'!$A$62,$AF$205^A117,IF(A117='Données projet'!$A$62,'Données projet'!$B$62,AI116+AH117-AQ116)))</f>
        <v>326.19999999999993</v>
      </c>
      <c r="AJ117" s="13">
        <f>AI117*VLOOKUP('Données projet'!$B$10,Paramètres!$A$1:$I$89,3,0)*VLOOKUP('Données projet'!$B$10,Paramètres!$A$1:$I$89,5,0)</f>
        <v>330.76679999999999</v>
      </c>
      <c r="AK117" s="13">
        <f t="shared" si="89"/>
        <v>77.589262894669872</v>
      </c>
      <c r="AL117" s="20">
        <f t="shared" si="58"/>
        <v>711.22014287488344</v>
      </c>
      <c r="AM117" s="59">
        <f t="shared" si="59"/>
        <v>1004.5534762082168</v>
      </c>
      <c r="AN117" s="59">
        <f ca="1">AVERAGE(OFFSET($AM$3,0,0,'Données projet'!$E$10+1,1))-AVERAGE(OFFSET($H$3,0,0,'Données projet'!$E$10+1,1))</f>
        <v>487.18832528146936</v>
      </c>
      <c r="AO117" s="59">
        <f t="shared" si="90"/>
        <v>306.61893266146666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102.62220445648515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102.62220445648515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369.00000000000023</v>
      </c>
      <c r="BE117" s="13">
        <f>BD117*VLOOKUP('Données projet'!$B$11,Paramètres!$A$1:$I$89,3,0)*VLOOKUP('Données projet'!$B$11,Paramètres!$A$1:$I$89,5,0)</f>
        <v>333.87120000000021</v>
      </c>
      <c r="BF117" s="13">
        <f t="shared" si="91"/>
        <v>78.23236011137638</v>
      </c>
      <c r="BG117" s="20">
        <f t="shared" si="61"/>
        <v>717.74703386064755</v>
      </c>
      <c r="BH117" s="59">
        <f t="shared" si="62"/>
        <v>1011.0803671939809</v>
      </c>
      <c r="BI117" s="59">
        <f ca="1">AVERAGE(OFFSET($BH$3,0,0,'Données projet'!$E$11+1,1))-AVERAGE(OFFSET($H$3,0,0,'Données projet'!$E$11+1,1))</f>
        <v>436.23918637269577</v>
      </c>
      <c r="BJ117" s="59">
        <f t="shared" si="92"/>
        <v>611.43967996341894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2.0028658556884507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2.0028658556884507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224.00000000000006</v>
      </c>
      <c r="BZ117" s="13">
        <f>BY117*VLOOKUP('Données projet'!$B$12,Paramètres!$A$1:$I$89,3,0)*VLOOKUP('Données projet'!$B$12,Paramètres!$A$1:$I$89,5,0)</f>
        <v>195.68640000000008</v>
      </c>
      <c r="CA117" s="13">
        <f t="shared" si="93"/>
        <v>48.794969360985156</v>
      </c>
      <c r="CB117" s="20">
        <f t="shared" si="64"/>
        <v>425.8050516370493</v>
      </c>
      <c r="CC117" s="59">
        <f t="shared" si="65"/>
        <v>719.13838497038262</v>
      </c>
      <c r="CD117" s="59">
        <f ca="1">AVERAGE(OFFSET($CC$3,0,0,'Données projet'!$E$12+1,1))-AVERAGE(OFFSET($H$3,0,0,'Données projet'!$E$12+1,1))</f>
        <v>304.32767345253382</v>
      </c>
      <c r="CE117" s="59">
        <f t="shared" si="94"/>
        <v>427.16091343339173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21.628922941963879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21.628922941963879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739.99999999999966</v>
      </c>
      <c r="CU117" s="17">
        <f>CT117*VLOOKUP('Données projet'!$B$13,Paramètres!$A$1:$I$89,3,0)*VLOOKUP('Données projet'!$B$13,Paramètres!$A$1:$I$89,5,0)</f>
        <v>413.65999999999985</v>
      </c>
      <c r="CV117" s="13">
        <f t="shared" si="95"/>
        <v>94.540585122244352</v>
      </c>
      <c r="CW117" s="20">
        <f t="shared" si="67"/>
        <v>885.11601908790863</v>
      </c>
      <c r="CX117" s="59">
        <f t="shared" si="68"/>
        <v>1178.4493524212419</v>
      </c>
      <c r="CY117" s="59">
        <f ca="1">AVERAGE(OFFSET($CX$3,0,0,'Données projet'!$E$13+1,1))-AVERAGE(OFFSET($H$3,0,0,'Données projet'!$E$13+1,1))</f>
        <v>555.15881087162279</v>
      </c>
      <c r="CZ117" s="59">
        <f t="shared" si="96"/>
        <v>668.20427590250733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42.384485265298402</v>
      </c>
      <c r="DG117" s="21">
        <f>EXP(-LN(2)/25)*DG116+(1-EXP(-LN(2)/25))/(LN(2)/25)*Calculateur!DB117*Calculateur!DD117*VLOOKUP('Données projet'!$B$13,Paramètres!$A$1:$I$89,3,0)*0.475*44/12</f>
        <v>5.6276772668792558</v>
      </c>
      <c r="DH117" s="21">
        <f>EXP(-LN(2)/2)*DH116+(1-EXP(-LN(2)/2))/(LN(2)/2)*DB117*DE117*VLOOKUP('Données projet'!$B$13,Paramètres!$A$1:$I$89,3,0)*0.475*44/12</f>
        <v>1.9337752899875003E-13</v>
      </c>
      <c r="DI117" s="22">
        <f t="shared" si="69"/>
        <v>48.012162532177847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911.99999999999898</v>
      </c>
      <c r="DP117" s="17">
        <f>DO117*VLOOKUP('Données projet'!$B$14,Paramètres!$A$1:$I$89,3,0)*VLOOKUP('Données projet'!$B$14,Paramètres!$A$1:$I$89,5,0)</f>
        <v>426.81599999999946</v>
      </c>
      <c r="DQ117" s="13">
        <f t="shared" si="97"/>
        <v>97.192496986872399</v>
      </c>
      <c r="DR117" s="20">
        <f t="shared" si="70"/>
        <v>912.64813225213504</v>
      </c>
      <c r="DS117" s="59">
        <f t="shared" si="71"/>
        <v>1205.9814655854684</v>
      </c>
      <c r="DT117" s="59">
        <f ca="1">AVERAGE(OFFSET($DS$3,0,0,'Données projet'!$E$14+1,1))-AVERAGE(OFFSET($H$3,0,0,'Données projet'!$E$14+1,1))</f>
        <v>523.79180230463714</v>
      </c>
      <c r="DU117" s="59">
        <f t="shared" si="98"/>
        <v>459.3547783500515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75.799176168283864</v>
      </c>
      <c r="EB117" s="21">
        <f>EXP(-LN(2)/25)*EB116+(1-EXP(-LN(2)/25))/(LN(2)/25)*Calculateur!DW117*Calculateur!DY117*VLOOKUP('Données projet'!$B$14,Paramètres!$A$1:$I$89,3,0)*0.475*44/12</f>
        <v>5.204889258470522</v>
      </c>
      <c r="EC117" s="21">
        <f>EXP(-LN(2)/2)*EC116+(1-EXP(-LN(2)/2))/(LN(2)/2)*DW117*DZ117*VLOOKUP('Données projet'!$B$14,Paramètres!$A$1:$I$89,3,0)*0.475*44/12</f>
        <v>2.7108412934816632E-13</v>
      </c>
      <c r="ED117" s="22">
        <f t="shared" si="72"/>
        <v>81.00406542675465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367.99999999999972</v>
      </c>
      <c r="EK117" s="17">
        <f>EJ117*VLOOKUP('Données projet'!$B$15,Paramètres!$A$1:$I$89,3,0)*VLOOKUP('Données projet'!$B$15,Paramètres!$A$1:$I$89,5,0)</f>
        <v>355.92959999999977</v>
      </c>
      <c r="EL117" s="13">
        <f t="shared" si="99"/>
        <v>82.782281100458206</v>
      </c>
      <c r="EM117" s="20">
        <f t="shared" si="73"/>
        <v>764.08985958329765</v>
      </c>
      <c r="EN117" s="59">
        <f t="shared" si="74"/>
        <v>1057.423192916631</v>
      </c>
      <c r="EO117" s="59">
        <f ca="1">AVERAGE(OFFSET($EN$3,0,0,'Données projet'!$E$15+1,1))-AVERAGE(OFFSET($H$3,0,0,'Données projet'!$E$15+1,1))</f>
        <v>484.41278617935654</v>
      </c>
      <c r="EP117" s="59">
        <f t="shared" si="100"/>
        <v>467.97490540700738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31.002454440379317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31.002454440379317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367.99999999999972</v>
      </c>
      <c r="FF117" s="17">
        <f>FE117*VLOOKUP('Données projet'!$B$16,Paramètres!$A$1:$I$89,3,0)*VLOOKUP('Données projet'!$B$16,Paramètres!$A$1:$I$89,5,0)</f>
        <v>396.11519999999967</v>
      </c>
      <c r="FG117" s="13">
        <f t="shared" si="101"/>
        <v>90.988634849704994</v>
      </c>
      <c r="FH117" s="20">
        <f t="shared" si="76"/>
        <v>848.37251236323561</v>
      </c>
      <c r="FI117" s="59">
        <f t="shared" si="77"/>
        <v>1141.705845696569</v>
      </c>
      <c r="FJ117" s="59">
        <f ca="1">AVERAGE(OFFSET($FI$3,0,0,'Données projet'!$E$16+1,1))-AVERAGE(OFFSET($H$3,0,0,'Données projet'!$E$16+1,1))</f>
        <v>534.54020133239135</v>
      </c>
      <c r="FK117" s="59">
        <f t="shared" si="102"/>
        <v>515.48696069008815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34.502731554615707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34.502731554615707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248.99999999999994</v>
      </c>
      <c r="GA117" s="17">
        <f>FZ117*VLOOKUP('Données projet'!$B$17,Paramètres!$A$1:$I$89,3,0)*VLOOKUP('Données projet'!$B$17,Paramètres!$A$1:$I$89,5,0)</f>
        <v>236.94839999999994</v>
      </c>
      <c r="GB117" s="13">
        <f t="shared" si="103"/>
        <v>57.782475694292401</v>
      </c>
      <c r="GC117" s="20">
        <f t="shared" si="79"/>
        <v>513.32294183422573</v>
      </c>
      <c r="GD117" s="59">
        <f t="shared" si="80"/>
        <v>806.65627516755899</v>
      </c>
      <c r="GE117" s="59">
        <f ca="1">AVERAGE(OFFSET($GD$3,0,0,'Données projet'!$E$17+1,1))-AVERAGE(OFFSET($H$3,0,0,'Données projet'!$E$17+1,1))</f>
        <v>455.71329051283936</v>
      </c>
      <c r="GF117" s="59">
        <f t="shared" si="104"/>
        <v>479.3743231122258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80.135151886808472</v>
      </c>
      <c r="GM117" s="21">
        <f>EXP(-LN(2)/25)*GM116+(1-EXP(-LN(2)/25))/(LN(2)/25)*Calculateur!GH117*Calculateur!GJ117*VLOOKUP('Données projet'!$B$17,Paramètres!$A$1:$I$89,3,0)*0.475*44/12</f>
        <v>0</v>
      </c>
      <c r="GN117" s="21">
        <f>EXP(-LN(2)/2)*GN116+(1-EXP(-LN(2)/2))/(LN(2)/2)*GH117*GK117*VLOOKUP('Données projet'!$B$17,Paramètres!$A$1:$I$89,3,0)*0.475*44/12</f>
        <v>0</v>
      </c>
      <c r="GO117" s="21">
        <f t="shared" si="81"/>
        <v>80.135151886808472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367.99999999999972</v>
      </c>
      <c r="GV117" s="17">
        <f>GU117*VLOOKUP('Données projet'!$B$18,Paramètres!$A$1:$I$89,3,0)*VLOOKUP('Données projet'!$B$18,Paramètres!$A$1:$I$89,5,0)</f>
        <v>298.52159999999981</v>
      </c>
      <c r="GW117" s="13">
        <f t="shared" si="105"/>
        <v>70.866444995542437</v>
      </c>
      <c r="GX117" s="20">
        <f t="shared" si="82"/>
        <v>643.35084503390271</v>
      </c>
      <c r="GY117" s="59">
        <f t="shared" si="83"/>
        <v>936.68417836723597</v>
      </c>
      <c r="GZ117" s="59">
        <f ca="1">AVERAGE(OFFSET($GY$3,0,0,'Données projet'!$E$18+1,1))-AVERAGE(OFFSET($H$3,0,0,'Données projet'!$E$18+1,1))</f>
        <v>412.59676769258488</v>
      </c>
      <c r="HA117" s="59">
        <f t="shared" si="106"/>
        <v>399.90063795152133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26.002058562898796</v>
      </c>
      <c r="HH117" s="21">
        <f>EXP(-LN(2)/25)*HH116+(1-EXP(-LN(2)/25))/(LN(2)/25)*Calculateur!HC117*Calculateur!HE117*VLOOKUP('Données projet'!$B$18,Paramètres!$A$1:$I$89,3,0)*0.475*44/12</f>
        <v>0</v>
      </c>
      <c r="HI117" s="21">
        <f>EXP(-LN(2)/2)*HI116+(1-EXP(-LN(2)/2))/(LN(2)/2)*HC117*HF117*VLOOKUP('Données projet'!$B$18,Paramètres!$A$1:$I$89,3,0)*0.475*44/12</f>
        <v>0</v>
      </c>
      <c r="HJ117" s="22">
        <f t="shared" si="84"/>
        <v>26.002058562898796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>
        <f>VLOOKUP(A118,'Données projet'!$A$35:$I$55,2,0)</f>
        <v>331</v>
      </c>
      <c r="L118" s="12">
        <f>VLOOKUP(A118,'Données projet'!$A$35:$I$55,9,0)</f>
        <v>4.8</v>
      </c>
      <c r="M118" s="12">
        <f t="array" ref="M118">INDEX(L:L,MIN(IF(ISNUMBER(L118:L314),ROW(L118:L314),"")))</f>
        <v>4.8</v>
      </c>
      <c r="N118" s="13">
        <f>IF('Données projet'!$A$36&gt;35,N117+M118-V117,IF(A118&lt;'Données projet'!$A$36,$K$205^A118,IF(A118='Données projet'!$A$36,'Données projet'!$B$36,N117+M118-V117)))</f>
        <v>330.99999999999994</v>
      </c>
      <c r="O118" s="13">
        <f>N118*VLOOKUP('Données projet'!$B$9,Paramètres!$A$1:$I$89,3,0)*VLOOKUP('Données projet'!$B$9,Paramètres!$A$1:$I$89,5,0)</f>
        <v>299.48879999999997</v>
      </c>
      <c r="P118" s="13">
        <f t="shared" si="87"/>
        <v>71.069285685467293</v>
      </c>
      <c r="Q118" s="20">
        <f t="shared" si="107"/>
        <v>645.38866590218879</v>
      </c>
      <c r="R118" s="59">
        <f t="shared" si="55"/>
        <v>938.72199923552216</v>
      </c>
      <c r="S118" s="59">
        <f ca="1">AVERAGE(OFFSET($R$3,0,0,'Données projet'!$E$9+1,1))-AVERAGE(OFFSET($H$3,0,0,'Données projet'!$E$9+1,1))</f>
        <v>439.19854273764042</v>
      </c>
      <c r="T118" s="59">
        <f t="shared" si="88"/>
        <v>278.21741231699929</v>
      </c>
      <c r="U118" s="15">
        <f>IF(ISNA(VLOOKUP(A118,'Données projet'!$A$35:$I$55,3,0)),0,VLOOKUP(A118,'Données projet'!$A$35:$I$55,3,0))</f>
        <v>20</v>
      </c>
      <c r="V118" s="15">
        <f>IF(ISNA(VLOOKUP(A118,'Données projet'!$A$35:$I$55,4,0)),0,VLOOKUP(A118,'Données projet'!$A$35:$I$55,4,0))</f>
        <v>24</v>
      </c>
      <c r="W118" s="16">
        <f>IF(ISNA(VLOOKUP(A118,'Données projet'!$A$35:$I$55,5,0)),0%,VLOOKUP(A118,'Données projet'!$A$35:$I$55,5,0)*VLOOKUP('Données projet'!$B$9,Paramètres!$A$1:$I$89,7,0))</f>
        <v>0.43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100.09730863484631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100.09730863484631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331</v>
      </c>
      <c r="AG118" s="12">
        <f>VLOOKUP(A118,'Données projet'!$A$61:$I$81,9,0)</f>
        <v>4.8</v>
      </c>
      <c r="AH118" s="12">
        <f t="array" ref="AH118">INDEX(AG:AG,MIN(IF(ISNUMBER(AG118:AG314),ROW(AG118:AG314),"")))</f>
        <v>4.8</v>
      </c>
      <c r="AI118" s="13">
        <f>IF('Données projet'!$A$62&gt;35,AI117+AH118-AQ117,IF(A118&lt;'Données projet'!$A$62,$AF$205^A118,IF(A118='Données projet'!$A$62,'Données projet'!$B$62,AI117+AH118-AQ117)))</f>
        <v>330.99999999999994</v>
      </c>
      <c r="AJ118" s="13">
        <f>AI118*VLOOKUP('Données projet'!$B$10,Paramètres!$A$1:$I$89,3,0)*VLOOKUP('Données projet'!$B$10,Paramètres!$A$1:$I$89,5,0)</f>
        <v>335.63399999999996</v>
      </c>
      <c r="AK118" s="13">
        <f t="shared" si="89"/>
        <v>78.597225787708638</v>
      </c>
      <c r="AL118" s="20">
        <f t="shared" si="58"/>
        <v>721.45271824692588</v>
      </c>
      <c r="AM118" s="59">
        <f t="shared" si="59"/>
        <v>1014.7860515802593</v>
      </c>
      <c r="AN118" s="59">
        <f ca="1">AVERAGE(OFFSET($AM$3,0,0,'Données projet'!$E$10+1,1))-AVERAGE(OFFSET($H$3,0,0,'Données projet'!$E$10+1,1))</f>
        <v>487.18832528146936</v>
      </c>
      <c r="AO118" s="59">
        <f t="shared" si="90"/>
        <v>306.61893266146666</v>
      </c>
      <c r="AP118" s="15">
        <f>IF(ISNA(VLOOKUP(A118,'Données projet'!$A$61:$I$81,3,0)),0,VLOOKUP(A118,'Données projet'!$A$61:$I$81,3,0))</f>
        <v>20</v>
      </c>
      <c r="AQ118" s="15">
        <f>IF(ISNA(VLOOKUP(A118,'Données projet'!$A$61:$I$81,4,0)),0,VLOOKUP(A118,'Données projet'!$A$61:$I$81,4,0))</f>
        <v>24</v>
      </c>
      <c r="AR118" s="16">
        <f>IF(ISNA(VLOOKUP(A118,'Données projet'!$A$61:$I$81,5,0)),0%,VLOOKUP(A118,'Données projet'!$A$61:$I$81,5,0)*VLOOKUP('Données projet'!$B$10,Paramètres!$A$1:$I$89,7,0))</f>
        <v>0.43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112.17801829767259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112.17801829767259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369.00000000000023</v>
      </c>
      <c r="BE118" s="13">
        <f>BD118*VLOOKUP('Données projet'!$B$11,Paramètres!$A$1:$I$89,3,0)*VLOOKUP('Données projet'!$B$11,Paramètres!$A$1:$I$89,5,0)</f>
        <v>333.87120000000021</v>
      </c>
      <c r="BF118" s="13">
        <f t="shared" si="91"/>
        <v>78.23236011137638</v>
      </c>
      <c r="BG118" s="20">
        <f t="shared" si="61"/>
        <v>717.74703386064755</v>
      </c>
      <c r="BH118" s="59">
        <f t="shared" si="62"/>
        <v>1011.0803671939809</v>
      </c>
      <c r="BI118" s="59">
        <f ca="1">AVERAGE(OFFSET($BH$3,0,0,'Données projet'!$E$11+1,1))-AVERAGE(OFFSET($H$3,0,0,'Données projet'!$E$11+1,1))</f>
        <v>436.23918637269577</v>
      </c>
      <c r="BJ118" s="59">
        <f t="shared" si="92"/>
        <v>611.43967996341894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1.9635908778859463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1.9635908778859463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224.00000000000006</v>
      </c>
      <c r="BZ118" s="13">
        <f>BY118*VLOOKUP('Données projet'!$B$12,Paramètres!$A$1:$I$89,3,0)*VLOOKUP('Données projet'!$B$12,Paramètres!$A$1:$I$89,5,0)</f>
        <v>195.68640000000008</v>
      </c>
      <c r="CA118" s="13">
        <f t="shared" si="93"/>
        <v>48.794969360985156</v>
      </c>
      <c r="CB118" s="20">
        <f t="shared" si="64"/>
        <v>425.8050516370493</v>
      </c>
      <c r="CC118" s="59">
        <f t="shared" si="65"/>
        <v>719.13838497038262</v>
      </c>
      <c r="CD118" s="59">
        <f ca="1">AVERAGE(OFFSET($CC$3,0,0,'Données projet'!$E$12+1,1))-AVERAGE(OFFSET($H$3,0,0,'Données projet'!$E$12+1,1))</f>
        <v>304.32767345253382</v>
      </c>
      <c r="CE118" s="59">
        <f t="shared" si="94"/>
        <v>427.16091343339173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21.204792955412326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21.204792955412326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739.99999999999966</v>
      </c>
      <c r="CU118" s="17">
        <f>CT118*VLOOKUP('Données projet'!$B$13,Paramètres!$A$1:$I$89,3,0)*VLOOKUP('Données projet'!$B$13,Paramètres!$A$1:$I$89,5,0)</f>
        <v>413.65999999999985</v>
      </c>
      <c r="CV118" s="13">
        <f t="shared" si="95"/>
        <v>94.540585122244352</v>
      </c>
      <c r="CW118" s="20">
        <f t="shared" si="67"/>
        <v>885.11601908790863</v>
      </c>
      <c r="CX118" s="59">
        <f t="shared" si="68"/>
        <v>1178.4493524212419</v>
      </c>
      <c r="CY118" s="59">
        <f ca="1">AVERAGE(OFFSET($CX$3,0,0,'Données projet'!$E$13+1,1))-AVERAGE(OFFSET($H$3,0,0,'Données projet'!$E$13+1,1))</f>
        <v>555.15881087162279</v>
      </c>
      <c r="CZ118" s="59">
        <f t="shared" si="96"/>
        <v>668.20427590250733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41.55335136122924</v>
      </c>
      <c r="DG118" s="21">
        <f>EXP(-LN(2)/25)*DG117+(1-EXP(-LN(2)/25))/(LN(2)/25)*Calculateur!DB118*Calculateur!DD118*VLOOKUP('Données projet'!$B$13,Paramètres!$A$1:$I$89,3,0)*0.475*44/12</f>
        <v>5.4737881360697571</v>
      </c>
      <c r="DH118" s="21">
        <f>EXP(-LN(2)/2)*DH117+(1-EXP(-LN(2)/2))/(LN(2)/2)*DB118*DE118*VLOOKUP('Données projet'!$B$13,Paramètres!$A$1:$I$89,3,0)*0.475*44/12</f>
        <v>1.3673856208411438E-13</v>
      </c>
      <c r="DI118" s="22">
        <f t="shared" si="69"/>
        <v>47.027139497299132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911.99999999999898</v>
      </c>
      <c r="DP118" s="17">
        <f>DO118*VLOOKUP('Données projet'!$B$14,Paramètres!$A$1:$I$89,3,0)*VLOOKUP('Données projet'!$B$14,Paramètres!$A$1:$I$89,5,0)</f>
        <v>426.81599999999946</v>
      </c>
      <c r="DQ118" s="13">
        <f t="shared" si="97"/>
        <v>97.192496986872399</v>
      </c>
      <c r="DR118" s="20">
        <f t="shared" si="70"/>
        <v>912.64813225213504</v>
      </c>
      <c r="DS118" s="59">
        <f t="shared" si="71"/>
        <v>1205.9814655854684</v>
      </c>
      <c r="DT118" s="59">
        <f ca="1">AVERAGE(OFFSET($DS$3,0,0,'Données projet'!$E$14+1,1))-AVERAGE(OFFSET($H$3,0,0,'Données projet'!$E$14+1,1))</f>
        <v>523.79180230463714</v>
      </c>
      <c r="DU118" s="59">
        <f t="shared" si="98"/>
        <v>459.3547783500515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74.312800556556155</v>
      </c>
      <c r="EB118" s="21">
        <f>EXP(-LN(2)/25)*EB117+(1-EXP(-LN(2)/25))/(LN(2)/25)*Calculateur!DW118*Calculateur!DY118*VLOOKUP('Données projet'!$B$14,Paramètres!$A$1:$I$89,3,0)*0.475*44/12</f>
        <v>5.0625612879844155</v>
      </c>
      <c r="EC118" s="21">
        <f>EXP(-LN(2)/2)*EC117+(1-EXP(-LN(2)/2))/(LN(2)/2)*DW118*DZ118*VLOOKUP('Données projet'!$B$14,Paramètres!$A$1:$I$89,3,0)*0.475*44/12</f>
        <v>1.9168542613413959E-13</v>
      </c>
      <c r="ED118" s="22">
        <f t="shared" si="72"/>
        <v>79.375361844540762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367.99999999999972</v>
      </c>
      <c r="EK118" s="17">
        <f>EJ118*VLOOKUP('Données projet'!$B$15,Paramètres!$A$1:$I$89,3,0)*VLOOKUP('Données projet'!$B$15,Paramètres!$A$1:$I$89,5,0)</f>
        <v>355.92959999999977</v>
      </c>
      <c r="EL118" s="13">
        <f t="shared" si="99"/>
        <v>82.782281100458206</v>
      </c>
      <c r="EM118" s="20">
        <f t="shared" si="73"/>
        <v>764.08985958329765</v>
      </c>
      <c r="EN118" s="59">
        <f t="shared" si="74"/>
        <v>1057.423192916631</v>
      </c>
      <c r="EO118" s="59">
        <f ca="1">AVERAGE(OFFSET($EN$3,0,0,'Données projet'!$E$15+1,1))-AVERAGE(OFFSET($H$3,0,0,'Données projet'!$E$15+1,1))</f>
        <v>484.41278617935654</v>
      </c>
      <c r="EP118" s="59">
        <f t="shared" si="100"/>
        <v>467.97490540700738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30.394515218433515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30.394515218433515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367.99999999999972</v>
      </c>
      <c r="FF118" s="17">
        <f>FE118*VLOOKUP('Données projet'!$B$16,Paramètres!$A$1:$I$89,3,0)*VLOOKUP('Données projet'!$B$16,Paramètres!$A$1:$I$89,5,0)</f>
        <v>396.11519999999967</v>
      </c>
      <c r="FG118" s="13">
        <f t="shared" si="101"/>
        <v>90.988634849704994</v>
      </c>
      <c r="FH118" s="20">
        <f t="shared" si="76"/>
        <v>848.37251236323561</v>
      </c>
      <c r="FI118" s="59">
        <f t="shared" si="77"/>
        <v>1141.705845696569</v>
      </c>
      <c r="FJ118" s="59">
        <f ca="1">AVERAGE(OFFSET($FI$3,0,0,'Données projet'!$E$16+1,1))-AVERAGE(OFFSET($H$3,0,0,'Données projet'!$E$16+1,1))</f>
        <v>534.54020133239135</v>
      </c>
      <c r="FK118" s="59">
        <f t="shared" si="102"/>
        <v>515.48696069008815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33.826154033417964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33.826154033417964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248.99999999999994</v>
      </c>
      <c r="GA118" s="17">
        <f>FZ118*VLOOKUP('Données projet'!$B$17,Paramètres!$A$1:$I$89,3,0)*VLOOKUP('Données projet'!$B$17,Paramètres!$A$1:$I$89,5,0)</f>
        <v>236.94839999999994</v>
      </c>
      <c r="GB118" s="13">
        <f t="shared" si="103"/>
        <v>57.782475694292401</v>
      </c>
      <c r="GC118" s="20">
        <f t="shared" si="79"/>
        <v>513.32294183422573</v>
      </c>
      <c r="GD118" s="59">
        <f t="shared" si="80"/>
        <v>806.65627516755899</v>
      </c>
      <c r="GE118" s="59">
        <f ca="1">AVERAGE(OFFSET($GD$3,0,0,'Données projet'!$E$17+1,1))-AVERAGE(OFFSET($H$3,0,0,'Données projet'!$E$17+1,1))</f>
        <v>455.71329051283936</v>
      </c>
      <c r="GF118" s="59">
        <f t="shared" si="104"/>
        <v>479.3743231122258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78.563750435924547</v>
      </c>
      <c r="GM118" s="21">
        <f>EXP(-LN(2)/25)*GM117+(1-EXP(-LN(2)/25))/(LN(2)/25)*Calculateur!GH118*Calculateur!GJ118*VLOOKUP('Données projet'!$B$17,Paramètres!$A$1:$I$89,3,0)*0.475*44/12</f>
        <v>0</v>
      </c>
      <c r="GN118" s="21">
        <f>EXP(-LN(2)/2)*GN117+(1-EXP(-LN(2)/2))/(LN(2)/2)*GH118*GK118*VLOOKUP('Données projet'!$B$17,Paramètres!$A$1:$I$89,3,0)*0.475*44/12</f>
        <v>0</v>
      </c>
      <c r="GO118" s="21">
        <f t="shared" si="81"/>
        <v>78.563750435924547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367.99999999999972</v>
      </c>
      <c r="GV118" s="17">
        <f>GU118*VLOOKUP('Données projet'!$B$18,Paramètres!$A$1:$I$89,3,0)*VLOOKUP('Données projet'!$B$18,Paramètres!$A$1:$I$89,5,0)</f>
        <v>298.52159999999981</v>
      </c>
      <c r="GW118" s="13">
        <f t="shared" si="105"/>
        <v>70.866444995542437</v>
      </c>
      <c r="GX118" s="20">
        <f t="shared" si="82"/>
        <v>643.35084503390271</v>
      </c>
      <c r="GY118" s="59">
        <f t="shared" si="83"/>
        <v>936.68417836723597</v>
      </c>
      <c r="GZ118" s="59">
        <f ca="1">AVERAGE(OFFSET($GY$3,0,0,'Données projet'!$E$18+1,1))-AVERAGE(OFFSET($H$3,0,0,'Données projet'!$E$18+1,1))</f>
        <v>412.59676769258488</v>
      </c>
      <c r="HA118" s="59">
        <f t="shared" si="106"/>
        <v>399.90063795152133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25.492174054170061</v>
      </c>
      <c r="HH118" s="21">
        <f>EXP(-LN(2)/25)*HH117+(1-EXP(-LN(2)/25))/(LN(2)/25)*Calculateur!HC118*Calculateur!HE118*VLOOKUP('Données projet'!$B$18,Paramètres!$A$1:$I$89,3,0)*0.475*44/12</f>
        <v>0</v>
      </c>
      <c r="HI118" s="21">
        <f>EXP(-LN(2)/2)*HI117+(1-EXP(-LN(2)/2))/(LN(2)/2)*HC118*HF118*VLOOKUP('Données projet'!$B$18,Paramètres!$A$1:$I$89,3,0)*0.475*44/12</f>
        <v>0</v>
      </c>
      <c r="HJ118" s="22">
        <f t="shared" si="84"/>
        <v>25.492174054170061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306.99999999999994</v>
      </c>
      <c r="O119" s="13">
        <f>N119*VLOOKUP('Données projet'!$B$9,Paramètres!$A$1:$I$89,3,0)*VLOOKUP('Données projet'!$B$9,Paramètres!$A$1:$I$89,5,0)</f>
        <v>277.77359999999993</v>
      </c>
      <c r="P119" s="13">
        <f t="shared" si="87"/>
        <v>66.496288176842356</v>
      </c>
      <c r="Q119" s="20">
        <f t="shared" si="107"/>
        <v>599.60338857466706</v>
      </c>
      <c r="R119" s="59">
        <f t="shared" si="55"/>
        <v>892.93672190800044</v>
      </c>
      <c r="S119" s="59">
        <f ca="1">AVERAGE(OFFSET($R$3,0,0,'Données projet'!$E$9+1,1))-AVERAGE(OFFSET($H$3,0,0,'Données projet'!$E$9+1,1))</f>
        <v>439.19854273764042</v>
      </c>
      <c r="T119" s="59">
        <f t="shared" si="88"/>
        <v>278.21741231699929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98.134461465846726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98.134461465846726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306.99999999999994</v>
      </c>
      <c r="AJ119" s="13">
        <f>AI119*VLOOKUP('Données projet'!$B$10,Paramètres!$A$1:$I$89,3,0)*VLOOKUP('Données projet'!$B$10,Paramètres!$A$1:$I$89,5,0)</f>
        <v>311.298</v>
      </c>
      <c r="AK119" s="13">
        <f t="shared" si="89"/>
        <v>73.539838278528748</v>
      </c>
      <c r="AL119" s="20">
        <f t="shared" si="58"/>
        <v>670.25923500177089</v>
      </c>
      <c r="AM119" s="59">
        <f t="shared" si="59"/>
        <v>963.59256833510426</v>
      </c>
      <c r="AN119" s="59">
        <f ca="1">AVERAGE(OFFSET($AM$3,0,0,'Données projet'!$E$10+1,1))-AVERAGE(OFFSET($H$3,0,0,'Données projet'!$E$10+1,1))</f>
        <v>487.18832528146936</v>
      </c>
      <c r="AO119" s="59">
        <f t="shared" si="90"/>
        <v>306.61893266146666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109.9782757806903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109.9782757806903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369.00000000000023</v>
      </c>
      <c r="BE119" s="13">
        <f>BD119*VLOOKUP('Données projet'!$B$11,Paramètres!$A$1:$I$89,3,0)*VLOOKUP('Données projet'!$B$11,Paramètres!$A$1:$I$89,5,0)</f>
        <v>333.87120000000021</v>
      </c>
      <c r="BF119" s="13">
        <f t="shared" si="91"/>
        <v>78.23236011137638</v>
      </c>
      <c r="BG119" s="20">
        <f t="shared" si="61"/>
        <v>717.74703386064755</v>
      </c>
      <c r="BH119" s="59">
        <f t="shared" si="62"/>
        <v>1011.0803671939809</v>
      </c>
      <c r="BI119" s="59">
        <f ca="1">AVERAGE(OFFSET($BH$3,0,0,'Données projet'!$E$11+1,1))-AVERAGE(OFFSET($H$3,0,0,'Données projet'!$E$11+1,1))</f>
        <v>436.23918637269577</v>
      </c>
      <c r="BJ119" s="59">
        <f t="shared" si="92"/>
        <v>611.43967996341894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1.925086058442778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1.925086058442778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224.00000000000006</v>
      </c>
      <c r="BZ119" s="13">
        <f>BY119*VLOOKUP('Données projet'!$B$12,Paramètres!$A$1:$I$89,3,0)*VLOOKUP('Données projet'!$B$12,Paramètres!$A$1:$I$89,5,0)</f>
        <v>195.68640000000008</v>
      </c>
      <c r="CA119" s="13">
        <f t="shared" si="93"/>
        <v>48.794969360985156</v>
      </c>
      <c r="CB119" s="20">
        <f t="shared" si="64"/>
        <v>425.8050516370493</v>
      </c>
      <c r="CC119" s="59">
        <f t="shared" si="65"/>
        <v>719.13838497038262</v>
      </c>
      <c r="CD119" s="59">
        <f ca="1">AVERAGE(OFFSET($CC$3,0,0,'Données projet'!$E$12+1,1))-AVERAGE(OFFSET($H$3,0,0,'Données projet'!$E$12+1,1))</f>
        <v>304.32767345253382</v>
      </c>
      <c r="CE119" s="59">
        <f t="shared" si="94"/>
        <v>427.16091343339173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20.788979899203301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20.788979899203301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739.99999999999966</v>
      </c>
      <c r="CU119" s="17">
        <f>CT119*VLOOKUP('Données projet'!$B$13,Paramètres!$A$1:$I$89,3,0)*VLOOKUP('Données projet'!$B$13,Paramètres!$A$1:$I$89,5,0)</f>
        <v>413.65999999999985</v>
      </c>
      <c r="CV119" s="13">
        <f t="shared" si="95"/>
        <v>94.540585122244352</v>
      </c>
      <c r="CW119" s="20">
        <f t="shared" si="67"/>
        <v>885.11601908790863</v>
      </c>
      <c r="CX119" s="59">
        <f t="shared" si="68"/>
        <v>1178.4493524212419</v>
      </c>
      <c r="CY119" s="59">
        <f ca="1">AVERAGE(OFFSET($CX$3,0,0,'Données projet'!$E$13+1,1))-AVERAGE(OFFSET($H$3,0,0,'Données projet'!$E$13+1,1))</f>
        <v>555.15881087162279</v>
      </c>
      <c r="CZ119" s="59">
        <f t="shared" si="96"/>
        <v>668.20427590250733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40.738515486077247</v>
      </c>
      <c r="DG119" s="21">
        <f>EXP(-LN(2)/25)*DG118+(1-EXP(-LN(2)/25))/(LN(2)/25)*Calculateur!DB119*Calculateur!DD119*VLOOKUP('Données projet'!$B$13,Paramètres!$A$1:$I$89,3,0)*0.475*44/12</f>
        <v>5.3241071116349223</v>
      </c>
      <c r="DH119" s="21">
        <f>EXP(-LN(2)/2)*DH118+(1-EXP(-LN(2)/2))/(LN(2)/2)*DB119*DE119*VLOOKUP('Données projet'!$B$13,Paramètres!$A$1:$I$89,3,0)*0.475*44/12</f>
        <v>9.6688764499375015E-14</v>
      </c>
      <c r="DI119" s="22">
        <f t="shared" si="69"/>
        <v>46.06262259771227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911.99999999999898</v>
      </c>
      <c r="DP119" s="17">
        <f>DO119*VLOOKUP('Données projet'!$B$14,Paramètres!$A$1:$I$89,3,0)*VLOOKUP('Données projet'!$B$14,Paramètres!$A$1:$I$89,5,0)</f>
        <v>426.81599999999946</v>
      </c>
      <c r="DQ119" s="13">
        <f t="shared" si="97"/>
        <v>97.192496986872399</v>
      </c>
      <c r="DR119" s="20">
        <f t="shared" si="70"/>
        <v>912.64813225213504</v>
      </c>
      <c r="DS119" s="59">
        <f t="shared" si="71"/>
        <v>1205.9814655854684</v>
      </c>
      <c r="DT119" s="59">
        <f ca="1">AVERAGE(OFFSET($DS$3,0,0,'Données projet'!$E$14+1,1))-AVERAGE(OFFSET($H$3,0,0,'Données projet'!$E$14+1,1))</f>
        <v>523.79180230463714</v>
      </c>
      <c r="DU119" s="59">
        <f t="shared" si="98"/>
        <v>459.3547783500515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72.855571863974831</v>
      </c>
      <c r="EB119" s="21">
        <f>EXP(-LN(2)/25)*EB118+(1-EXP(-LN(2)/25))/(LN(2)/25)*Calculateur!DW119*Calculateur!DY119*VLOOKUP('Données projet'!$B$14,Paramètres!$A$1:$I$89,3,0)*0.475*44/12</f>
        <v>4.9241252833359539</v>
      </c>
      <c r="EC119" s="21">
        <f>EXP(-LN(2)/2)*EC118+(1-EXP(-LN(2)/2))/(LN(2)/2)*DW119*DZ119*VLOOKUP('Données projet'!$B$14,Paramètres!$A$1:$I$89,3,0)*0.475*44/12</f>
        <v>1.3554206467408316E-13</v>
      </c>
      <c r="ED119" s="22">
        <f t="shared" si="72"/>
        <v>77.779697147310927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367.99999999999972</v>
      </c>
      <c r="EK119" s="17">
        <f>EJ119*VLOOKUP('Données projet'!$B$15,Paramètres!$A$1:$I$89,3,0)*VLOOKUP('Données projet'!$B$15,Paramètres!$A$1:$I$89,5,0)</f>
        <v>355.92959999999977</v>
      </c>
      <c r="EL119" s="13">
        <f t="shared" si="99"/>
        <v>82.782281100458206</v>
      </c>
      <c r="EM119" s="20">
        <f t="shared" si="73"/>
        <v>764.08985958329765</v>
      </c>
      <c r="EN119" s="59">
        <f t="shared" si="74"/>
        <v>1057.423192916631</v>
      </c>
      <c r="EO119" s="59">
        <f ca="1">AVERAGE(OFFSET($EN$3,0,0,'Données projet'!$E$15+1,1))-AVERAGE(OFFSET($H$3,0,0,'Données projet'!$E$15+1,1))</f>
        <v>484.41278617935654</v>
      </c>
      <c r="EP119" s="59">
        <f t="shared" si="100"/>
        <v>467.97490540700738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29.798497313823759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29.798497313823759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367.99999999999972</v>
      </c>
      <c r="FF119" s="17">
        <f>FE119*VLOOKUP('Données projet'!$B$16,Paramètres!$A$1:$I$89,3,0)*VLOOKUP('Données projet'!$B$16,Paramètres!$A$1:$I$89,5,0)</f>
        <v>396.11519999999967</v>
      </c>
      <c r="FG119" s="13">
        <f t="shared" si="101"/>
        <v>90.988634849704994</v>
      </c>
      <c r="FH119" s="20">
        <f t="shared" si="76"/>
        <v>848.37251236323561</v>
      </c>
      <c r="FI119" s="59">
        <f t="shared" si="77"/>
        <v>1141.705845696569</v>
      </c>
      <c r="FJ119" s="59">
        <f ca="1">AVERAGE(OFFSET($FI$3,0,0,'Données projet'!$E$16+1,1))-AVERAGE(OFFSET($H$3,0,0,'Données projet'!$E$16+1,1))</f>
        <v>534.54020133239135</v>
      </c>
      <c r="FK119" s="59">
        <f t="shared" si="102"/>
        <v>515.48696069008815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33.162843784739366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33.162843784739366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248.99999999999994</v>
      </c>
      <c r="GA119" s="17">
        <f>FZ119*VLOOKUP('Données projet'!$B$17,Paramètres!$A$1:$I$89,3,0)*VLOOKUP('Données projet'!$B$17,Paramètres!$A$1:$I$89,5,0)</f>
        <v>236.94839999999994</v>
      </c>
      <c r="GB119" s="13">
        <f t="shared" si="103"/>
        <v>57.782475694292401</v>
      </c>
      <c r="GC119" s="20">
        <f t="shared" si="79"/>
        <v>513.32294183422573</v>
      </c>
      <c r="GD119" s="59">
        <f t="shared" si="80"/>
        <v>806.65627516755899</v>
      </c>
      <c r="GE119" s="59">
        <f ca="1">AVERAGE(OFFSET($GD$3,0,0,'Données projet'!$E$17+1,1))-AVERAGE(OFFSET($H$3,0,0,'Données projet'!$E$17+1,1))</f>
        <v>455.71329051283936</v>
      </c>
      <c r="GF119" s="59">
        <f t="shared" si="104"/>
        <v>479.3743231122258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77.023163209032205</v>
      </c>
      <c r="GM119" s="21">
        <f>EXP(-LN(2)/25)*GM118+(1-EXP(-LN(2)/25))/(LN(2)/25)*Calculateur!GH119*Calculateur!GJ119*VLOOKUP('Données projet'!$B$17,Paramètres!$A$1:$I$89,3,0)*0.475*44/12</f>
        <v>0</v>
      </c>
      <c r="GN119" s="21">
        <f>EXP(-LN(2)/2)*GN118+(1-EXP(-LN(2)/2))/(LN(2)/2)*GH119*GK119*VLOOKUP('Données projet'!$B$17,Paramètres!$A$1:$I$89,3,0)*0.475*44/12</f>
        <v>0</v>
      </c>
      <c r="GO119" s="21">
        <f t="shared" si="81"/>
        <v>77.023163209032205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367.99999999999972</v>
      </c>
      <c r="GV119" s="17">
        <f>GU119*VLOOKUP('Données projet'!$B$18,Paramètres!$A$1:$I$89,3,0)*VLOOKUP('Données projet'!$B$18,Paramètres!$A$1:$I$89,5,0)</f>
        <v>298.52159999999981</v>
      </c>
      <c r="GW119" s="13">
        <f t="shared" si="105"/>
        <v>70.866444995542437</v>
      </c>
      <c r="GX119" s="20">
        <f t="shared" si="82"/>
        <v>643.35084503390271</v>
      </c>
      <c r="GY119" s="59">
        <f t="shared" si="83"/>
        <v>936.68417836723597</v>
      </c>
      <c r="GZ119" s="59">
        <f ca="1">AVERAGE(OFFSET($GY$3,0,0,'Données projet'!$E$18+1,1))-AVERAGE(OFFSET($H$3,0,0,'Données projet'!$E$18+1,1))</f>
        <v>412.59676769258488</v>
      </c>
      <c r="HA119" s="59">
        <f t="shared" si="106"/>
        <v>399.90063795152133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24.992288069658652</v>
      </c>
      <c r="HH119" s="21">
        <f>EXP(-LN(2)/25)*HH118+(1-EXP(-LN(2)/25))/(LN(2)/25)*Calculateur!HC119*Calculateur!HE119*VLOOKUP('Données projet'!$B$18,Paramètres!$A$1:$I$89,3,0)*0.475*44/12</f>
        <v>0</v>
      </c>
      <c r="HI119" s="21">
        <f>EXP(-LN(2)/2)*HI118+(1-EXP(-LN(2)/2))/(LN(2)/2)*HC119*HF119*VLOOKUP('Données projet'!$B$18,Paramètres!$A$1:$I$89,3,0)*0.475*44/12</f>
        <v>0</v>
      </c>
      <c r="HJ119" s="22">
        <f t="shared" si="84"/>
        <v>24.992288069658652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306.99999999999994</v>
      </c>
      <c r="O120" s="13">
        <f>N120*VLOOKUP('Données projet'!$B$9,Paramètres!$A$1:$I$89,3,0)*VLOOKUP('Données projet'!$B$9,Paramètres!$A$1:$I$89,5,0)</f>
        <v>277.77359999999993</v>
      </c>
      <c r="P120" s="13">
        <f t="shared" si="87"/>
        <v>66.496288176842356</v>
      </c>
      <c r="Q120" s="20">
        <f t="shared" si="107"/>
        <v>599.60338857466706</v>
      </c>
      <c r="R120" s="59">
        <f t="shared" si="55"/>
        <v>892.93672190800044</v>
      </c>
      <c r="S120" s="59">
        <f ca="1">AVERAGE(OFFSET($R$3,0,0,'Données projet'!$E$9+1,1))-AVERAGE(OFFSET($H$3,0,0,'Données projet'!$E$9+1,1))</f>
        <v>439.19854273764042</v>
      </c>
      <c r="T120" s="59">
        <f t="shared" si="88"/>
        <v>278.21741231699929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96.210104532612661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96.210104532612661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306.99999999999994</v>
      </c>
      <c r="AJ120" s="13">
        <f>AI120*VLOOKUP('Données projet'!$B$10,Paramètres!$A$1:$I$89,3,0)*VLOOKUP('Données projet'!$B$10,Paramètres!$A$1:$I$89,5,0)</f>
        <v>311.298</v>
      </c>
      <c r="AK120" s="13">
        <f t="shared" si="89"/>
        <v>73.539838278528748</v>
      </c>
      <c r="AL120" s="20">
        <f t="shared" si="58"/>
        <v>670.25923500177089</v>
      </c>
      <c r="AM120" s="59">
        <f t="shared" si="59"/>
        <v>963.59256833510426</v>
      </c>
      <c r="AN120" s="59">
        <f ca="1">AVERAGE(OFFSET($AM$3,0,0,'Données projet'!$E$10+1,1))-AVERAGE(OFFSET($H$3,0,0,'Données projet'!$E$10+1,1))</f>
        <v>487.18832528146936</v>
      </c>
      <c r="AO120" s="59">
        <f t="shared" si="90"/>
        <v>306.61893266146666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107.82166887275558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107.82166887275558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369.00000000000023</v>
      </c>
      <c r="BE120" s="13">
        <f>BD120*VLOOKUP('Données projet'!$B$11,Paramètres!$A$1:$I$89,3,0)*VLOOKUP('Données projet'!$B$11,Paramètres!$A$1:$I$89,5,0)</f>
        <v>333.87120000000021</v>
      </c>
      <c r="BF120" s="13">
        <f t="shared" si="91"/>
        <v>78.23236011137638</v>
      </c>
      <c r="BG120" s="20">
        <f t="shared" si="61"/>
        <v>717.74703386064755</v>
      </c>
      <c r="BH120" s="59">
        <f t="shared" si="62"/>
        <v>1011.0803671939809</v>
      </c>
      <c r="BI120" s="59">
        <f ca="1">AVERAGE(OFFSET($BH$3,0,0,'Données projet'!$E$11+1,1))-AVERAGE(OFFSET($H$3,0,0,'Données projet'!$E$11+1,1))</f>
        <v>436.23918637269577</v>
      </c>
      <c r="BJ120" s="59">
        <f t="shared" si="92"/>
        <v>611.43967996341894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1.8873362950232695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1.8873362950232695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224.00000000000006</v>
      </c>
      <c r="BZ120" s="13">
        <f>BY120*VLOOKUP('Données projet'!$B$12,Paramètres!$A$1:$I$89,3,0)*VLOOKUP('Données projet'!$B$12,Paramètres!$A$1:$I$89,5,0)</f>
        <v>195.68640000000008</v>
      </c>
      <c r="CA120" s="13">
        <f t="shared" si="93"/>
        <v>48.794969360985156</v>
      </c>
      <c r="CB120" s="20">
        <f t="shared" si="64"/>
        <v>425.8050516370493</v>
      </c>
      <c r="CC120" s="59">
        <f t="shared" si="65"/>
        <v>719.13838497038262</v>
      </c>
      <c r="CD120" s="59">
        <f ca="1">AVERAGE(OFFSET($CC$3,0,0,'Données projet'!$E$12+1,1))-AVERAGE(OFFSET($H$3,0,0,'Données projet'!$E$12+1,1))</f>
        <v>304.32767345253382</v>
      </c>
      <c r="CE120" s="59">
        <f t="shared" si="94"/>
        <v>427.16091343339173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20.381320683405615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20.381320683405615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739.99999999999966</v>
      </c>
      <c r="CU120" s="17">
        <f>CT120*VLOOKUP('Données projet'!$B$13,Paramètres!$A$1:$I$89,3,0)*VLOOKUP('Données projet'!$B$13,Paramètres!$A$1:$I$89,5,0)</f>
        <v>413.65999999999985</v>
      </c>
      <c r="CV120" s="13">
        <f t="shared" si="95"/>
        <v>94.540585122244352</v>
      </c>
      <c r="CW120" s="20">
        <f t="shared" si="67"/>
        <v>885.11601908790863</v>
      </c>
      <c r="CX120" s="59">
        <f t="shared" si="68"/>
        <v>1178.4493524212419</v>
      </c>
      <c r="CY120" s="59">
        <f ca="1">AVERAGE(OFFSET($CX$3,0,0,'Données projet'!$E$13+1,1))-AVERAGE(OFFSET($H$3,0,0,'Données projet'!$E$13+1,1))</f>
        <v>555.15881087162279</v>
      </c>
      <c r="CZ120" s="59">
        <f t="shared" si="96"/>
        <v>668.20427590250733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39.939658045436175</v>
      </c>
      <c r="DG120" s="21">
        <f>EXP(-LN(2)/25)*DG119+(1-EXP(-LN(2)/25))/(LN(2)/25)*Calculateur!DB120*Calculateur!DD120*VLOOKUP('Données projet'!$B$13,Paramètres!$A$1:$I$89,3,0)*0.475*44/12</f>
        <v>5.1785191226846408</v>
      </c>
      <c r="DH120" s="21">
        <f>EXP(-LN(2)/2)*DH119+(1-EXP(-LN(2)/2))/(LN(2)/2)*DB120*DE120*VLOOKUP('Données projet'!$B$13,Paramètres!$A$1:$I$89,3,0)*0.475*44/12</f>
        <v>6.8369281042057191E-14</v>
      </c>
      <c r="DI120" s="22">
        <f t="shared" si="69"/>
        <v>45.118177168120887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911.99999999999898</v>
      </c>
      <c r="DP120" s="17">
        <f>DO120*VLOOKUP('Données projet'!$B$14,Paramètres!$A$1:$I$89,3,0)*VLOOKUP('Données projet'!$B$14,Paramètres!$A$1:$I$89,5,0)</f>
        <v>426.81599999999946</v>
      </c>
      <c r="DQ120" s="13">
        <f t="shared" si="97"/>
        <v>97.192496986872399</v>
      </c>
      <c r="DR120" s="20">
        <f t="shared" si="70"/>
        <v>912.64813225213504</v>
      </c>
      <c r="DS120" s="59">
        <f t="shared" si="71"/>
        <v>1205.9814655854684</v>
      </c>
      <c r="DT120" s="59">
        <f ca="1">AVERAGE(OFFSET($DS$3,0,0,'Données projet'!$E$14+1,1))-AVERAGE(OFFSET($H$3,0,0,'Données projet'!$E$14+1,1))</f>
        <v>523.79180230463714</v>
      </c>
      <c r="DU120" s="59">
        <f t="shared" si="98"/>
        <v>459.3547783500515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71.426918537233277</v>
      </c>
      <c r="EB120" s="21">
        <f>EXP(-LN(2)/25)*EB119+(1-EXP(-LN(2)/25))/(LN(2)/25)*Calculateur!DW120*Calculateur!DY120*VLOOKUP('Données projet'!$B$14,Paramètres!$A$1:$I$89,3,0)*0.475*44/12</f>
        <v>4.7894748185146376</v>
      </c>
      <c r="EC120" s="21">
        <f>EXP(-LN(2)/2)*EC119+(1-EXP(-LN(2)/2))/(LN(2)/2)*DW120*DZ120*VLOOKUP('Données projet'!$B$14,Paramètres!$A$1:$I$89,3,0)*0.475*44/12</f>
        <v>9.5842713067069796E-14</v>
      </c>
      <c r="ED120" s="22">
        <f t="shared" si="72"/>
        <v>76.216393355748011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367.99999999999972</v>
      </c>
      <c r="EK120" s="17">
        <f>EJ120*VLOOKUP('Données projet'!$B$15,Paramètres!$A$1:$I$89,3,0)*VLOOKUP('Données projet'!$B$15,Paramètres!$A$1:$I$89,5,0)</f>
        <v>355.92959999999977</v>
      </c>
      <c r="EL120" s="13">
        <f t="shared" si="99"/>
        <v>82.782281100458206</v>
      </c>
      <c r="EM120" s="20">
        <f t="shared" si="73"/>
        <v>764.08985958329765</v>
      </c>
      <c r="EN120" s="59">
        <f t="shared" si="74"/>
        <v>1057.423192916631</v>
      </c>
      <c r="EO120" s="59">
        <f ca="1">AVERAGE(OFFSET($EN$3,0,0,'Données projet'!$E$15+1,1))-AVERAGE(OFFSET($H$3,0,0,'Données projet'!$E$15+1,1))</f>
        <v>484.41278617935654</v>
      </c>
      <c r="EP120" s="59">
        <f t="shared" si="100"/>
        <v>467.97490540700738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29.214166956788375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29.214166956788375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367.99999999999972</v>
      </c>
      <c r="FF120" s="17">
        <f>FE120*VLOOKUP('Données projet'!$B$16,Paramètres!$A$1:$I$89,3,0)*VLOOKUP('Données projet'!$B$16,Paramètres!$A$1:$I$89,5,0)</f>
        <v>396.11519999999967</v>
      </c>
      <c r="FG120" s="13">
        <f t="shared" si="101"/>
        <v>90.988634849704994</v>
      </c>
      <c r="FH120" s="20">
        <f t="shared" si="76"/>
        <v>848.37251236323561</v>
      </c>
      <c r="FI120" s="59">
        <f t="shared" si="77"/>
        <v>1141.705845696569</v>
      </c>
      <c r="FJ120" s="59">
        <f ca="1">AVERAGE(OFFSET($FI$3,0,0,'Données projet'!$E$16+1,1))-AVERAGE(OFFSET($H$3,0,0,'Données projet'!$E$16+1,1))</f>
        <v>534.54020133239135</v>
      </c>
      <c r="FK120" s="59">
        <f t="shared" si="102"/>
        <v>515.48696069008815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32.512540645458053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32.512540645458053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248.99999999999994</v>
      </c>
      <c r="GA120" s="17">
        <f>FZ120*VLOOKUP('Données projet'!$B$17,Paramètres!$A$1:$I$89,3,0)*VLOOKUP('Données projet'!$B$17,Paramètres!$A$1:$I$89,5,0)</f>
        <v>236.94839999999994</v>
      </c>
      <c r="GB120" s="13">
        <f t="shared" si="103"/>
        <v>57.782475694292401</v>
      </c>
      <c r="GC120" s="20">
        <f t="shared" si="79"/>
        <v>513.32294183422573</v>
      </c>
      <c r="GD120" s="59">
        <f t="shared" si="80"/>
        <v>806.65627516755899</v>
      </c>
      <c r="GE120" s="59">
        <f ca="1">AVERAGE(OFFSET($GD$3,0,0,'Données projet'!$E$17+1,1))-AVERAGE(OFFSET($H$3,0,0,'Données projet'!$E$17+1,1))</f>
        <v>455.71329051283936</v>
      </c>
      <c r="GF120" s="59">
        <f t="shared" si="104"/>
        <v>479.3743231122258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75.512785957993799</v>
      </c>
      <c r="GM120" s="21">
        <f>EXP(-LN(2)/25)*GM119+(1-EXP(-LN(2)/25))/(LN(2)/25)*Calculateur!GH120*Calculateur!GJ120*VLOOKUP('Données projet'!$B$17,Paramètres!$A$1:$I$89,3,0)*0.475*44/12</f>
        <v>0</v>
      </c>
      <c r="GN120" s="21">
        <f>EXP(-LN(2)/2)*GN119+(1-EXP(-LN(2)/2))/(LN(2)/2)*GH120*GK120*VLOOKUP('Données projet'!$B$17,Paramètres!$A$1:$I$89,3,0)*0.475*44/12</f>
        <v>0</v>
      </c>
      <c r="GO120" s="21">
        <f t="shared" si="81"/>
        <v>75.512785957993799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367.99999999999972</v>
      </c>
      <c r="GV120" s="17">
        <f>GU120*VLOOKUP('Données projet'!$B$18,Paramètres!$A$1:$I$89,3,0)*VLOOKUP('Données projet'!$B$18,Paramètres!$A$1:$I$89,5,0)</f>
        <v>298.52159999999981</v>
      </c>
      <c r="GW120" s="13">
        <f t="shared" si="105"/>
        <v>70.866444995542437</v>
      </c>
      <c r="GX120" s="20">
        <f t="shared" si="82"/>
        <v>643.35084503390271</v>
      </c>
      <c r="GY120" s="59">
        <f t="shared" si="83"/>
        <v>936.68417836723597</v>
      </c>
      <c r="GZ120" s="59">
        <f ca="1">AVERAGE(OFFSET($GY$3,0,0,'Données projet'!$E$18+1,1))-AVERAGE(OFFSET($H$3,0,0,'Données projet'!$E$18+1,1))</f>
        <v>412.59676769258488</v>
      </c>
      <c r="HA120" s="59">
        <f t="shared" si="106"/>
        <v>399.90063795152133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24.50220454440317</v>
      </c>
      <c r="HH120" s="21">
        <f>EXP(-LN(2)/25)*HH119+(1-EXP(-LN(2)/25))/(LN(2)/25)*Calculateur!HC120*Calculateur!HE120*VLOOKUP('Données projet'!$B$18,Paramètres!$A$1:$I$89,3,0)*0.475*44/12</f>
        <v>0</v>
      </c>
      <c r="HI120" s="21">
        <f>EXP(-LN(2)/2)*HI119+(1-EXP(-LN(2)/2))/(LN(2)/2)*HC120*HF120*VLOOKUP('Données projet'!$B$18,Paramètres!$A$1:$I$89,3,0)*0.475*44/12</f>
        <v>0</v>
      </c>
      <c r="HJ120" s="22">
        <f t="shared" si="84"/>
        <v>24.50220454440317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306.99999999999994</v>
      </c>
      <c r="O121" s="13">
        <f>N121*VLOOKUP('Données projet'!$B$9,Paramètres!$A$1:$I$89,3,0)*VLOOKUP('Données projet'!$B$9,Paramètres!$A$1:$I$89,5,0)</f>
        <v>277.77359999999993</v>
      </c>
      <c r="P121" s="13">
        <f t="shared" si="87"/>
        <v>66.496288176842356</v>
      </c>
      <c r="Q121" s="20">
        <f t="shared" si="107"/>
        <v>599.60338857466706</v>
      </c>
      <c r="R121" s="59">
        <f t="shared" si="55"/>
        <v>892.93672190800044</v>
      </c>
      <c r="S121" s="59">
        <f ca="1">AVERAGE(OFFSET($R$3,0,0,'Données projet'!$E$9+1,1))-AVERAGE(OFFSET($H$3,0,0,'Données projet'!$E$9+1,1))</f>
        <v>439.19854273764042</v>
      </c>
      <c r="T121" s="59">
        <f t="shared" si="88"/>
        <v>278.21741231699929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94.323483065097491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94.323483065097491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306.99999999999994</v>
      </c>
      <c r="AJ121" s="13">
        <f>AI121*VLOOKUP('Données projet'!$B$10,Paramètres!$A$1:$I$89,3,0)*VLOOKUP('Données projet'!$B$10,Paramètres!$A$1:$I$89,5,0)</f>
        <v>311.298</v>
      </c>
      <c r="AK121" s="13">
        <f t="shared" si="89"/>
        <v>73.539838278528748</v>
      </c>
      <c r="AL121" s="20">
        <f t="shared" si="58"/>
        <v>670.25923500177089</v>
      </c>
      <c r="AM121" s="59">
        <f t="shared" si="59"/>
        <v>963.59256833510426</v>
      </c>
      <c r="AN121" s="59">
        <f ca="1">AVERAGE(OFFSET($AM$3,0,0,'Données projet'!$E$10+1,1))-AVERAGE(OFFSET($H$3,0,0,'Données projet'!$E$10+1,1))</f>
        <v>487.18832528146936</v>
      </c>
      <c r="AO121" s="59">
        <f t="shared" si="90"/>
        <v>306.61893266146666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105.70735171088513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105.70735171088513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369.00000000000023</v>
      </c>
      <c r="BE121" s="13">
        <f>BD121*VLOOKUP('Données projet'!$B$11,Paramètres!$A$1:$I$89,3,0)*VLOOKUP('Données projet'!$B$11,Paramètres!$A$1:$I$89,5,0)</f>
        <v>333.87120000000021</v>
      </c>
      <c r="BF121" s="13">
        <f t="shared" si="91"/>
        <v>78.23236011137638</v>
      </c>
      <c r="BG121" s="20">
        <f t="shared" si="61"/>
        <v>717.74703386064755</v>
      </c>
      <c r="BH121" s="59">
        <f t="shared" si="62"/>
        <v>1011.0803671939809</v>
      </c>
      <c r="BI121" s="59">
        <f ca="1">AVERAGE(OFFSET($BH$3,0,0,'Données projet'!$E$11+1,1))-AVERAGE(OFFSET($H$3,0,0,'Données projet'!$E$11+1,1))</f>
        <v>436.23918637269577</v>
      </c>
      <c r="BJ121" s="59">
        <f t="shared" si="92"/>
        <v>611.43967996341894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1.8503267814393354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1.8503267814393354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224.00000000000006</v>
      </c>
      <c r="BZ121" s="13">
        <f>BY121*VLOOKUP('Données projet'!$B$12,Paramètres!$A$1:$I$89,3,0)*VLOOKUP('Données projet'!$B$12,Paramètres!$A$1:$I$89,5,0)</f>
        <v>195.68640000000008</v>
      </c>
      <c r="CA121" s="13">
        <f t="shared" si="93"/>
        <v>48.794969360985156</v>
      </c>
      <c r="CB121" s="20">
        <f t="shared" si="64"/>
        <v>425.8050516370493</v>
      </c>
      <c r="CC121" s="59">
        <f t="shared" si="65"/>
        <v>719.13838497038262</v>
      </c>
      <c r="CD121" s="59">
        <f ca="1">AVERAGE(OFFSET($CC$3,0,0,'Données projet'!$E$12+1,1))-AVERAGE(OFFSET($H$3,0,0,'Données projet'!$E$12+1,1))</f>
        <v>304.32767345253382</v>
      </c>
      <c r="CE121" s="59">
        <f t="shared" si="94"/>
        <v>427.16091343339173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19.98165541618215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19.98165541618215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739.99999999999966</v>
      </c>
      <c r="CU121" s="17">
        <f>CT121*VLOOKUP('Données projet'!$B$13,Paramètres!$A$1:$I$89,3,0)*VLOOKUP('Données projet'!$B$13,Paramètres!$A$1:$I$89,5,0)</f>
        <v>413.65999999999985</v>
      </c>
      <c r="CV121" s="13">
        <f t="shared" si="95"/>
        <v>94.540585122244352</v>
      </c>
      <c r="CW121" s="20">
        <f t="shared" si="67"/>
        <v>885.11601908790863</v>
      </c>
      <c r="CX121" s="59">
        <f t="shared" si="68"/>
        <v>1178.4493524212419</v>
      </c>
      <c r="CY121" s="59">
        <f ca="1">AVERAGE(OFFSET($CX$3,0,0,'Données projet'!$E$13+1,1))-AVERAGE(OFFSET($H$3,0,0,'Données projet'!$E$13+1,1))</f>
        <v>555.15881087162279</v>
      </c>
      <c r="CZ121" s="59">
        <f t="shared" si="96"/>
        <v>668.20427590250733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39.156465711951149</v>
      </c>
      <c r="DG121" s="21">
        <f>EXP(-LN(2)/25)*DG120+(1-EXP(-LN(2)/25))/(LN(2)/25)*Calculateur!DB121*Calculateur!DD121*VLOOKUP('Données projet'!$B$13,Paramètres!$A$1:$I$89,3,0)*0.475*44/12</f>
        <v>5.0369122449483443</v>
      </c>
      <c r="DH121" s="21">
        <f>EXP(-LN(2)/2)*DH120+(1-EXP(-LN(2)/2))/(LN(2)/2)*DB121*DE121*VLOOKUP('Données projet'!$B$13,Paramètres!$A$1:$I$89,3,0)*0.475*44/12</f>
        <v>4.8344382249687507E-14</v>
      </c>
      <c r="DI121" s="22">
        <f t="shared" si="69"/>
        <v>44.193377956899546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911.99999999999898</v>
      </c>
      <c r="DP121" s="17">
        <f>DO121*VLOOKUP('Données projet'!$B$14,Paramètres!$A$1:$I$89,3,0)*VLOOKUP('Données projet'!$B$14,Paramètres!$A$1:$I$89,5,0)</f>
        <v>426.81599999999946</v>
      </c>
      <c r="DQ121" s="13">
        <f t="shared" si="97"/>
        <v>97.192496986872399</v>
      </c>
      <c r="DR121" s="20">
        <f t="shared" si="70"/>
        <v>912.64813225213504</v>
      </c>
      <c r="DS121" s="59">
        <f t="shared" si="71"/>
        <v>1205.9814655854684</v>
      </c>
      <c r="DT121" s="59">
        <f ca="1">AVERAGE(OFFSET($DS$3,0,0,'Données projet'!$E$14+1,1))-AVERAGE(OFFSET($H$3,0,0,'Données projet'!$E$14+1,1))</f>
        <v>523.79180230463714</v>
      </c>
      <c r="DU121" s="59">
        <f t="shared" si="98"/>
        <v>459.3547783500515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70.026280230836647</v>
      </c>
      <c r="EB121" s="21">
        <f>EXP(-LN(2)/25)*EB120+(1-EXP(-LN(2)/25))/(LN(2)/25)*Calculateur!DW121*Calculateur!DY121*VLOOKUP('Données projet'!$B$14,Paramètres!$A$1:$I$89,3,0)*0.475*44/12</f>
        <v>4.6585063777348203</v>
      </c>
      <c r="EC121" s="21">
        <f>EXP(-LN(2)/2)*EC120+(1-EXP(-LN(2)/2))/(LN(2)/2)*DW121*DZ121*VLOOKUP('Données projet'!$B$14,Paramètres!$A$1:$I$89,3,0)*0.475*44/12</f>
        <v>6.7771032337041581E-14</v>
      </c>
      <c r="ED121" s="22">
        <f t="shared" si="72"/>
        <v>74.684786608571542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367.99999999999972</v>
      </c>
      <c r="EK121" s="17">
        <f>EJ121*VLOOKUP('Données projet'!$B$15,Paramètres!$A$1:$I$89,3,0)*VLOOKUP('Données projet'!$B$15,Paramètres!$A$1:$I$89,5,0)</f>
        <v>355.92959999999977</v>
      </c>
      <c r="EL121" s="13">
        <f t="shared" si="99"/>
        <v>82.782281100458206</v>
      </c>
      <c r="EM121" s="20">
        <f t="shared" si="73"/>
        <v>764.08985958329765</v>
      </c>
      <c r="EN121" s="59">
        <f t="shared" si="74"/>
        <v>1057.423192916631</v>
      </c>
      <c r="EO121" s="59">
        <f ca="1">AVERAGE(OFFSET($EN$3,0,0,'Données projet'!$E$15+1,1))-AVERAGE(OFFSET($H$3,0,0,'Données projet'!$E$15+1,1))</f>
        <v>484.41278617935654</v>
      </c>
      <c r="EP121" s="59">
        <f t="shared" si="100"/>
        <v>467.97490540700738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28.641294961648132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28.641294961648132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367.99999999999972</v>
      </c>
      <c r="FF121" s="17">
        <f>FE121*VLOOKUP('Données projet'!$B$16,Paramètres!$A$1:$I$89,3,0)*VLOOKUP('Données projet'!$B$16,Paramètres!$A$1:$I$89,5,0)</f>
        <v>396.11519999999967</v>
      </c>
      <c r="FG121" s="13">
        <f t="shared" si="101"/>
        <v>90.988634849704994</v>
      </c>
      <c r="FH121" s="20">
        <f t="shared" si="76"/>
        <v>848.37251236323561</v>
      </c>
      <c r="FI121" s="59">
        <f t="shared" si="77"/>
        <v>1141.705845696569</v>
      </c>
      <c r="FJ121" s="59">
        <f ca="1">AVERAGE(OFFSET($FI$3,0,0,'Données projet'!$E$16+1,1))-AVERAGE(OFFSET($H$3,0,0,'Données projet'!$E$16+1,1))</f>
        <v>534.54020133239135</v>
      </c>
      <c r="FK121" s="59">
        <f t="shared" si="102"/>
        <v>515.48696069008815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31.874989554092295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31.874989554092295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248.99999999999994</v>
      </c>
      <c r="GA121" s="17">
        <f>FZ121*VLOOKUP('Données projet'!$B$17,Paramètres!$A$1:$I$89,3,0)*VLOOKUP('Données projet'!$B$17,Paramètres!$A$1:$I$89,5,0)</f>
        <v>236.94839999999994</v>
      </c>
      <c r="GB121" s="13">
        <f t="shared" si="103"/>
        <v>57.782475694292401</v>
      </c>
      <c r="GC121" s="20">
        <f t="shared" si="79"/>
        <v>513.32294183422573</v>
      </c>
      <c r="GD121" s="59">
        <f t="shared" si="80"/>
        <v>806.65627516755899</v>
      </c>
      <c r="GE121" s="59">
        <f ca="1">AVERAGE(OFFSET($GD$3,0,0,'Données projet'!$E$17+1,1))-AVERAGE(OFFSET($H$3,0,0,'Données projet'!$E$17+1,1))</f>
        <v>455.71329051283936</v>
      </c>
      <c r="GF121" s="59">
        <f t="shared" si="104"/>
        <v>479.3743231122258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74.032026283609099</v>
      </c>
      <c r="GM121" s="21">
        <f>EXP(-LN(2)/25)*GM120+(1-EXP(-LN(2)/25))/(LN(2)/25)*Calculateur!GH121*Calculateur!GJ121*VLOOKUP('Données projet'!$B$17,Paramètres!$A$1:$I$89,3,0)*0.475*44/12</f>
        <v>0</v>
      </c>
      <c r="GN121" s="21">
        <f>EXP(-LN(2)/2)*GN120+(1-EXP(-LN(2)/2))/(LN(2)/2)*GH121*GK121*VLOOKUP('Données projet'!$B$17,Paramètres!$A$1:$I$89,3,0)*0.475*44/12</f>
        <v>0</v>
      </c>
      <c r="GO121" s="21">
        <f t="shared" si="81"/>
        <v>74.032026283609099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367.99999999999972</v>
      </c>
      <c r="GV121" s="17">
        <f>GU121*VLOOKUP('Données projet'!$B$18,Paramètres!$A$1:$I$89,3,0)*VLOOKUP('Données projet'!$B$18,Paramètres!$A$1:$I$89,5,0)</f>
        <v>298.52159999999981</v>
      </c>
      <c r="GW121" s="13">
        <f t="shared" si="105"/>
        <v>70.866444995542437</v>
      </c>
      <c r="GX121" s="20">
        <f t="shared" si="82"/>
        <v>643.35084503390271</v>
      </c>
      <c r="GY121" s="59">
        <f t="shared" si="83"/>
        <v>936.68417836723597</v>
      </c>
      <c r="GZ121" s="59">
        <f ca="1">AVERAGE(OFFSET($GY$3,0,0,'Données projet'!$E$18+1,1))-AVERAGE(OFFSET($H$3,0,0,'Données projet'!$E$18+1,1))</f>
        <v>412.59676769258488</v>
      </c>
      <c r="HA121" s="59">
        <f t="shared" si="106"/>
        <v>399.90063795152133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24.021731258156514</v>
      </c>
      <c r="HH121" s="21">
        <f>EXP(-LN(2)/25)*HH120+(1-EXP(-LN(2)/25))/(LN(2)/25)*Calculateur!HC121*Calculateur!HE121*VLOOKUP('Données projet'!$B$18,Paramètres!$A$1:$I$89,3,0)*0.475*44/12</f>
        <v>0</v>
      </c>
      <c r="HI121" s="21">
        <f>EXP(-LN(2)/2)*HI120+(1-EXP(-LN(2)/2))/(LN(2)/2)*HC121*HF121*VLOOKUP('Données projet'!$B$18,Paramètres!$A$1:$I$89,3,0)*0.475*44/12</f>
        <v>0</v>
      </c>
      <c r="HJ121" s="22">
        <f t="shared" si="84"/>
        <v>24.021731258156514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306.99999999999994</v>
      </c>
      <c r="O122" s="13">
        <f>N122*VLOOKUP('Données projet'!$B$9,Paramètres!$A$1:$I$89,3,0)*VLOOKUP('Données projet'!$B$9,Paramètres!$A$1:$I$89,5,0)</f>
        <v>277.77359999999993</v>
      </c>
      <c r="P122" s="13">
        <f t="shared" si="87"/>
        <v>66.496288176842356</v>
      </c>
      <c r="Q122" s="20">
        <f t="shared" si="107"/>
        <v>599.60338857466706</v>
      </c>
      <c r="R122" s="59">
        <f t="shared" si="55"/>
        <v>892.93672190800044</v>
      </c>
      <c r="S122" s="59">
        <f ca="1">AVERAGE(OFFSET($R$3,0,0,'Données projet'!$E$9+1,1))-AVERAGE(OFFSET($H$3,0,0,'Données projet'!$E$9+1,1))</f>
        <v>439.19854273764042</v>
      </c>
      <c r="T122" s="59">
        <f t="shared" si="88"/>
        <v>278.21741231699929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92.473857093834823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92.473857093834823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306.99999999999994</v>
      </c>
      <c r="AJ122" s="13">
        <f>AI122*VLOOKUP('Données projet'!$B$10,Paramètres!$A$1:$I$89,3,0)*VLOOKUP('Données projet'!$B$10,Paramètres!$A$1:$I$89,5,0)</f>
        <v>311.298</v>
      </c>
      <c r="AK122" s="13">
        <f t="shared" si="89"/>
        <v>73.539838278528748</v>
      </c>
      <c r="AL122" s="20">
        <f t="shared" si="58"/>
        <v>670.25923500177089</v>
      </c>
      <c r="AM122" s="59">
        <f t="shared" si="59"/>
        <v>963.59256833510426</v>
      </c>
      <c r="AN122" s="59">
        <f ca="1">AVERAGE(OFFSET($AM$3,0,0,'Données projet'!$E$10+1,1))-AVERAGE(OFFSET($H$3,0,0,'Données projet'!$E$10+1,1))</f>
        <v>487.18832528146936</v>
      </c>
      <c r="AO122" s="59">
        <f t="shared" si="90"/>
        <v>306.61893266146666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103.63449501895283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103.63449501895283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369.00000000000023</v>
      </c>
      <c r="BE122" s="13">
        <f>BD122*VLOOKUP('Données projet'!$B$11,Paramètres!$A$1:$I$89,3,0)*VLOOKUP('Données projet'!$B$11,Paramètres!$A$1:$I$89,5,0)</f>
        <v>333.87120000000021</v>
      </c>
      <c r="BF122" s="13">
        <f t="shared" si="91"/>
        <v>78.23236011137638</v>
      </c>
      <c r="BG122" s="20">
        <f t="shared" si="61"/>
        <v>717.74703386064755</v>
      </c>
      <c r="BH122" s="59">
        <f t="shared" si="62"/>
        <v>1011.0803671939809</v>
      </c>
      <c r="BI122" s="59">
        <f ca="1">AVERAGE(OFFSET($BH$3,0,0,'Données projet'!$E$11+1,1))-AVERAGE(OFFSET($H$3,0,0,'Données projet'!$E$11+1,1))</f>
        <v>436.23918637269577</v>
      </c>
      <c r="BJ122" s="59">
        <f t="shared" si="92"/>
        <v>611.43967996341894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1.8140430018432079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1.8140430018432079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224.00000000000006</v>
      </c>
      <c r="BZ122" s="13">
        <f>BY122*VLOOKUP('Données projet'!$B$12,Paramètres!$A$1:$I$89,3,0)*VLOOKUP('Données projet'!$B$12,Paramètres!$A$1:$I$89,5,0)</f>
        <v>195.68640000000008</v>
      </c>
      <c r="CA122" s="13">
        <f t="shared" si="93"/>
        <v>48.794969360985156</v>
      </c>
      <c r="CB122" s="20">
        <f t="shared" si="64"/>
        <v>425.8050516370493</v>
      </c>
      <c r="CC122" s="59">
        <f t="shared" si="65"/>
        <v>719.13838497038262</v>
      </c>
      <c r="CD122" s="59">
        <f ca="1">AVERAGE(OFFSET($CC$3,0,0,'Données projet'!$E$12+1,1))-AVERAGE(OFFSET($H$3,0,0,'Données projet'!$E$12+1,1))</f>
        <v>304.32767345253382</v>
      </c>
      <c r="CE122" s="59">
        <f t="shared" si="94"/>
        <v>427.16091343339173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19.589827341077196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19.589827341077196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739.99999999999966</v>
      </c>
      <c r="CU122" s="17">
        <f>CT122*VLOOKUP('Données projet'!$B$13,Paramètres!$A$1:$I$89,3,0)*VLOOKUP('Données projet'!$B$13,Paramètres!$A$1:$I$89,5,0)</f>
        <v>413.65999999999985</v>
      </c>
      <c r="CV122" s="13">
        <f t="shared" si="95"/>
        <v>94.540585122244352</v>
      </c>
      <c r="CW122" s="20">
        <f t="shared" si="67"/>
        <v>885.11601908790863</v>
      </c>
      <c r="CX122" s="59">
        <f t="shared" si="68"/>
        <v>1178.4493524212419</v>
      </c>
      <c r="CY122" s="59">
        <f ca="1">AVERAGE(OFFSET($CX$3,0,0,'Données projet'!$E$13+1,1))-AVERAGE(OFFSET($H$3,0,0,'Données projet'!$E$13+1,1))</f>
        <v>555.15881087162279</v>
      </c>
      <c r="CZ122" s="59">
        <f t="shared" si="96"/>
        <v>668.20427590250733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38.388631302425615</v>
      </c>
      <c r="DG122" s="21">
        <f>EXP(-LN(2)/25)*DG121+(1-EXP(-LN(2)/25))/(LN(2)/25)*Calculateur!DB122*Calculateur!DD122*VLOOKUP('Données projet'!$B$13,Paramètres!$A$1:$I$89,3,0)*0.475*44/12</f>
        <v>4.8991776147305286</v>
      </c>
      <c r="DH122" s="21">
        <f>EXP(-LN(2)/2)*DH121+(1-EXP(-LN(2)/2))/(LN(2)/2)*DB122*DE122*VLOOKUP('Données projet'!$B$13,Paramètres!$A$1:$I$89,3,0)*0.475*44/12</f>
        <v>3.4184640521028596E-14</v>
      </c>
      <c r="DI122" s="22">
        <f t="shared" si="69"/>
        <v>43.287808917156177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911.99999999999898</v>
      </c>
      <c r="DP122" s="17">
        <f>DO122*VLOOKUP('Données projet'!$B$14,Paramètres!$A$1:$I$89,3,0)*VLOOKUP('Données projet'!$B$14,Paramètres!$A$1:$I$89,5,0)</f>
        <v>426.81599999999946</v>
      </c>
      <c r="DQ122" s="13">
        <f t="shared" si="97"/>
        <v>97.192496986872399</v>
      </c>
      <c r="DR122" s="20">
        <f t="shared" si="70"/>
        <v>912.64813225213504</v>
      </c>
      <c r="DS122" s="59">
        <f t="shared" si="71"/>
        <v>1205.9814655854684</v>
      </c>
      <c r="DT122" s="59">
        <f ca="1">AVERAGE(OFFSET($DS$3,0,0,'Données projet'!$E$14+1,1))-AVERAGE(OFFSET($H$3,0,0,'Données projet'!$E$14+1,1))</f>
        <v>523.79180230463714</v>
      </c>
      <c r="DU122" s="59">
        <f t="shared" si="98"/>
        <v>459.3547783500515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68.653107587323447</v>
      </c>
      <c r="EB122" s="21">
        <f>EXP(-LN(2)/25)*EB121+(1-EXP(-LN(2)/25))/(LN(2)/25)*Calculateur!DW122*Calculateur!DY122*VLOOKUP('Données projet'!$B$14,Paramètres!$A$1:$I$89,3,0)*0.475*44/12</f>
        <v>4.5311192758554588</v>
      </c>
      <c r="EC122" s="21">
        <f>EXP(-LN(2)/2)*EC121+(1-EXP(-LN(2)/2))/(LN(2)/2)*DW122*DZ122*VLOOKUP('Données projet'!$B$14,Paramètres!$A$1:$I$89,3,0)*0.475*44/12</f>
        <v>4.7921356533534898E-14</v>
      </c>
      <c r="ED122" s="22">
        <f t="shared" si="72"/>
        <v>73.184226863178949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367.99999999999972</v>
      </c>
      <c r="EK122" s="17">
        <f>EJ122*VLOOKUP('Données projet'!$B$15,Paramètres!$A$1:$I$89,3,0)*VLOOKUP('Données projet'!$B$15,Paramètres!$A$1:$I$89,5,0)</f>
        <v>355.92959999999977</v>
      </c>
      <c r="EL122" s="13">
        <f t="shared" si="99"/>
        <v>82.782281100458206</v>
      </c>
      <c r="EM122" s="20">
        <f t="shared" si="73"/>
        <v>764.08985958329765</v>
      </c>
      <c r="EN122" s="59">
        <f t="shared" si="74"/>
        <v>1057.423192916631</v>
      </c>
      <c r="EO122" s="59">
        <f ca="1">AVERAGE(OFFSET($EN$3,0,0,'Données projet'!$E$15+1,1))-AVERAGE(OFFSET($H$3,0,0,'Données projet'!$E$15+1,1))</f>
        <v>484.41278617935654</v>
      </c>
      <c r="EP122" s="59">
        <f t="shared" si="100"/>
        <v>467.97490540700738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28.079656636915171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28.079656636915171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367.99999999999972</v>
      </c>
      <c r="FF122" s="17">
        <f>FE122*VLOOKUP('Données projet'!$B$16,Paramètres!$A$1:$I$89,3,0)*VLOOKUP('Données projet'!$B$16,Paramètres!$A$1:$I$89,5,0)</f>
        <v>396.11519999999967</v>
      </c>
      <c r="FG122" s="13">
        <f t="shared" si="101"/>
        <v>90.988634849704994</v>
      </c>
      <c r="FH122" s="20">
        <f t="shared" si="76"/>
        <v>848.37251236323561</v>
      </c>
      <c r="FI122" s="59">
        <f t="shared" si="77"/>
        <v>1141.705845696569</v>
      </c>
      <c r="FJ122" s="59">
        <f ca="1">AVERAGE(OFFSET($FI$3,0,0,'Données projet'!$E$16+1,1))-AVERAGE(OFFSET($H$3,0,0,'Données projet'!$E$16+1,1))</f>
        <v>534.54020133239135</v>
      </c>
      <c r="FK122" s="59">
        <f t="shared" si="102"/>
        <v>515.48696069008815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31.249940450760452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31.249940450760452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248.99999999999994</v>
      </c>
      <c r="GA122" s="17">
        <f>FZ122*VLOOKUP('Données projet'!$B$17,Paramètres!$A$1:$I$89,3,0)*VLOOKUP('Données projet'!$B$17,Paramètres!$A$1:$I$89,5,0)</f>
        <v>236.94839999999994</v>
      </c>
      <c r="GB122" s="13">
        <f t="shared" si="103"/>
        <v>57.782475694292401</v>
      </c>
      <c r="GC122" s="20">
        <f t="shared" si="79"/>
        <v>513.32294183422573</v>
      </c>
      <c r="GD122" s="59">
        <f t="shared" si="80"/>
        <v>806.65627516755899</v>
      </c>
      <c r="GE122" s="59">
        <f ca="1">AVERAGE(OFFSET($GD$3,0,0,'Données projet'!$E$17+1,1))-AVERAGE(OFFSET($H$3,0,0,'Données projet'!$E$17+1,1))</f>
        <v>455.71329051283936</v>
      </c>
      <c r="GF122" s="59">
        <f t="shared" si="104"/>
        <v>479.3743231122258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72.580303403264864</v>
      </c>
      <c r="GM122" s="21">
        <f>EXP(-LN(2)/25)*GM121+(1-EXP(-LN(2)/25))/(LN(2)/25)*Calculateur!GH122*Calculateur!GJ122*VLOOKUP('Données projet'!$B$17,Paramètres!$A$1:$I$89,3,0)*0.475*44/12</f>
        <v>0</v>
      </c>
      <c r="GN122" s="21">
        <f>EXP(-LN(2)/2)*GN121+(1-EXP(-LN(2)/2))/(LN(2)/2)*GH122*GK122*VLOOKUP('Données projet'!$B$17,Paramètres!$A$1:$I$89,3,0)*0.475*44/12</f>
        <v>0</v>
      </c>
      <c r="GO122" s="21">
        <f t="shared" si="81"/>
        <v>72.580303403264864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367.99999999999972</v>
      </c>
      <c r="GV122" s="17">
        <f>GU122*VLOOKUP('Données projet'!$B$18,Paramètres!$A$1:$I$89,3,0)*VLOOKUP('Données projet'!$B$18,Paramètres!$A$1:$I$89,5,0)</f>
        <v>298.52159999999981</v>
      </c>
      <c r="GW122" s="13">
        <f t="shared" si="105"/>
        <v>70.866444995542437</v>
      </c>
      <c r="GX122" s="20">
        <f t="shared" si="82"/>
        <v>643.35084503390271</v>
      </c>
      <c r="GY122" s="59">
        <f t="shared" si="83"/>
        <v>936.68417836723597</v>
      </c>
      <c r="GZ122" s="59">
        <f ca="1">AVERAGE(OFFSET($GY$3,0,0,'Données projet'!$E$18+1,1))-AVERAGE(OFFSET($H$3,0,0,'Données projet'!$E$18+1,1))</f>
        <v>412.59676769258488</v>
      </c>
      <c r="HA122" s="59">
        <f t="shared" si="106"/>
        <v>399.90063795152133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23.550679759993386</v>
      </c>
      <c r="HH122" s="21">
        <f>EXP(-LN(2)/25)*HH121+(1-EXP(-LN(2)/25))/(LN(2)/25)*Calculateur!HC122*Calculateur!HE122*VLOOKUP('Données projet'!$B$18,Paramètres!$A$1:$I$89,3,0)*0.475*44/12</f>
        <v>0</v>
      </c>
      <c r="HI122" s="21">
        <f>EXP(-LN(2)/2)*HI121+(1-EXP(-LN(2)/2))/(LN(2)/2)*HC122*HF122*VLOOKUP('Données projet'!$B$18,Paramètres!$A$1:$I$89,3,0)*0.475*44/12</f>
        <v>0</v>
      </c>
      <c r="HJ122" s="22">
        <f t="shared" si="84"/>
        <v>23.550679759993386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306.99999999999994</v>
      </c>
      <c r="O123" s="13">
        <f>N123*VLOOKUP('Données projet'!$B$9,Paramètres!$A$1:$I$89,3,0)*VLOOKUP('Données projet'!$B$9,Paramètres!$A$1:$I$89,5,0)</f>
        <v>277.77359999999993</v>
      </c>
      <c r="P123" s="13">
        <f t="shared" si="87"/>
        <v>66.496288176842356</v>
      </c>
      <c r="Q123" s="20">
        <f t="shared" si="107"/>
        <v>599.60338857466706</v>
      </c>
      <c r="R123" s="59">
        <f t="shared" si="55"/>
        <v>892.93672190800044</v>
      </c>
      <c r="S123" s="59">
        <f ca="1">AVERAGE(OFFSET($R$3,0,0,'Données projet'!$E$9+1,1))-AVERAGE(OFFSET($H$3,0,0,'Données projet'!$E$9+1,1))</f>
        <v>439.19854273764042</v>
      </c>
      <c r="T123" s="59">
        <f t="shared" si="88"/>
        <v>278.21741231699929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90.660501159708161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90.660501159708161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306.99999999999994</v>
      </c>
      <c r="AJ123" s="13">
        <f>AI123*VLOOKUP('Données projet'!$B$10,Paramètres!$A$1:$I$89,3,0)*VLOOKUP('Données projet'!$B$10,Paramètres!$A$1:$I$89,5,0)</f>
        <v>311.298</v>
      </c>
      <c r="AK123" s="13">
        <f t="shared" si="89"/>
        <v>73.539838278528748</v>
      </c>
      <c r="AL123" s="20">
        <f t="shared" si="58"/>
        <v>670.25923500177089</v>
      </c>
      <c r="AM123" s="59">
        <f t="shared" si="59"/>
        <v>963.59256833510426</v>
      </c>
      <c r="AN123" s="59">
        <f ca="1">AVERAGE(OFFSET($AM$3,0,0,'Données projet'!$E$10+1,1))-AVERAGE(OFFSET($H$3,0,0,'Données projet'!$E$10+1,1))</f>
        <v>487.18832528146936</v>
      </c>
      <c r="AO123" s="59">
        <f t="shared" si="90"/>
        <v>306.61893266146666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101.60228578243158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101.60228578243158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369.00000000000023</v>
      </c>
      <c r="BE123" s="13">
        <f>BD123*VLOOKUP('Données projet'!$B$11,Paramètres!$A$1:$I$89,3,0)*VLOOKUP('Données projet'!$B$11,Paramètres!$A$1:$I$89,5,0)</f>
        <v>333.87120000000021</v>
      </c>
      <c r="BF123" s="13">
        <f t="shared" si="91"/>
        <v>78.23236011137638</v>
      </c>
      <c r="BG123" s="20">
        <f t="shared" si="61"/>
        <v>717.74703386064755</v>
      </c>
      <c r="BH123" s="59">
        <f t="shared" si="62"/>
        <v>1011.0803671939809</v>
      </c>
      <c r="BI123" s="59">
        <f ca="1">AVERAGE(OFFSET($BH$3,0,0,'Données projet'!$E$11+1,1))-AVERAGE(OFFSET($H$3,0,0,'Données projet'!$E$11+1,1))</f>
        <v>436.23918637269577</v>
      </c>
      <c r="BJ123" s="59">
        <f t="shared" si="92"/>
        <v>611.43967996341894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1.7784707250340401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1.7784707250340401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224.00000000000006</v>
      </c>
      <c r="BZ123" s="13">
        <f>BY123*VLOOKUP('Données projet'!$B$12,Paramètres!$A$1:$I$89,3,0)*VLOOKUP('Données projet'!$B$12,Paramètres!$A$1:$I$89,5,0)</f>
        <v>195.68640000000008</v>
      </c>
      <c r="CA123" s="13">
        <f t="shared" si="93"/>
        <v>48.794969360985156</v>
      </c>
      <c r="CB123" s="20">
        <f t="shared" si="64"/>
        <v>425.8050516370493</v>
      </c>
      <c r="CC123" s="59">
        <f t="shared" si="65"/>
        <v>719.13838497038262</v>
      </c>
      <c r="CD123" s="59">
        <f ca="1">AVERAGE(OFFSET($CC$3,0,0,'Données projet'!$E$12+1,1))-AVERAGE(OFFSET($H$3,0,0,'Données projet'!$E$12+1,1))</f>
        <v>304.32767345253382</v>
      </c>
      <c r="CE123" s="59">
        <f t="shared" si="94"/>
        <v>427.16091343339173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19.205682775533521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19.205682775533521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739.99999999999966</v>
      </c>
      <c r="CU123" s="17">
        <f>CT123*VLOOKUP('Données projet'!$B$13,Paramètres!$A$1:$I$89,3,0)*VLOOKUP('Données projet'!$B$13,Paramètres!$A$1:$I$89,5,0)</f>
        <v>413.65999999999985</v>
      </c>
      <c r="CV123" s="13">
        <f t="shared" si="95"/>
        <v>94.540585122244352</v>
      </c>
      <c r="CW123" s="20">
        <f t="shared" si="67"/>
        <v>885.11601908790863</v>
      </c>
      <c r="CX123" s="59">
        <f t="shared" si="68"/>
        <v>1178.4493524212419</v>
      </c>
      <c r="CY123" s="59">
        <f ca="1">AVERAGE(OFFSET($CX$3,0,0,'Données projet'!$E$13+1,1))-AVERAGE(OFFSET($H$3,0,0,'Données projet'!$E$13+1,1))</f>
        <v>555.15881087162279</v>
      </c>
      <c r="CZ123" s="59">
        <f t="shared" si="96"/>
        <v>668.20427590250733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37.635853657338131</v>
      </c>
      <c r="DG123" s="21">
        <f>EXP(-LN(2)/25)*DG122+(1-EXP(-LN(2)/25))/(LN(2)/25)*Calculateur!DB123*Calculateur!DD123*VLOOKUP('Données projet'!$B$13,Paramètres!$A$1:$I$89,3,0)*0.475*44/12</f>
        <v>4.7652093452191684</v>
      </c>
      <c r="DH123" s="21">
        <f>EXP(-LN(2)/2)*DH122+(1-EXP(-LN(2)/2))/(LN(2)/2)*DB123*DE123*VLOOKUP('Données projet'!$B$13,Paramètres!$A$1:$I$89,3,0)*0.475*44/12</f>
        <v>2.4172191124843754E-14</v>
      </c>
      <c r="DI123" s="22">
        <f t="shared" si="69"/>
        <v>42.401063002557322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911.99999999999898</v>
      </c>
      <c r="DP123" s="17">
        <f>DO123*VLOOKUP('Données projet'!$B$14,Paramètres!$A$1:$I$89,3,0)*VLOOKUP('Données projet'!$B$14,Paramètres!$A$1:$I$89,5,0)</f>
        <v>426.81599999999946</v>
      </c>
      <c r="DQ123" s="13">
        <f t="shared" si="97"/>
        <v>97.192496986872399</v>
      </c>
      <c r="DR123" s="20">
        <f t="shared" si="70"/>
        <v>912.64813225213504</v>
      </c>
      <c r="DS123" s="59">
        <f t="shared" si="71"/>
        <v>1205.9814655854684</v>
      </c>
      <c r="DT123" s="59">
        <f ca="1">AVERAGE(OFFSET($DS$3,0,0,'Données projet'!$E$14+1,1))-AVERAGE(OFFSET($H$3,0,0,'Données projet'!$E$14+1,1))</f>
        <v>523.79180230463714</v>
      </c>
      <c r="DU123" s="59">
        <f t="shared" si="98"/>
        <v>459.3547783500515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67.306862021796917</v>
      </c>
      <c r="EB123" s="21">
        <f>EXP(-LN(2)/25)*EB122+(1-EXP(-LN(2)/25))/(LN(2)/25)*Calculateur!DW123*Calculateur!DY123*VLOOKUP('Données projet'!$B$14,Paramètres!$A$1:$I$89,3,0)*0.475*44/12</f>
        <v>4.4072155809759845</v>
      </c>
      <c r="EC123" s="21">
        <f>EXP(-LN(2)/2)*EC122+(1-EXP(-LN(2)/2))/(LN(2)/2)*DW123*DZ123*VLOOKUP('Données projet'!$B$14,Paramètres!$A$1:$I$89,3,0)*0.475*44/12</f>
        <v>3.388551616852079E-14</v>
      </c>
      <c r="ED123" s="22">
        <f t="shared" si="72"/>
        <v>71.714077602772932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367.99999999999972</v>
      </c>
      <c r="EK123" s="17">
        <f>EJ123*VLOOKUP('Données projet'!$B$15,Paramètres!$A$1:$I$89,3,0)*VLOOKUP('Données projet'!$B$15,Paramètres!$A$1:$I$89,5,0)</f>
        <v>355.92959999999977</v>
      </c>
      <c r="EL123" s="13">
        <f t="shared" si="99"/>
        <v>82.782281100458206</v>
      </c>
      <c r="EM123" s="20">
        <f t="shared" si="73"/>
        <v>764.08985958329765</v>
      </c>
      <c r="EN123" s="59">
        <f t="shared" si="74"/>
        <v>1057.423192916631</v>
      </c>
      <c r="EO123" s="59">
        <f ca="1">AVERAGE(OFFSET($EN$3,0,0,'Données projet'!$E$15+1,1))-AVERAGE(OFFSET($H$3,0,0,'Données projet'!$E$15+1,1))</f>
        <v>484.41278617935654</v>
      </c>
      <c r="EP123" s="59">
        <f t="shared" si="100"/>
        <v>467.97490540700738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27.529031697164672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27.529031697164672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367.99999999999972</v>
      </c>
      <c r="FF123" s="17">
        <f>FE123*VLOOKUP('Données projet'!$B$16,Paramètres!$A$1:$I$89,3,0)*VLOOKUP('Données projet'!$B$16,Paramètres!$A$1:$I$89,5,0)</f>
        <v>396.11519999999967</v>
      </c>
      <c r="FG123" s="13">
        <f t="shared" si="101"/>
        <v>90.988634849704994</v>
      </c>
      <c r="FH123" s="20">
        <f t="shared" si="76"/>
        <v>848.37251236323561</v>
      </c>
      <c r="FI123" s="59">
        <f t="shared" si="77"/>
        <v>1141.705845696569</v>
      </c>
      <c r="FJ123" s="59">
        <f ca="1">AVERAGE(OFFSET($FI$3,0,0,'Données projet'!$E$16+1,1))-AVERAGE(OFFSET($H$3,0,0,'Données projet'!$E$16+1,1))</f>
        <v>534.54020133239135</v>
      </c>
      <c r="FK123" s="59">
        <f t="shared" si="102"/>
        <v>515.48696069008815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30.637148179102638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30.637148179102638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248.99999999999994</v>
      </c>
      <c r="GA123" s="17">
        <f>FZ123*VLOOKUP('Données projet'!$B$17,Paramètres!$A$1:$I$89,3,0)*VLOOKUP('Données projet'!$B$17,Paramètres!$A$1:$I$89,5,0)</f>
        <v>236.94839999999994</v>
      </c>
      <c r="GB123" s="13">
        <f t="shared" si="103"/>
        <v>57.782475694292401</v>
      </c>
      <c r="GC123" s="20">
        <f t="shared" si="79"/>
        <v>513.32294183422573</v>
      </c>
      <c r="GD123" s="59">
        <f t="shared" si="80"/>
        <v>806.65627516755899</v>
      </c>
      <c r="GE123" s="59">
        <f ca="1">AVERAGE(OFFSET($GD$3,0,0,'Données projet'!$E$17+1,1))-AVERAGE(OFFSET($H$3,0,0,'Données projet'!$E$17+1,1))</f>
        <v>455.71329051283936</v>
      </c>
      <c r="GF123" s="59">
        <f t="shared" si="104"/>
        <v>479.3743231122258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71.157047923140652</v>
      </c>
      <c r="GM123" s="21">
        <f>EXP(-LN(2)/25)*GM122+(1-EXP(-LN(2)/25))/(LN(2)/25)*Calculateur!GH123*Calculateur!GJ123*VLOOKUP('Données projet'!$B$17,Paramètres!$A$1:$I$89,3,0)*0.475*44/12</f>
        <v>0</v>
      </c>
      <c r="GN123" s="21">
        <f>EXP(-LN(2)/2)*GN122+(1-EXP(-LN(2)/2))/(LN(2)/2)*GH123*GK123*VLOOKUP('Données projet'!$B$17,Paramètres!$A$1:$I$89,3,0)*0.475*44/12</f>
        <v>0</v>
      </c>
      <c r="GO123" s="21">
        <f t="shared" si="81"/>
        <v>71.157047923140652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367.99999999999972</v>
      </c>
      <c r="GV123" s="17">
        <f>GU123*VLOOKUP('Données projet'!$B$18,Paramètres!$A$1:$I$89,3,0)*VLOOKUP('Données projet'!$B$18,Paramètres!$A$1:$I$89,5,0)</f>
        <v>298.52159999999981</v>
      </c>
      <c r="GW123" s="13">
        <f t="shared" si="105"/>
        <v>70.866444995542437</v>
      </c>
      <c r="GX123" s="20">
        <f t="shared" si="82"/>
        <v>643.35084503390271</v>
      </c>
      <c r="GY123" s="59">
        <f t="shared" si="83"/>
        <v>936.68417836723597</v>
      </c>
      <c r="GZ123" s="59">
        <f ca="1">AVERAGE(OFFSET($GY$3,0,0,'Données projet'!$E$18+1,1))-AVERAGE(OFFSET($H$3,0,0,'Données projet'!$E$18+1,1))</f>
        <v>412.59676769258488</v>
      </c>
      <c r="HA123" s="59">
        <f t="shared" si="106"/>
        <v>399.90063795152133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23.088865294396193</v>
      </c>
      <c r="HH123" s="21">
        <f>EXP(-LN(2)/25)*HH122+(1-EXP(-LN(2)/25))/(LN(2)/25)*Calculateur!HC123*Calculateur!HE123*VLOOKUP('Données projet'!$B$18,Paramètres!$A$1:$I$89,3,0)*0.475*44/12</f>
        <v>0</v>
      </c>
      <c r="HI123" s="21">
        <f>EXP(-LN(2)/2)*HI122+(1-EXP(-LN(2)/2))/(LN(2)/2)*HC123*HF123*VLOOKUP('Données projet'!$B$18,Paramètres!$A$1:$I$89,3,0)*0.475*44/12</f>
        <v>0</v>
      </c>
      <c r="HJ123" s="22">
        <f t="shared" si="84"/>
        <v>23.088865294396193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306.99999999999994</v>
      </c>
      <c r="O124" s="13">
        <f>N124*VLOOKUP('Données projet'!$B$9,Paramètres!$A$1:$I$89,3,0)*VLOOKUP('Données projet'!$B$9,Paramètres!$A$1:$I$89,5,0)</f>
        <v>277.77359999999993</v>
      </c>
      <c r="P124" s="13">
        <f t="shared" si="87"/>
        <v>66.496288176842356</v>
      </c>
      <c r="Q124" s="20">
        <f t="shared" si="107"/>
        <v>599.60338857466706</v>
      </c>
      <c r="R124" s="59">
        <f t="shared" si="55"/>
        <v>892.93672190800044</v>
      </c>
      <c r="S124" s="59">
        <f ca="1">AVERAGE(OFFSET($R$3,0,0,'Données projet'!$E$9+1,1))-AVERAGE(OFFSET($H$3,0,0,'Données projet'!$E$9+1,1))</f>
        <v>439.19854273764042</v>
      </c>
      <c r="T124" s="59">
        <f t="shared" si="88"/>
        <v>278.21741231699929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88.882704029411826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88.882704029411826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306.99999999999994</v>
      </c>
      <c r="AJ124" s="13">
        <f>AI124*VLOOKUP('Données projet'!$B$10,Paramètres!$A$1:$I$89,3,0)*VLOOKUP('Données projet'!$B$10,Paramètres!$A$1:$I$89,5,0)</f>
        <v>311.298</v>
      </c>
      <c r="AK124" s="13">
        <f t="shared" si="89"/>
        <v>73.539838278528748</v>
      </c>
      <c r="AL124" s="20">
        <f t="shared" si="58"/>
        <v>670.25923500177089</v>
      </c>
      <c r="AM124" s="59">
        <f t="shared" si="59"/>
        <v>963.59256833510426</v>
      </c>
      <c r="AN124" s="59">
        <f ca="1">AVERAGE(OFFSET($AM$3,0,0,'Données projet'!$E$10+1,1))-AVERAGE(OFFSET($H$3,0,0,'Données projet'!$E$10+1,1))</f>
        <v>487.18832528146936</v>
      </c>
      <c r="AO124" s="59">
        <f t="shared" si="90"/>
        <v>306.61893266146666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99.609926929513264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99.609926929513264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369.00000000000023</v>
      </c>
      <c r="BE124" s="13">
        <f>BD124*VLOOKUP('Données projet'!$B$11,Paramètres!$A$1:$I$89,3,0)*VLOOKUP('Données projet'!$B$11,Paramètres!$A$1:$I$89,5,0)</f>
        <v>333.87120000000021</v>
      </c>
      <c r="BF124" s="13">
        <f t="shared" si="91"/>
        <v>78.23236011137638</v>
      </c>
      <c r="BG124" s="20">
        <f t="shared" si="61"/>
        <v>717.74703386064755</v>
      </c>
      <c r="BH124" s="59">
        <f t="shared" si="62"/>
        <v>1011.0803671939809</v>
      </c>
      <c r="BI124" s="59">
        <f ca="1">AVERAGE(OFFSET($BH$3,0,0,'Données projet'!$E$11+1,1))-AVERAGE(OFFSET($H$3,0,0,'Données projet'!$E$11+1,1))</f>
        <v>436.23918637269577</v>
      </c>
      <c r="BJ124" s="59">
        <f t="shared" si="92"/>
        <v>611.43967996341894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1.7435959988761538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1.7435959988761538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224.00000000000006</v>
      </c>
      <c r="BZ124" s="13">
        <f>BY124*VLOOKUP('Données projet'!$B$12,Paramètres!$A$1:$I$89,3,0)*VLOOKUP('Données projet'!$B$12,Paramètres!$A$1:$I$89,5,0)</f>
        <v>195.68640000000008</v>
      </c>
      <c r="CA124" s="13">
        <f t="shared" si="93"/>
        <v>48.794969360985156</v>
      </c>
      <c r="CB124" s="20">
        <f t="shared" si="64"/>
        <v>425.8050516370493</v>
      </c>
      <c r="CC124" s="59">
        <f t="shared" si="65"/>
        <v>719.13838497038262</v>
      </c>
      <c r="CD124" s="59">
        <f ca="1">AVERAGE(OFFSET($CC$3,0,0,'Données projet'!$E$12+1,1))-AVERAGE(OFFSET($H$3,0,0,'Données projet'!$E$12+1,1))</f>
        <v>304.32767345253382</v>
      </c>
      <c r="CE124" s="59">
        <f t="shared" si="94"/>
        <v>427.16091343339173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18.829071050615109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18.829071050615109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739.99999999999966</v>
      </c>
      <c r="CU124" s="17">
        <f>CT124*VLOOKUP('Données projet'!$B$13,Paramètres!$A$1:$I$89,3,0)*VLOOKUP('Données projet'!$B$13,Paramètres!$A$1:$I$89,5,0)</f>
        <v>413.65999999999985</v>
      </c>
      <c r="CV124" s="13">
        <f t="shared" si="95"/>
        <v>94.540585122244352</v>
      </c>
      <c r="CW124" s="20">
        <f t="shared" si="67"/>
        <v>885.11601908790863</v>
      </c>
      <c r="CX124" s="59">
        <f t="shared" si="68"/>
        <v>1178.4493524212419</v>
      </c>
      <c r="CY124" s="59">
        <f ca="1">AVERAGE(OFFSET($CX$3,0,0,'Données projet'!$E$13+1,1))-AVERAGE(OFFSET($H$3,0,0,'Données projet'!$E$13+1,1))</f>
        <v>555.15881087162279</v>
      </c>
      <c r="CZ124" s="59">
        <f t="shared" si="96"/>
        <v>668.20427590250733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36.897837522721787</v>
      </c>
      <c r="DG124" s="21">
        <f>EXP(-LN(2)/25)*DG123+(1-EXP(-LN(2)/25))/(LN(2)/25)*Calculateur!DB124*Calculateur!DD124*VLOOKUP('Données projet'!$B$13,Paramètres!$A$1:$I$89,3,0)*0.475*44/12</f>
        <v>4.6349044450826815</v>
      </c>
      <c r="DH124" s="21">
        <f>EXP(-LN(2)/2)*DH123+(1-EXP(-LN(2)/2))/(LN(2)/2)*DB124*DE124*VLOOKUP('Données projet'!$B$13,Paramètres!$A$1:$I$89,3,0)*0.475*44/12</f>
        <v>1.7092320260514298E-14</v>
      </c>
      <c r="DI124" s="22">
        <f t="shared" si="69"/>
        <v>41.532741967804483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911.99999999999898</v>
      </c>
      <c r="DP124" s="17">
        <f>DO124*VLOOKUP('Données projet'!$B$14,Paramètres!$A$1:$I$89,3,0)*VLOOKUP('Données projet'!$B$14,Paramètres!$A$1:$I$89,5,0)</f>
        <v>426.81599999999946</v>
      </c>
      <c r="DQ124" s="13">
        <f t="shared" si="97"/>
        <v>97.192496986872399</v>
      </c>
      <c r="DR124" s="20">
        <f t="shared" si="70"/>
        <v>912.64813225213504</v>
      </c>
      <c r="DS124" s="59">
        <f t="shared" si="71"/>
        <v>1205.9814655854684</v>
      </c>
      <c r="DT124" s="59">
        <f ca="1">AVERAGE(OFFSET($DS$3,0,0,'Données projet'!$E$14+1,1))-AVERAGE(OFFSET($H$3,0,0,'Données projet'!$E$14+1,1))</f>
        <v>523.79180230463714</v>
      </c>
      <c r="DU124" s="59">
        <f t="shared" si="98"/>
        <v>459.3547783500515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65.987015510681658</v>
      </c>
      <c r="EB124" s="21">
        <f>EXP(-LN(2)/25)*EB123+(1-EXP(-LN(2)/25))/(LN(2)/25)*Calculateur!DW124*Calculateur!DY124*VLOOKUP('Données projet'!$B$14,Paramètres!$A$1:$I$89,3,0)*0.475*44/12</f>
        <v>4.2867000391488013</v>
      </c>
      <c r="EC124" s="21">
        <f>EXP(-LN(2)/2)*EC123+(1-EXP(-LN(2)/2))/(LN(2)/2)*DW124*DZ124*VLOOKUP('Données projet'!$B$14,Paramètres!$A$1:$I$89,3,0)*0.475*44/12</f>
        <v>2.3960678266767449E-14</v>
      </c>
      <c r="ED124" s="22">
        <f t="shared" si="72"/>
        <v>70.273715549830484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367.99999999999972</v>
      </c>
      <c r="EK124" s="17">
        <f>EJ124*VLOOKUP('Données projet'!$B$15,Paramètres!$A$1:$I$89,3,0)*VLOOKUP('Données projet'!$B$15,Paramètres!$A$1:$I$89,5,0)</f>
        <v>355.92959999999977</v>
      </c>
      <c r="EL124" s="13">
        <f t="shared" si="99"/>
        <v>82.782281100458206</v>
      </c>
      <c r="EM124" s="20">
        <f t="shared" si="73"/>
        <v>764.08985958329765</v>
      </c>
      <c r="EN124" s="59">
        <f t="shared" si="74"/>
        <v>1057.423192916631</v>
      </c>
      <c r="EO124" s="59">
        <f ca="1">AVERAGE(OFFSET($EN$3,0,0,'Données projet'!$E$15+1,1))-AVERAGE(OFFSET($H$3,0,0,'Données projet'!$E$15+1,1))</f>
        <v>484.41278617935654</v>
      </c>
      <c r="EP124" s="59">
        <f t="shared" si="100"/>
        <v>467.97490540700738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26.98920417663463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26.98920417663463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367.99999999999972</v>
      </c>
      <c r="FF124" s="17">
        <f>FE124*VLOOKUP('Données projet'!$B$16,Paramètres!$A$1:$I$89,3,0)*VLOOKUP('Données projet'!$B$16,Paramètres!$A$1:$I$89,5,0)</f>
        <v>396.11519999999967</v>
      </c>
      <c r="FG124" s="13">
        <f t="shared" si="101"/>
        <v>90.988634849704994</v>
      </c>
      <c r="FH124" s="20">
        <f t="shared" si="76"/>
        <v>848.37251236323561</v>
      </c>
      <c r="FI124" s="59">
        <f t="shared" si="77"/>
        <v>1141.705845696569</v>
      </c>
      <c r="FJ124" s="59">
        <f ca="1">AVERAGE(OFFSET($FI$3,0,0,'Données projet'!$E$16+1,1))-AVERAGE(OFFSET($H$3,0,0,'Données projet'!$E$16+1,1))</f>
        <v>534.54020133239135</v>
      </c>
      <c r="FK124" s="59">
        <f t="shared" si="102"/>
        <v>515.48696069008815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30.036372390125656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30.036372390125656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248.99999999999994</v>
      </c>
      <c r="GA124" s="17">
        <f>FZ124*VLOOKUP('Données projet'!$B$17,Paramètres!$A$1:$I$89,3,0)*VLOOKUP('Données projet'!$B$17,Paramètres!$A$1:$I$89,5,0)</f>
        <v>236.94839999999994</v>
      </c>
      <c r="GB124" s="13">
        <f t="shared" si="103"/>
        <v>57.782475694292401</v>
      </c>
      <c r="GC124" s="20">
        <f t="shared" si="79"/>
        <v>513.32294183422573</v>
      </c>
      <c r="GD124" s="59">
        <f t="shared" si="80"/>
        <v>806.65627516755899</v>
      </c>
      <c r="GE124" s="59">
        <f ca="1">AVERAGE(OFFSET($GD$3,0,0,'Données projet'!$E$17+1,1))-AVERAGE(OFFSET($H$3,0,0,'Données projet'!$E$17+1,1))</f>
        <v>455.71329051283936</v>
      </c>
      <c r="GF124" s="59">
        <f t="shared" si="104"/>
        <v>479.3743231122258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69.761701614881559</v>
      </c>
      <c r="GM124" s="21">
        <f>EXP(-LN(2)/25)*GM123+(1-EXP(-LN(2)/25))/(LN(2)/25)*Calculateur!GH124*Calculateur!GJ124*VLOOKUP('Données projet'!$B$17,Paramètres!$A$1:$I$89,3,0)*0.475*44/12</f>
        <v>0</v>
      </c>
      <c r="GN124" s="21">
        <f>EXP(-LN(2)/2)*GN123+(1-EXP(-LN(2)/2))/(LN(2)/2)*GH124*GK124*VLOOKUP('Données projet'!$B$17,Paramètres!$A$1:$I$89,3,0)*0.475*44/12</f>
        <v>0</v>
      </c>
      <c r="GO124" s="21">
        <f t="shared" si="81"/>
        <v>69.761701614881559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367.99999999999972</v>
      </c>
      <c r="GV124" s="17">
        <f>GU124*VLOOKUP('Données projet'!$B$18,Paramètres!$A$1:$I$89,3,0)*VLOOKUP('Données projet'!$B$18,Paramètres!$A$1:$I$89,5,0)</f>
        <v>298.52159999999981</v>
      </c>
      <c r="GW124" s="13">
        <f t="shared" si="105"/>
        <v>70.866444995542437</v>
      </c>
      <c r="GX124" s="20">
        <f t="shared" si="82"/>
        <v>643.35084503390271</v>
      </c>
      <c r="GY124" s="59">
        <f t="shared" si="83"/>
        <v>936.68417836723597</v>
      </c>
      <c r="GZ124" s="59">
        <f ca="1">AVERAGE(OFFSET($GY$3,0,0,'Données projet'!$E$18+1,1))-AVERAGE(OFFSET($H$3,0,0,'Données projet'!$E$18+1,1))</f>
        <v>412.59676769258488</v>
      </c>
      <c r="HA124" s="59">
        <f t="shared" si="106"/>
        <v>399.90063795152133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22.636106728790349</v>
      </c>
      <c r="HH124" s="21">
        <f>EXP(-LN(2)/25)*HH123+(1-EXP(-LN(2)/25))/(LN(2)/25)*Calculateur!HC124*Calculateur!HE124*VLOOKUP('Données projet'!$B$18,Paramètres!$A$1:$I$89,3,0)*0.475*44/12</f>
        <v>0</v>
      </c>
      <c r="HI124" s="21">
        <f>EXP(-LN(2)/2)*HI123+(1-EXP(-LN(2)/2))/(LN(2)/2)*HC124*HF124*VLOOKUP('Données projet'!$B$18,Paramètres!$A$1:$I$89,3,0)*0.475*44/12</f>
        <v>0</v>
      </c>
      <c r="HJ124" s="22">
        <f t="shared" si="84"/>
        <v>22.636106728790349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306.99999999999994</v>
      </c>
      <c r="O125" s="13">
        <f>N125*VLOOKUP('Données projet'!$B$9,Paramètres!$A$1:$I$89,3,0)*VLOOKUP('Données projet'!$B$9,Paramètres!$A$1:$I$89,5,0)</f>
        <v>277.77359999999993</v>
      </c>
      <c r="P125" s="13">
        <f t="shared" si="87"/>
        <v>66.496288176842356</v>
      </c>
      <c r="Q125" s="20">
        <f t="shared" si="107"/>
        <v>599.60338857466706</v>
      </c>
      <c r="R125" s="59">
        <f t="shared" si="55"/>
        <v>892.93672190800044</v>
      </c>
      <c r="S125" s="59">
        <f ca="1">AVERAGE(OFFSET($R$3,0,0,'Données projet'!$E$9+1,1))-AVERAGE(OFFSET($H$3,0,0,'Données projet'!$E$9+1,1))</f>
        <v>439.19854273764042</v>
      </c>
      <c r="T125" s="59">
        <f t="shared" si="88"/>
        <v>278.21741231699929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87.139768416491421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87.139768416491421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306.99999999999994</v>
      </c>
      <c r="AJ125" s="13">
        <f>AI125*VLOOKUP('Données projet'!$B$10,Paramètres!$A$1:$I$89,3,0)*VLOOKUP('Données projet'!$B$10,Paramètres!$A$1:$I$89,5,0)</f>
        <v>311.298</v>
      </c>
      <c r="AK125" s="13">
        <f t="shared" si="89"/>
        <v>73.539838278528748</v>
      </c>
      <c r="AL125" s="20">
        <f t="shared" si="58"/>
        <v>670.25923500177089</v>
      </c>
      <c r="AM125" s="59">
        <f t="shared" si="59"/>
        <v>963.59256833510426</v>
      </c>
      <c r="AN125" s="59">
        <f ca="1">AVERAGE(OFFSET($AM$3,0,0,'Données projet'!$E$10+1,1))-AVERAGE(OFFSET($H$3,0,0,'Données projet'!$E$10+1,1))</f>
        <v>487.18832528146936</v>
      </c>
      <c r="AO125" s="59">
        <f t="shared" si="90"/>
        <v>306.61893266146666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97.656637018481774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97.656637018481774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369.00000000000023</v>
      </c>
      <c r="BE125" s="13">
        <f>BD125*VLOOKUP('Données projet'!$B$11,Paramètres!$A$1:$I$89,3,0)*VLOOKUP('Données projet'!$B$11,Paramètres!$A$1:$I$89,5,0)</f>
        <v>333.87120000000021</v>
      </c>
      <c r="BF125" s="13">
        <f t="shared" si="91"/>
        <v>78.23236011137638</v>
      </c>
      <c r="BG125" s="20">
        <f t="shared" si="61"/>
        <v>717.74703386064755</v>
      </c>
      <c r="BH125" s="59">
        <f t="shared" si="62"/>
        <v>1011.0803671939809</v>
      </c>
      <c r="BI125" s="59">
        <f ca="1">AVERAGE(OFFSET($BH$3,0,0,'Données projet'!$E$11+1,1))-AVERAGE(OFFSET($H$3,0,0,'Données projet'!$E$11+1,1))</f>
        <v>436.23918637269577</v>
      </c>
      <c r="BJ125" s="59">
        <f t="shared" si="92"/>
        <v>611.43967996341894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1.7094051448267409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1.7094051448267409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224.00000000000006</v>
      </c>
      <c r="BZ125" s="13">
        <f>BY125*VLOOKUP('Données projet'!$B$12,Paramètres!$A$1:$I$89,3,0)*VLOOKUP('Données projet'!$B$12,Paramètres!$A$1:$I$89,5,0)</f>
        <v>195.68640000000008</v>
      </c>
      <c r="CA125" s="13">
        <f t="shared" si="93"/>
        <v>48.794969360985156</v>
      </c>
      <c r="CB125" s="20">
        <f t="shared" si="64"/>
        <v>425.8050516370493</v>
      </c>
      <c r="CC125" s="59">
        <f t="shared" si="65"/>
        <v>719.13838497038262</v>
      </c>
      <c r="CD125" s="59">
        <f ca="1">AVERAGE(OFFSET($CC$3,0,0,'Données projet'!$E$12+1,1))-AVERAGE(OFFSET($H$3,0,0,'Données projet'!$E$12+1,1))</f>
        <v>304.32767345253382</v>
      </c>
      <c r="CE125" s="59">
        <f t="shared" si="94"/>
        <v>427.16091343339173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18.459844451911877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18.459844451911877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739.99999999999966</v>
      </c>
      <c r="CU125" s="17">
        <f>CT125*VLOOKUP('Données projet'!$B$13,Paramètres!$A$1:$I$89,3,0)*VLOOKUP('Données projet'!$B$13,Paramètres!$A$1:$I$89,5,0)</f>
        <v>413.65999999999985</v>
      </c>
      <c r="CV125" s="13">
        <f t="shared" si="95"/>
        <v>94.540585122244352</v>
      </c>
      <c r="CW125" s="20">
        <f t="shared" si="67"/>
        <v>885.11601908790863</v>
      </c>
      <c r="CX125" s="59">
        <f t="shared" si="68"/>
        <v>1178.4493524212419</v>
      </c>
      <c r="CY125" s="59">
        <f ca="1">AVERAGE(OFFSET($CX$3,0,0,'Données projet'!$E$13+1,1))-AVERAGE(OFFSET($H$3,0,0,'Données projet'!$E$13+1,1))</f>
        <v>555.15881087162279</v>
      </c>
      <c r="CZ125" s="59">
        <f t="shared" si="96"/>
        <v>668.20427590250733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36.174293434359875</v>
      </c>
      <c r="DG125" s="21">
        <f>EXP(-LN(2)/25)*DG124+(1-EXP(-LN(2)/25))/(LN(2)/25)*Calculateur!DB125*Calculateur!DD125*VLOOKUP('Données projet'!$B$13,Paramètres!$A$1:$I$89,3,0)*0.475*44/12</f>
        <v>4.5081627392928638</v>
      </c>
      <c r="DH125" s="21">
        <f>EXP(-LN(2)/2)*DH124+(1-EXP(-LN(2)/2))/(LN(2)/2)*DB125*DE125*VLOOKUP('Données projet'!$B$13,Paramètres!$A$1:$I$89,3,0)*0.475*44/12</f>
        <v>1.2086095562421877E-14</v>
      </c>
      <c r="DI125" s="22">
        <f t="shared" si="69"/>
        <v>40.682456173652753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911.99999999999898</v>
      </c>
      <c r="DP125" s="17">
        <f>DO125*VLOOKUP('Données projet'!$B$14,Paramètres!$A$1:$I$89,3,0)*VLOOKUP('Données projet'!$B$14,Paramètres!$A$1:$I$89,5,0)</f>
        <v>426.81599999999946</v>
      </c>
      <c r="DQ125" s="13">
        <f t="shared" si="97"/>
        <v>97.192496986872399</v>
      </c>
      <c r="DR125" s="20">
        <f t="shared" si="70"/>
        <v>912.64813225213504</v>
      </c>
      <c r="DS125" s="59">
        <f t="shared" si="71"/>
        <v>1205.9814655854684</v>
      </c>
      <c r="DT125" s="59">
        <f ca="1">AVERAGE(OFFSET($DS$3,0,0,'Données projet'!$E$14+1,1))-AVERAGE(OFFSET($H$3,0,0,'Données projet'!$E$14+1,1))</f>
        <v>523.79180230463714</v>
      </c>
      <c r="DU125" s="59">
        <f t="shared" si="98"/>
        <v>459.3547783500515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64.693050384622481</v>
      </c>
      <c r="EB125" s="21">
        <f>EXP(-LN(2)/25)*EB124+(1-EXP(-LN(2)/25))/(LN(2)/25)*Calculateur!DW125*Calculateur!DY125*VLOOKUP('Données projet'!$B$14,Paramètres!$A$1:$I$89,3,0)*0.475*44/12</f>
        <v>4.1694800011505198</v>
      </c>
      <c r="EC125" s="21">
        <f>EXP(-LN(2)/2)*EC124+(1-EXP(-LN(2)/2))/(LN(2)/2)*DW125*DZ125*VLOOKUP('Données projet'!$B$14,Paramètres!$A$1:$I$89,3,0)*0.475*44/12</f>
        <v>1.6942758084260395E-14</v>
      </c>
      <c r="ED125" s="22">
        <f t="shared" si="72"/>
        <v>68.862530385773013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367.99999999999972</v>
      </c>
      <c r="EK125" s="17">
        <f>EJ125*VLOOKUP('Données projet'!$B$15,Paramètres!$A$1:$I$89,3,0)*VLOOKUP('Données projet'!$B$15,Paramètres!$A$1:$I$89,5,0)</f>
        <v>355.92959999999977</v>
      </c>
      <c r="EL125" s="13">
        <f t="shared" si="99"/>
        <v>82.782281100458206</v>
      </c>
      <c r="EM125" s="20">
        <f t="shared" si="73"/>
        <v>764.08985958329765</v>
      </c>
      <c r="EN125" s="59">
        <f t="shared" si="74"/>
        <v>1057.423192916631</v>
      </c>
      <c r="EO125" s="59">
        <f ca="1">AVERAGE(OFFSET($EN$3,0,0,'Données projet'!$E$15+1,1))-AVERAGE(OFFSET($H$3,0,0,'Données projet'!$E$15+1,1))</f>
        <v>484.41278617935654</v>
      </c>
      <c r="EP125" s="59">
        <f t="shared" si="100"/>
        <v>467.97490540700738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26.459962344519905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26.459962344519905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367.99999999999972</v>
      </c>
      <c r="FF125" s="17">
        <f>FE125*VLOOKUP('Données projet'!$B$16,Paramètres!$A$1:$I$89,3,0)*VLOOKUP('Données projet'!$B$16,Paramètres!$A$1:$I$89,5,0)</f>
        <v>396.11519999999967</v>
      </c>
      <c r="FG125" s="13">
        <f t="shared" si="101"/>
        <v>90.988634849704994</v>
      </c>
      <c r="FH125" s="20">
        <f t="shared" si="76"/>
        <v>848.37251236323561</v>
      </c>
      <c r="FI125" s="59">
        <f t="shared" si="77"/>
        <v>1141.705845696569</v>
      </c>
      <c r="FJ125" s="59">
        <f ca="1">AVERAGE(OFFSET($FI$3,0,0,'Données projet'!$E$16+1,1))-AVERAGE(OFFSET($H$3,0,0,'Données projet'!$E$16+1,1))</f>
        <v>534.54020133239135</v>
      </c>
      <c r="FK125" s="59">
        <f t="shared" si="102"/>
        <v>515.48696069008815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29.447377447933462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29.447377447933462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248.99999999999994</v>
      </c>
      <c r="GA125" s="17">
        <f>FZ125*VLOOKUP('Données projet'!$B$17,Paramètres!$A$1:$I$89,3,0)*VLOOKUP('Données projet'!$B$17,Paramètres!$A$1:$I$89,5,0)</f>
        <v>236.94839999999994</v>
      </c>
      <c r="GB125" s="13">
        <f t="shared" si="103"/>
        <v>57.782475694292401</v>
      </c>
      <c r="GC125" s="20">
        <f t="shared" si="79"/>
        <v>513.32294183422573</v>
      </c>
      <c r="GD125" s="59">
        <f t="shared" si="80"/>
        <v>806.65627516755899</v>
      </c>
      <c r="GE125" s="59">
        <f ca="1">AVERAGE(OFFSET($GD$3,0,0,'Données projet'!$E$17+1,1))-AVERAGE(OFFSET($H$3,0,0,'Données projet'!$E$17+1,1))</f>
        <v>455.71329051283936</v>
      </c>
      <c r="GF125" s="59">
        <f t="shared" si="104"/>
        <v>479.3743231122258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68.393717196650215</v>
      </c>
      <c r="GM125" s="21">
        <f>EXP(-LN(2)/25)*GM124+(1-EXP(-LN(2)/25))/(LN(2)/25)*Calculateur!GH125*Calculateur!GJ125*VLOOKUP('Données projet'!$B$17,Paramètres!$A$1:$I$89,3,0)*0.475*44/12</f>
        <v>0</v>
      </c>
      <c r="GN125" s="21">
        <f>EXP(-LN(2)/2)*GN124+(1-EXP(-LN(2)/2))/(LN(2)/2)*GH125*GK125*VLOOKUP('Données projet'!$B$17,Paramètres!$A$1:$I$89,3,0)*0.475*44/12</f>
        <v>0</v>
      </c>
      <c r="GO125" s="21">
        <f t="shared" si="81"/>
        <v>68.393717196650215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367.99999999999972</v>
      </c>
      <c r="GV125" s="17">
        <f>GU125*VLOOKUP('Données projet'!$B$18,Paramètres!$A$1:$I$89,3,0)*VLOOKUP('Données projet'!$B$18,Paramètres!$A$1:$I$89,5,0)</f>
        <v>298.52159999999981</v>
      </c>
      <c r="GW125" s="13">
        <f t="shared" si="105"/>
        <v>70.866444995542437</v>
      </c>
      <c r="GX125" s="20">
        <f t="shared" si="82"/>
        <v>643.35084503390271</v>
      </c>
      <c r="GY125" s="59">
        <f t="shared" si="83"/>
        <v>936.68417836723597</v>
      </c>
      <c r="GZ125" s="59">
        <f ca="1">AVERAGE(OFFSET($GY$3,0,0,'Données projet'!$E$18+1,1))-AVERAGE(OFFSET($H$3,0,0,'Données projet'!$E$18+1,1))</f>
        <v>412.59676769258488</v>
      </c>
      <c r="HA125" s="59">
        <f t="shared" si="106"/>
        <v>399.90063795152133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22.19222648250058</v>
      </c>
      <c r="HH125" s="21">
        <f>EXP(-LN(2)/25)*HH124+(1-EXP(-LN(2)/25))/(LN(2)/25)*Calculateur!HC125*Calculateur!HE125*VLOOKUP('Données projet'!$B$18,Paramètres!$A$1:$I$89,3,0)*0.475*44/12</f>
        <v>0</v>
      </c>
      <c r="HI125" s="21">
        <f>EXP(-LN(2)/2)*HI124+(1-EXP(-LN(2)/2))/(LN(2)/2)*HC125*HF125*VLOOKUP('Données projet'!$B$18,Paramètres!$A$1:$I$89,3,0)*0.475*44/12</f>
        <v>0</v>
      </c>
      <c r="HJ125" s="22">
        <f t="shared" si="84"/>
        <v>22.19222648250058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306.99999999999994</v>
      </c>
      <c r="O126" s="13">
        <f>N126*VLOOKUP('Données projet'!$B$9,Paramètres!$A$1:$I$89,3,0)*VLOOKUP('Données projet'!$B$9,Paramètres!$A$1:$I$89,5,0)</f>
        <v>277.77359999999993</v>
      </c>
      <c r="P126" s="13">
        <f t="shared" si="87"/>
        <v>66.496288176842356</v>
      </c>
      <c r="Q126" s="20">
        <f t="shared" si="107"/>
        <v>599.60338857466706</v>
      </c>
      <c r="R126" s="59">
        <f t="shared" si="55"/>
        <v>892.93672190800044</v>
      </c>
      <c r="S126" s="59">
        <f ca="1">AVERAGE(OFFSET($R$3,0,0,'Données projet'!$E$9+1,1))-AVERAGE(OFFSET($H$3,0,0,'Données projet'!$E$9+1,1))</f>
        <v>439.19854273764042</v>
      </c>
      <c r="T126" s="59">
        <f t="shared" si="88"/>
        <v>278.21741231699929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85.431010707854625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85.431010707854625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306.99999999999994</v>
      </c>
      <c r="AJ126" s="13">
        <f>AI126*VLOOKUP('Données projet'!$B$10,Paramètres!$A$1:$I$89,3,0)*VLOOKUP('Données projet'!$B$10,Paramètres!$A$1:$I$89,5,0)</f>
        <v>311.298</v>
      </c>
      <c r="AK126" s="13">
        <f t="shared" si="89"/>
        <v>73.539838278528748</v>
      </c>
      <c r="AL126" s="20">
        <f t="shared" si="58"/>
        <v>670.25923500177089</v>
      </c>
      <c r="AM126" s="59">
        <f t="shared" si="59"/>
        <v>963.59256833510426</v>
      </c>
      <c r="AN126" s="59">
        <f ca="1">AVERAGE(OFFSET($AM$3,0,0,'Données projet'!$E$10+1,1))-AVERAGE(OFFSET($H$3,0,0,'Données projet'!$E$10+1,1))</f>
        <v>487.18832528146936</v>
      </c>
      <c r="AO126" s="59">
        <f t="shared" si="90"/>
        <v>306.61893266146666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95.741649931216401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95.741649931216401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369.00000000000023</v>
      </c>
      <c r="BE126" s="13">
        <f>BD126*VLOOKUP('Données projet'!$B$11,Paramètres!$A$1:$I$89,3,0)*VLOOKUP('Données projet'!$B$11,Paramètres!$A$1:$I$89,5,0)</f>
        <v>333.87120000000021</v>
      </c>
      <c r="BF126" s="13">
        <f t="shared" si="91"/>
        <v>78.23236011137638</v>
      </c>
      <c r="BG126" s="20">
        <f t="shared" si="61"/>
        <v>717.74703386064755</v>
      </c>
      <c r="BH126" s="59">
        <f t="shared" si="62"/>
        <v>1011.0803671939809</v>
      </c>
      <c r="BI126" s="59">
        <f ca="1">AVERAGE(OFFSET($BH$3,0,0,'Données projet'!$E$11+1,1))-AVERAGE(OFFSET($H$3,0,0,'Données projet'!$E$11+1,1))</f>
        <v>436.23918637269577</v>
      </c>
      <c r="BJ126" s="59">
        <f t="shared" si="92"/>
        <v>611.43967996341894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1.6758847525708753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1.6758847525708753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224.00000000000006</v>
      </c>
      <c r="BZ126" s="13">
        <f>BY126*VLOOKUP('Données projet'!$B$12,Paramètres!$A$1:$I$89,3,0)*VLOOKUP('Données projet'!$B$12,Paramètres!$A$1:$I$89,5,0)</f>
        <v>195.68640000000008</v>
      </c>
      <c r="CA126" s="13">
        <f t="shared" si="93"/>
        <v>48.794969360985156</v>
      </c>
      <c r="CB126" s="20">
        <f t="shared" si="64"/>
        <v>425.8050516370493</v>
      </c>
      <c r="CC126" s="59">
        <f t="shared" si="65"/>
        <v>719.13838497038262</v>
      </c>
      <c r="CD126" s="59">
        <f ca="1">AVERAGE(OFFSET($CC$3,0,0,'Données projet'!$E$12+1,1))-AVERAGE(OFFSET($H$3,0,0,'Données projet'!$E$12+1,1))</f>
        <v>304.32767345253382</v>
      </c>
      <c r="CE126" s="59">
        <f t="shared" si="94"/>
        <v>427.16091343339173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18.097858161603227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18.097858161603227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739.99999999999966</v>
      </c>
      <c r="CU126" s="17">
        <f>CT126*VLOOKUP('Données projet'!$B$13,Paramètres!$A$1:$I$89,3,0)*VLOOKUP('Données projet'!$B$13,Paramètres!$A$1:$I$89,5,0)</f>
        <v>413.65999999999985</v>
      </c>
      <c r="CV126" s="13">
        <f t="shared" si="95"/>
        <v>94.540585122244352</v>
      </c>
      <c r="CW126" s="20">
        <f t="shared" si="67"/>
        <v>885.11601908790863</v>
      </c>
      <c r="CX126" s="59">
        <f t="shared" si="68"/>
        <v>1178.4493524212419</v>
      </c>
      <c r="CY126" s="59">
        <f ca="1">AVERAGE(OFFSET($CX$3,0,0,'Données projet'!$E$13+1,1))-AVERAGE(OFFSET($H$3,0,0,'Données projet'!$E$13+1,1))</f>
        <v>555.15881087162279</v>
      </c>
      <c r="CZ126" s="59">
        <f t="shared" si="96"/>
        <v>668.20427590250733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35.46493760425242</v>
      </c>
      <c r="DG126" s="21">
        <f>EXP(-LN(2)/25)*DG125+(1-EXP(-LN(2)/25))/(LN(2)/25)*Calculateur!DB126*Calculateur!DD126*VLOOKUP('Données projet'!$B$13,Paramètres!$A$1:$I$89,3,0)*0.475*44/12</f>
        <v>4.3848867921129253</v>
      </c>
      <c r="DH126" s="21">
        <f>EXP(-LN(2)/2)*DH125+(1-EXP(-LN(2)/2))/(LN(2)/2)*DB126*DE126*VLOOKUP('Données projet'!$B$13,Paramètres!$A$1:$I$89,3,0)*0.475*44/12</f>
        <v>8.5461601302571489E-15</v>
      </c>
      <c r="DI126" s="22">
        <f t="shared" si="69"/>
        <v>39.849824396365349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911.99999999999898</v>
      </c>
      <c r="DP126" s="17">
        <f>DO126*VLOOKUP('Données projet'!$B$14,Paramètres!$A$1:$I$89,3,0)*VLOOKUP('Données projet'!$B$14,Paramètres!$A$1:$I$89,5,0)</f>
        <v>426.81599999999946</v>
      </c>
      <c r="DQ126" s="13">
        <f t="shared" si="97"/>
        <v>97.192496986872399</v>
      </c>
      <c r="DR126" s="20">
        <f t="shared" si="70"/>
        <v>912.64813225213504</v>
      </c>
      <c r="DS126" s="59">
        <f t="shared" si="71"/>
        <v>1205.9814655854684</v>
      </c>
      <c r="DT126" s="59">
        <f ca="1">AVERAGE(OFFSET($DS$3,0,0,'Données projet'!$E$14+1,1))-AVERAGE(OFFSET($H$3,0,0,'Données projet'!$E$14+1,1))</f>
        <v>523.79180230463714</v>
      </c>
      <c r="DU126" s="59">
        <f t="shared" si="98"/>
        <v>459.3547783500515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63.424459125444528</v>
      </c>
      <c r="EB126" s="21">
        <f>EXP(-LN(2)/25)*EB125+(1-EXP(-LN(2)/25))/(LN(2)/25)*Calculateur!DW126*Calculateur!DY126*VLOOKUP('Données projet'!$B$14,Paramètres!$A$1:$I$89,3,0)*0.475*44/12</f>
        <v>4.0554653512556351</v>
      </c>
      <c r="EC126" s="21">
        <f>EXP(-LN(2)/2)*EC125+(1-EXP(-LN(2)/2))/(LN(2)/2)*DW126*DZ126*VLOOKUP('Données projet'!$B$14,Paramètres!$A$1:$I$89,3,0)*0.475*44/12</f>
        <v>1.1980339133383724E-14</v>
      </c>
      <c r="ED126" s="22">
        <f t="shared" si="72"/>
        <v>67.479924476700177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367.99999999999972</v>
      </c>
      <c r="EK126" s="17">
        <f>EJ126*VLOOKUP('Données projet'!$B$15,Paramètres!$A$1:$I$89,3,0)*VLOOKUP('Données projet'!$B$15,Paramètres!$A$1:$I$89,5,0)</f>
        <v>355.92959999999977</v>
      </c>
      <c r="EL126" s="13">
        <f t="shared" si="99"/>
        <v>82.782281100458206</v>
      </c>
      <c r="EM126" s="20">
        <f t="shared" si="73"/>
        <v>764.08985958329765</v>
      </c>
      <c r="EN126" s="59">
        <f t="shared" si="74"/>
        <v>1057.423192916631</v>
      </c>
      <c r="EO126" s="59">
        <f ca="1">AVERAGE(OFFSET($EN$3,0,0,'Données projet'!$E$15+1,1))-AVERAGE(OFFSET($H$3,0,0,'Données projet'!$E$15+1,1))</f>
        <v>484.41278617935654</v>
      </c>
      <c r="EP126" s="59">
        <f t="shared" si="100"/>
        <v>467.97490540700738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25.941098621927306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25.941098621927306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367.99999999999972</v>
      </c>
      <c r="FF126" s="17">
        <f>FE126*VLOOKUP('Données projet'!$B$16,Paramètres!$A$1:$I$89,3,0)*VLOOKUP('Données projet'!$B$16,Paramètres!$A$1:$I$89,5,0)</f>
        <v>396.11519999999967</v>
      </c>
      <c r="FG126" s="13">
        <f t="shared" si="101"/>
        <v>90.988634849704994</v>
      </c>
      <c r="FH126" s="20">
        <f t="shared" si="76"/>
        <v>848.37251236323561</v>
      </c>
      <c r="FI126" s="59">
        <f t="shared" si="77"/>
        <v>1141.705845696569</v>
      </c>
      <c r="FJ126" s="59">
        <f ca="1">AVERAGE(OFFSET($FI$3,0,0,'Données projet'!$E$16+1,1))-AVERAGE(OFFSET($H$3,0,0,'Données projet'!$E$16+1,1))</f>
        <v>534.54020133239135</v>
      </c>
      <c r="FK126" s="59">
        <f t="shared" si="102"/>
        <v>515.48696069008815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28.869932337306217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28.869932337306217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248.99999999999994</v>
      </c>
      <c r="GA126" s="17">
        <f>FZ126*VLOOKUP('Données projet'!$B$17,Paramètres!$A$1:$I$89,3,0)*VLOOKUP('Données projet'!$B$17,Paramètres!$A$1:$I$89,5,0)</f>
        <v>236.94839999999994</v>
      </c>
      <c r="GB126" s="13">
        <f t="shared" si="103"/>
        <v>57.782475694292401</v>
      </c>
      <c r="GC126" s="20">
        <f t="shared" si="79"/>
        <v>513.32294183422573</v>
      </c>
      <c r="GD126" s="59">
        <f t="shared" si="80"/>
        <v>806.65627516755899</v>
      </c>
      <c r="GE126" s="59">
        <f ca="1">AVERAGE(OFFSET($GD$3,0,0,'Données projet'!$E$17+1,1))-AVERAGE(OFFSET($H$3,0,0,'Données projet'!$E$17+1,1))</f>
        <v>455.71329051283936</v>
      </c>
      <c r="GF126" s="59">
        <f t="shared" si="104"/>
        <v>479.3743231122258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67.052558118472277</v>
      </c>
      <c r="GM126" s="21">
        <f>EXP(-LN(2)/25)*GM125+(1-EXP(-LN(2)/25))/(LN(2)/25)*Calculateur!GH126*Calculateur!GJ126*VLOOKUP('Données projet'!$B$17,Paramètres!$A$1:$I$89,3,0)*0.475*44/12</f>
        <v>0</v>
      </c>
      <c r="GN126" s="21">
        <f>EXP(-LN(2)/2)*GN125+(1-EXP(-LN(2)/2))/(LN(2)/2)*GH126*GK126*VLOOKUP('Données projet'!$B$17,Paramètres!$A$1:$I$89,3,0)*0.475*44/12</f>
        <v>0</v>
      </c>
      <c r="GO126" s="21">
        <f t="shared" si="81"/>
        <v>67.052558118472277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367.99999999999972</v>
      </c>
      <c r="GV126" s="17">
        <f>GU126*VLOOKUP('Données projet'!$B$18,Paramètres!$A$1:$I$89,3,0)*VLOOKUP('Données projet'!$B$18,Paramètres!$A$1:$I$89,5,0)</f>
        <v>298.52159999999981</v>
      </c>
      <c r="GW126" s="13">
        <f t="shared" si="105"/>
        <v>70.866444995542437</v>
      </c>
      <c r="GX126" s="20">
        <f t="shared" si="82"/>
        <v>643.35084503390271</v>
      </c>
      <c r="GY126" s="59">
        <f t="shared" si="83"/>
        <v>936.68417836723597</v>
      </c>
      <c r="GZ126" s="59">
        <f ca="1">AVERAGE(OFFSET($GY$3,0,0,'Données projet'!$E$18+1,1))-AVERAGE(OFFSET($H$3,0,0,'Données projet'!$E$18+1,1))</f>
        <v>412.59676769258488</v>
      </c>
      <c r="HA126" s="59">
        <f t="shared" si="106"/>
        <v>399.90063795152133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21.757050457100338</v>
      </c>
      <c r="HH126" s="21">
        <f>EXP(-LN(2)/25)*HH125+(1-EXP(-LN(2)/25))/(LN(2)/25)*Calculateur!HC126*Calculateur!HE126*VLOOKUP('Données projet'!$B$18,Paramètres!$A$1:$I$89,3,0)*0.475*44/12</f>
        <v>0</v>
      </c>
      <c r="HI126" s="21">
        <f>EXP(-LN(2)/2)*HI125+(1-EXP(-LN(2)/2))/(LN(2)/2)*HC126*HF126*VLOOKUP('Données projet'!$B$18,Paramètres!$A$1:$I$89,3,0)*0.475*44/12</f>
        <v>0</v>
      </c>
      <c r="HJ126" s="22">
        <f t="shared" si="84"/>
        <v>21.757050457100338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306.99999999999994</v>
      </c>
      <c r="O127" s="13">
        <f>N127*VLOOKUP('Données projet'!$B$9,Paramètres!$A$1:$I$89,3,0)*VLOOKUP('Données projet'!$B$9,Paramètres!$A$1:$I$89,5,0)</f>
        <v>277.77359999999993</v>
      </c>
      <c r="P127" s="13">
        <f t="shared" si="87"/>
        <v>66.496288176842356</v>
      </c>
      <c r="Q127" s="20">
        <f t="shared" si="107"/>
        <v>599.60338857466706</v>
      </c>
      <c r="R127" s="59">
        <f t="shared" si="55"/>
        <v>892.93672190800044</v>
      </c>
      <c r="S127" s="59">
        <f ca="1">AVERAGE(OFFSET($R$3,0,0,'Données projet'!$E$9+1,1))-AVERAGE(OFFSET($H$3,0,0,'Données projet'!$E$9+1,1))</f>
        <v>439.19854273764042</v>
      </c>
      <c r="T127" s="59">
        <f t="shared" si="88"/>
        <v>278.21741231699929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83.755760695644909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83.755760695644909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306.99999999999994</v>
      </c>
      <c r="AJ127" s="13">
        <f>AI127*VLOOKUP('Données projet'!$B$10,Paramètres!$A$1:$I$89,3,0)*VLOOKUP('Données projet'!$B$10,Paramètres!$A$1:$I$89,5,0)</f>
        <v>311.298</v>
      </c>
      <c r="AK127" s="13">
        <f t="shared" si="89"/>
        <v>73.539838278528748</v>
      </c>
      <c r="AL127" s="20">
        <f t="shared" si="58"/>
        <v>670.25923500177089</v>
      </c>
      <c r="AM127" s="59">
        <f t="shared" si="59"/>
        <v>963.59256833510426</v>
      </c>
      <c r="AN127" s="59">
        <f ca="1">AVERAGE(OFFSET($AM$3,0,0,'Données projet'!$E$10+1,1))-AVERAGE(OFFSET($H$3,0,0,'Données projet'!$E$10+1,1))</f>
        <v>487.18832528146936</v>
      </c>
      <c r="AO127" s="59">
        <f t="shared" si="90"/>
        <v>306.61893266146666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93.864214572705521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93.864214572705521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369.00000000000023</v>
      </c>
      <c r="BE127" s="13">
        <f>BD127*VLOOKUP('Données projet'!$B$11,Paramètres!$A$1:$I$89,3,0)*VLOOKUP('Données projet'!$B$11,Paramètres!$A$1:$I$89,5,0)</f>
        <v>333.87120000000021</v>
      </c>
      <c r="BF127" s="13">
        <f t="shared" si="91"/>
        <v>78.23236011137638</v>
      </c>
      <c r="BG127" s="20">
        <f t="shared" si="61"/>
        <v>717.74703386064755</v>
      </c>
      <c r="BH127" s="59">
        <f t="shared" si="62"/>
        <v>1011.0803671939809</v>
      </c>
      <c r="BI127" s="59">
        <f ca="1">AVERAGE(OFFSET($BH$3,0,0,'Données projet'!$E$11+1,1))-AVERAGE(OFFSET($H$3,0,0,'Données projet'!$E$11+1,1))</f>
        <v>436.23918637269577</v>
      </c>
      <c r="BJ127" s="59">
        <f t="shared" si="92"/>
        <v>611.43967996341894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1.6430216747617268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1.6430216747617268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224.00000000000006</v>
      </c>
      <c r="BZ127" s="13">
        <f>BY127*VLOOKUP('Données projet'!$B$12,Paramètres!$A$1:$I$89,3,0)*VLOOKUP('Données projet'!$B$12,Paramètres!$A$1:$I$89,5,0)</f>
        <v>195.68640000000008</v>
      </c>
      <c r="CA127" s="13">
        <f t="shared" si="93"/>
        <v>48.794969360985156</v>
      </c>
      <c r="CB127" s="20">
        <f t="shared" si="64"/>
        <v>425.8050516370493</v>
      </c>
      <c r="CC127" s="59">
        <f t="shared" si="65"/>
        <v>719.13838497038262</v>
      </c>
      <c r="CD127" s="59">
        <f ca="1">AVERAGE(OFFSET($CC$3,0,0,'Données projet'!$E$12+1,1))-AVERAGE(OFFSET($H$3,0,0,'Données projet'!$E$12+1,1))</f>
        <v>304.32767345253382</v>
      </c>
      <c r="CE127" s="59">
        <f t="shared" si="94"/>
        <v>427.16091343339173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17.742970201657695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17.742970201657695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739.99999999999966</v>
      </c>
      <c r="CU127" s="17">
        <f>CT127*VLOOKUP('Données projet'!$B$13,Paramètres!$A$1:$I$89,3,0)*VLOOKUP('Données projet'!$B$13,Paramètres!$A$1:$I$89,5,0)</f>
        <v>413.65999999999985</v>
      </c>
      <c r="CV127" s="13">
        <f t="shared" si="95"/>
        <v>94.540585122244352</v>
      </c>
      <c r="CW127" s="20">
        <f t="shared" si="67"/>
        <v>885.11601908790863</v>
      </c>
      <c r="CX127" s="59">
        <f t="shared" si="68"/>
        <v>1178.4493524212419</v>
      </c>
      <c r="CY127" s="59">
        <f ca="1">AVERAGE(OFFSET($CX$3,0,0,'Données projet'!$E$13+1,1))-AVERAGE(OFFSET($H$3,0,0,'Données projet'!$E$13+1,1))</f>
        <v>555.15881087162279</v>
      </c>
      <c r="CZ127" s="59">
        <f t="shared" si="96"/>
        <v>668.20427590250733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34.769491809309038</v>
      </c>
      <c r="DG127" s="21">
        <f>EXP(-LN(2)/25)*DG126+(1-EXP(-LN(2)/25))/(LN(2)/25)*Calculateur!DB127*Calculateur!DD127*VLOOKUP('Données projet'!$B$13,Paramètres!$A$1:$I$89,3,0)*0.475*44/12</f>
        <v>4.264981832191423</v>
      </c>
      <c r="DH127" s="21">
        <f>EXP(-LN(2)/2)*DH126+(1-EXP(-LN(2)/2))/(LN(2)/2)*DB127*DE127*VLOOKUP('Données projet'!$B$13,Paramètres!$A$1:$I$89,3,0)*0.475*44/12</f>
        <v>6.0430477812109384E-15</v>
      </c>
      <c r="DI127" s="22">
        <f t="shared" si="69"/>
        <v>39.034473641500469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911.99999999999898</v>
      </c>
      <c r="DP127" s="17">
        <f>DO127*VLOOKUP('Données projet'!$B$14,Paramètres!$A$1:$I$89,3,0)*VLOOKUP('Données projet'!$B$14,Paramètres!$A$1:$I$89,5,0)</f>
        <v>426.81599999999946</v>
      </c>
      <c r="DQ127" s="13">
        <f t="shared" si="97"/>
        <v>97.192496986872399</v>
      </c>
      <c r="DR127" s="20">
        <f t="shared" si="70"/>
        <v>912.64813225213504</v>
      </c>
      <c r="DS127" s="59">
        <f t="shared" si="71"/>
        <v>1205.9814655854684</v>
      </c>
      <c r="DT127" s="59">
        <f ca="1">AVERAGE(OFFSET($DS$3,0,0,'Données projet'!$E$14+1,1))-AVERAGE(OFFSET($H$3,0,0,'Données projet'!$E$14+1,1))</f>
        <v>523.79180230463714</v>
      </c>
      <c r="DU127" s="59">
        <f t="shared" si="98"/>
        <v>459.3547783500515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62.180744167094794</v>
      </c>
      <c r="EB127" s="21">
        <f>EXP(-LN(2)/25)*EB126+(1-EXP(-LN(2)/25))/(LN(2)/25)*Calculateur!DW127*Calculateur!DY127*VLOOKUP('Données projet'!$B$14,Paramètres!$A$1:$I$89,3,0)*0.475*44/12</f>
        <v>3.944568437957896</v>
      </c>
      <c r="EC127" s="21">
        <f>EXP(-LN(2)/2)*EC126+(1-EXP(-LN(2)/2))/(LN(2)/2)*DW127*DZ127*VLOOKUP('Données projet'!$B$14,Paramètres!$A$1:$I$89,3,0)*0.475*44/12</f>
        <v>8.4713790421301976E-15</v>
      </c>
      <c r="ED127" s="22">
        <f t="shared" si="72"/>
        <v>66.125312605052699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367.99999999999972</v>
      </c>
      <c r="EK127" s="17">
        <f>EJ127*VLOOKUP('Données projet'!$B$15,Paramètres!$A$1:$I$89,3,0)*VLOOKUP('Données projet'!$B$15,Paramètres!$A$1:$I$89,5,0)</f>
        <v>355.92959999999977</v>
      </c>
      <c r="EL127" s="13">
        <f t="shared" si="99"/>
        <v>82.782281100458206</v>
      </c>
      <c r="EM127" s="20">
        <f t="shared" si="73"/>
        <v>764.08985958329765</v>
      </c>
      <c r="EN127" s="59">
        <f t="shared" si="74"/>
        <v>1057.423192916631</v>
      </c>
      <c r="EO127" s="59">
        <f ca="1">AVERAGE(OFFSET($EN$3,0,0,'Données projet'!$E$15+1,1))-AVERAGE(OFFSET($H$3,0,0,'Données projet'!$E$15+1,1))</f>
        <v>484.41278617935654</v>
      </c>
      <c r="EP127" s="59">
        <f t="shared" si="100"/>
        <v>467.97490540700738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25.43240950045913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25.43240950045913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367.99999999999972</v>
      </c>
      <c r="FF127" s="17">
        <f>FE127*VLOOKUP('Données projet'!$B$16,Paramètres!$A$1:$I$89,3,0)*VLOOKUP('Données projet'!$B$16,Paramètres!$A$1:$I$89,5,0)</f>
        <v>396.11519999999967</v>
      </c>
      <c r="FG127" s="13">
        <f t="shared" si="101"/>
        <v>90.988634849704994</v>
      </c>
      <c r="FH127" s="20">
        <f t="shared" si="76"/>
        <v>848.37251236323561</v>
      </c>
      <c r="FI127" s="59">
        <f t="shared" si="77"/>
        <v>1141.705845696569</v>
      </c>
      <c r="FJ127" s="59">
        <f ca="1">AVERAGE(OFFSET($FI$3,0,0,'Données projet'!$E$16+1,1))-AVERAGE(OFFSET($H$3,0,0,'Données projet'!$E$16+1,1))</f>
        <v>534.54020133239135</v>
      </c>
      <c r="FK127" s="59">
        <f t="shared" si="102"/>
        <v>515.48696069008815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28.303810573091631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28.303810573091631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248.99999999999994</v>
      </c>
      <c r="GA127" s="17">
        <f>FZ127*VLOOKUP('Données projet'!$B$17,Paramètres!$A$1:$I$89,3,0)*VLOOKUP('Données projet'!$B$17,Paramètres!$A$1:$I$89,5,0)</f>
        <v>236.94839999999994</v>
      </c>
      <c r="GB127" s="13">
        <f t="shared" si="103"/>
        <v>57.782475694292401</v>
      </c>
      <c r="GC127" s="20">
        <f t="shared" si="79"/>
        <v>513.32294183422573</v>
      </c>
      <c r="GD127" s="59">
        <f t="shared" si="80"/>
        <v>806.65627516755899</v>
      </c>
      <c r="GE127" s="59">
        <f ca="1">AVERAGE(OFFSET($GD$3,0,0,'Données projet'!$E$17+1,1))-AVERAGE(OFFSET($H$3,0,0,'Données projet'!$E$17+1,1))</f>
        <v>455.71329051283936</v>
      </c>
      <c r="GF127" s="59">
        <f t="shared" si="104"/>
        <v>479.3743231122258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65.737698351791138</v>
      </c>
      <c r="GM127" s="21">
        <f>EXP(-LN(2)/25)*GM126+(1-EXP(-LN(2)/25))/(LN(2)/25)*Calculateur!GH127*Calculateur!GJ127*VLOOKUP('Données projet'!$B$17,Paramètres!$A$1:$I$89,3,0)*0.475*44/12</f>
        <v>0</v>
      </c>
      <c r="GN127" s="21">
        <f>EXP(-LN(2)/2)*GN126+(1-EXP(-LN(2)/2))/(LN(2)/2)*GH127*GK127*VLOOKUP('Données projet'!$B$17,Paramètres!$A$1:$I$89,3,0)*0.475*44/12</f>
        <v>0</v>
      </c>
      <c r="GO127" s="21">
        <f t="shared" si="81"/>
        <v>65.737698351791138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367.99999999999972</v>
      </c>
      <c r="GV127" s="17">
        <f>GU127*VLOOKUP('Données projet'!$B$18,Paramètres!$A$1:$I$89,3,0)*VLOOKUP('Données projet'!$B$18,Paramètres!$A$1:$I$89,5,0)</f>
        <v>298.52159999999981</v>
      </c>
      <c r="GW127" s="13">
        <f t="shared" si="105"/>
        <v>70.866444995542437</v>
      </c>
      <c r="GX127" s="20">
        <f t="shared" si="82"/>
        <v>643.35084503390271</v>
      </c>
      <c r="GY127" s="59">
        <f t="shared" si="83"/>
        <v>936.68417836723597</v>
      </c>
      <c r="GZ127" s="59">
        <f ca="1">AVERAGE(OFFSET($GY$3,0,0,'Données projet'!$E$18+1,1))-AVERAGE(OFFSET($H$3,0,0,'Données projet'!$E$18+1,1))</f>
        <v>412.59676769258488</v>
      </c>
      <c r="HA127" s="59">
        <f t="shared" si="106"/>
        <v>399.90063795152133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21.330407968127027</v>
      </c>
      <c r="HH127" s="21">
        <f>EXP(-LN(2)/25)*HH126+(1-EXP(-LN(2)/25))/(LN(2)/25)*Calculateur!HC127*Calculateur!HE127*VLOOKUP('Données projet'!$B$18,Paramètres!$A$1:$I$89,3,0)*0.475*44/12</f>
        <v>0</v>
      </c>
      <c r="HI127" s="21">
        <f>EXP(-LN(2)/2)*HI126+(1-EXP(-LN(2)/2))/(LN(2)/2)*HC127*HF127*VLOOKUP('Données projet'!$B$18,Paramètres!$A$1:$I$89,3,0)*0.475*44/12</f>
        <v>0</v>
      </c>
      <c r="HJ127" s="22">
        <f t="shared" si="84"/>
        <v>21.330407968127027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306.99999999999994</v>
      </c>
      <c r="O128" s="13">
        <f>N128*VLOOKUP('Données projet'!$B$9,Paramètres!$A$1:$I$89,3,0)*VLOOKUP('Données projet'!$B$9,Paramètres!$A$1:$I$89,5,0)</f>
        <v>277.77359999999993</v>
      </c>
      <c r="P128" s="13">
        <f t="shared" si="87"/>
        <v>66.496288176842356</v>
      </c>
      <c r="Q128" s="20">
        <f t="shared" si="107"/>
        <v>599.60338857466706</v>
      </c>
      <c r="R128" s="59">
        <f t="shared" si="55"/>
        <v>892.93672190800044</v>
      </c>
      <c r="S128" s="59">
        <f ca="1">AVERAGE(OFFSET($R$3,0,0,'Données projet'!$E$9+1,1))-AVERAGE(OFFSET($H$3,0,0,'Données projet'!$E$9+1,1))</f>
        <v>439.19854273764042</v>
      </c>
      <c r="T128" s="59">
        <f t="shared" si="88"/>
        <v>278.21741231699929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82.113361314373023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82.113361314373023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306.99999999999994</v>
      </c>
      <c r="AJ128" s="13">
        <f>AI128*VLOOKUP('Données projet'!$B$10,Paramètres!$A$1:$I$89,3,0)*VLOOKUP('Données projet'!$B$10,Paramètres!$A$1:$I$89,5,0)</f>
        <v>311.298</v>
      </c>
      <c r="AK128" s="13">
        <f t="shared" si="89"/>
        <v>73.539838278528748</v>
      </c>
      <c r="AL128" s="20">
        <f t="shared" si="58"/>
        <v>670.25923500177089</v>
      </c>
      <c r="AM128" s="59">
        <f t="shared" si="59"/>
        <v>963.59256833510426</v>
      </c>
      <c r="AN128" s="59">
        <f ca="1">AVERAGE(OFFSET($AM$3,0,0,'Données projet'!$E$10+1,1))-AVERAGE(OFFSET($H$3,0,0,'Données projet'!$E$10+1,1))</f>
        <v>487.18832528146936</v>
      </c>
      <c r="AO128" s="59">
        <f t="shared" si="90"/>
        <v>306.61893266146666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92.023594576452538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92.023594576452538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369.00000000000023</v>
      </c>
      <c r="BE128" s="13">
        <f>BD128*VLOOKUP('Données projet'!$B$11,Paramètres!$A$1:$I$89,3,0)*VLOOKUP('Données projet'!$B$11,Paramètres!$A$1:$I$89,5,0)</f>
        <v>333.87120000000021</v>
      </c>
      <c r="BF128" s="13">
        <f t="shared" si="91"/>
        <v>78.23236011137638</v>
      </c>
      <c r="BG128" s="20">
        <f t="shared" si="61"/>
        <v>717.74703386064755</v>
      </c>
      <c r="BH128" s="59">
        <f t="shared" si="62"/>
        <v>1011.0803671939809</v>
      </c>
      <c r="BI128" s="59">
        <f ca="1">AVERAGE(OFFSET($BH$3,0,0,'Données projet'!$E$11+1,1))-AVERAGE(OFFSET($H$3,0,0,'Données projet'!$E$11+1,1))</f>
        <v>436.23918637269577</v>
      </c>
      <c r="BJ128" s="59">
        <f t="shared" si="92"/>
        <v>611.43967996341894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1.6108030218639173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1.6108030218639173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224.00000000000006</v>
      </c>
      <c r="BZ128" s="13">
        <f>BY128*VLOOKUP('Données projet'!$B$12,Paramètres!$A$1:$I$89,3,0)*VLOOKUP('Données projet'!$B$12,Paramètres!$A$1:$I$89,5,0)</f>
        <v>195.68640000000008</v>
      </c>
      <c r="CA128" s="13">
        <f t="shared" si="93"/>
        <v>48.794969360985156</v>
      </c>
      <c r="CB128" s="20">
        <f t="shared" si="64"/>
        <v>425.8050516370493</v>
      </c>
      <c r="CC128" s="59">
        <f t="shared" si="65"/>
        <v>719.13838497038262</v>
      </c>
      <c r="CD128" s="59">
        <f ca="1">AVERAGE(OFFSET($CC$3,0,0,'Données projet'!$E$12+1,1))-AVERAGE(OFFSET($H$3,0,0,'Données projet'!$E$12+1,1))</f>
        <v>304.32767345253382</v>
      </c>
      <c r="CE128" s="59">
        <f t="shared" si="94"/>
        <v>427.16091343339173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17.395041378146413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17.395041378146413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739.99999999999966</v>
      </c>
      <c r="CU128" s="17">
        <f>CT128*VLOOKUP('Données projet'!$B$13,Paramètres!$A$1:$I$89,3,0)*VLOOKUP('Données projet'!$B$13,Paramètres!$A$1:$I$89,5,0)</f>
        <v>413.65999999999985</v>
      </c>
      <c r="CV128" s="13">
        <f t="shared" si="95"/>
        <v>94.540585122244352</v>
      </c>
      <c r="CW128" s="20">
        <f t="shared" si="67"/>
        <v>885.11601908790863</v>
      </c>
      <c r="CX128" s="59">
        <f t="shared" si="68"/>
        <v>1178.4493524212419</v>
      </c>
      <c r="CY128" s="59">
        <f ca="1">AVERAGE(OFFSET($CX$3,0,0,'Données projet'!$E$13+1,1))-AVERAGE(OFFSET($H$3,0,0,'Données projet'!$E$13+1,1))</f>
        <v>555.15881087162279</v>
      </c>
      <c r="CZ128" s="59">
        <f t="shared" si="96"/>
        <v>668.20427590250733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34.087683282224447</v>
      </c>
      <c r="DG128" s="21">
        <f>EXP(-LN(2)/25)*DG127+(1-EXP(-LN(2)/25))/(LN(2)/25)*Calculateur!DB128*Calculateur!DD128*VLOOKUP('Données projet'!$B$13,Paramètres!$A$1:$I$89,3,0)*0.475*44/12</f>
        <v>4.148355679704502</v>
      </c>
      <c r="DH128" s="21">
        <f>EXP(-LN(2)/2)*DH127+(1-EXP(-LN(2)/2))/(LN(2)/2)*DB128*DE128*VLOOKUP('Données projet'!$B$13,Paramètres!$A$1:$I$89,3,0)*0.475*44/12</f>
        <v>4.2730800651285745E-15</v>
      </c>
      <c r="DI128" s="22">
        <f t="shared" si="69"/>
        <v>38.236038961928955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911.99999999999898</v>
      </c>
      <c r="DP128" s="17">
        <f>DO128*VLOOKUP('Données projet'!$B$14,Paramètres!$A$1:$I$89,3,0)*VLOOKUP('Données projet'!$B$14,Paramètres!$A$1:$I$89,5,0)</f>
        <v>426.81599999999946</v>
      </c>
      <c r="DQ128" s="13">
        <f t="shared" si="97"/>
        <v>97.192496986872399</v>
      </c>
      <c r="DR128" s="20">
        <f t="shared" si="70"/>
        <v>912.64813225213504</v>
      </c>
      <c r="DS128" s="59">
        <f t="shared" si="71"/>
        <v>1205.9814655854684</v>
      </c>
      <c r="DT128" s="59">
        <f ca="1">AVERAGE(OFFSET($DS$3,0,0,'Données projet'!$E$14+1,1))-AVERAGE(OFFSET($H$3,0,0,'Données projet'!$E$14+1,1))</f>
        <v>523.79180230463714</v>
      </c>
      <c r="DU128" s="59">
        <f t="shared" si="98"/>
        <v>459.3547783500515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60.961417700487075</v>
      </c>
      <c r="EB128" s="21">
        <f>EXP(-LN(2)/25)*EB127+(1-EXP(-LN(2)/25))/(LN(2)/25)*Calculateur!DW128*Calculateur!DY128*VLOOKUP('Données projet'!$B$14,Paramètres!$A$1:$I$89,3,0)*0.475*44/12</f>
        <v>3.8367040065860984</v>
      </c>
      <c r="EC128" s="21">
        <f>EXP(-LN(2)/2)*EC127+(1-EXP(-LN(2)/2))/(LN(2)/2)*DW128*DZ128*VLOOKUP('Données projet'!$B$14,Paramètres!$A$1:$I$89,3,0)*0.475*44/12</f>
        <v>5.9901695666918622E-15</v>
      </c>
      <c r="ED128" s="22">
        <f t="shared" si="72"/>
        <v>64.798121707073179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367.99999999999972</v>
      </c>
      <c r="EK128" s="17">
        <f>EJ128*VLOOKUP('Données projet'!$B$15,Paramètres!$A$1:$I$89,3,0)*VLOOKUP('Données projet'!$B$15,Paramètres!$A$1:$I$89,5,0)</f>
        <v>355.92959999999977</v>
      </c>
      <c r="EL128" s="13">
        <f t="shared" si="99"/>
        <v>82.782281100458206</v>
      </c>
      <c r="EM128" s="20">
        <f t="shared" si="73"/>
        <v>764.08985958329765</v>
      </c>
      <c r="EN128" s="59">
        <f t="shared" si="74"/>
        <v>1057.423192916631</v>
      </c>
      <c r="EO128" s="59">
        <f ca="1">AVERAGE(OFFSET($EN$3,0,0,'Données projet'!$E$15+1,1))-AVERAGE(OFFSET($H$3,0,0,'Données projet'!$E$15+1,1))</f>
        <v>484.41278617935654</v>
      </c>
      <c r="EP128" s="59">
        <f t="shared" si="100"/>
        <v>467.97490540700738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24.933695462393214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24.933695462393214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367.99999999999972</v>
      </c>
      <c r="FF128" s="17">
        <f>FE128*VLOOKUP('Données projet'!$B$16,Paramètres!$A$1:$I$89,3,0)*VLOOKUP('Données projet'!$B$16,Paramètres!$A$1:$I$89,5,0)</f>
        <v>396.11519999999967</v>
      </c>
      <c r="FG128" s="13">
        <f t="shared" si="101"/>
        <v>90.988634849704994</v>
      </c>
      <c r="FH128" s="20">
        <f t="shared" si="76"/>
        <v>848.37251236323561</v>
      </c>
      <c r="FI128" s="59">
        <f t="shared" si="77"/>
        <v>1141.705845696569</v>
      </c>
      <c r="FJ128" s="59">
        <f ca="1">AVERAGE(OFFSET($FI$3,0,0,'Données projet'!$E$16+1,1))-AVERAGE(OFFSET($H$3,0,0,'Données projet'!$E$16+1,1))</f>
        <v>534.54020133239135</v>
      </c>
      <c r="FK128" s="59">
        <f t="shared" si="102"/>
        <v>515.48696069008815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27.748790111373115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27.748790111373115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248.99999999999994</v>
      </c>
      <c r="GA128" s="17">
        <f>FZ128*VLOOKUP('Données projet'!$B$17,Paramètres!$A$1:$I$89,3,0)*VLOOKUP('Données projet'!$B$17,Paramètres!$A$1:$I$89,5,0)</f>
        <v>236.94839999999994</v>
      </c>
      <c r="GB128" s="13">
        <f t="shared" si="103"/>
        <v>57.782475694292401</v>
      </c>
      <c r="GC128" s="20">
        <f t="shared" si="79"/>
        <v>513.32294183422573</v>
      </c>
      <c r="GD128" s="59">
        <f t="shared" si="80"/>
        <v>806.65627516755899</v>
      </c>
      <c r="GE128" s="59">
        <f ca="1">AVERAGE(OFFSET($GD$3,0,0,'Données projet'!$E$17+1,1))-AVERAGE(OFFSET($H$3,0,0,'Données projet'!$E$17+1,1))</f>
        <v>455.71329051283936</v>
      </c>
      <c r="GF128" s="59">
        <f t="shared" si="104"/>
        <v>479.3743231122258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64.448622183149354</v>
      </c>
      <c r="GM128" s="21">
        <f>EXP(-LN(2)/25)*GM127+(1-EXP(-LN(2)/25))/(LN(2)/25)*Calculateur!GH128*Calculateur!GJ128*VLOOKUP('Données projet'!$B$17,Paramètres!$A$1:$I$89,3,0)*0.475*44/12</f>
        <v>0</v>
      </c>
      <c r="GN128" s="21">
        <f>EXP(-LN(2)/2)*GN127+(1-EXP(-LN(2)/2))/(LN(2)/2)*GH128*GK128*VLOOKUP('Données projet'!$B$17,Paramètres!$A$1:$I$89,3,0)*0.475*44/12</f>
        <v>0</v>
      </c>
      <c r="GO128" s="21">
        <f t="shared" si="81"/>
        <v>64.448622183149354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367.99999999999972</v>
      </c>
      <c r="GV128" s="17">
        <f>GU128*VLOOKUP('Données projet'!$B$18,Paramètres!$A$1:$I$89,3,0)*VLOOKUP('Données projet'!$B$18,Paramètres!$A$1:$I$89,5,0)</f>
        <v>298.52159999999981</v>
      </c>
      <c r="GW128" s="13">
        <f t="shared" si="105"/>
        <v>70.866444995542437</v>
      </c>
      <c r="GX128" s="20">
        <f t="shared" si="82"/>
        <v>643.35084503390271</v>
      </c>
      <c r="GY128" s="59">
        <f t="shared" si="83"/>
        <v>936.68417836723597</v>
      </c>
      <c r="GZ128" s="59">
        <f ca="1">AVERAGE(OFFSET($GY$3,0,0,'Données projet'!$E$18+1,1))-AVERAGE(OFFSET($H$3,0,0,'Données projet'!$E$18+1,1))</f>
        <v>412.59676769258488</v>
      </c>
      <c r="HA128" s="59">
        <f t="shared" si="106"/>
        <v>399.90063795152133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20.912131678136259</v>
      </c>
      <c r="HH128" s="21">
        <f>EXP(-LN(2)/25)*HH127+(1-EXP(-LN(2)/25))/(LN(2)/25)*Calculateur!HC128*Calculateur!HE128*VLOOKUP('Données projet'!$B$18,Paramètres!$A$1:$I$89,3,0)*0.475*44/12</f>
        <v>0</v>
      </c>
      <c r="HI128" s="21">
        <f>EXP(-LN(2)/2)*HI127+(1-EXP(-LN(2)/2))/(LN(2)/2)*HC128*HF128*VLOOKUP('Données projet'!$B$18,Paramètres!$A$1:$I$89,3,0)*0.475*44/12</f>
        <v>0</v>
      </c>
      <c r="HJ128" s="22">
        <f t="shared" si="84"/>
        <v>20.912131678136259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306.99999999999994</v>
      </c>
      <c r="O129" s="13">
        <f>N129*VLOOKUP('Données projet'!$B$9,Paramètres!$A$1:$I$89,3,0)*VLOOKUP('Données projet'!$B$9,Paramètres!$A$1:$I$89,5,0)</f>
        <v>277.77359999999993</v>
      </c>
      <c r="P129" s="13">
        <f t="shared" si="87"/>
        <v>66.496288176842356</v>
      </c>
      <c r="Q129" s="20">
        <f t="shared" si="107"/>
        <v>599.60338857466706</v>
      </c>
      <c r="R129" s="59">
        <f t="shared" si="55"/>
        <v>892.93672190800044</v>
      </c>
      <c r="S129" s="59">
        <f ca="1">AVERAGE(OFFSET($R$3,0,0,'Données projet'!$E$9+1,1))-AVERAGE(OFFSET($H$3,0,0,'Données projet'!$E$9+1,1))</f>
        <v>439.19854273764042</v>
      </c>
      <c r="T129" s="59">
        <f t="shared" si="88"/>
        <v>278.21741231699929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80.50316838320316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80.50316838320316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306.99999999999994</v>
      </c>
      <c r="AJ129" s="13">
        <f>AI129*VLOOKUP('Données projet'!$B$10,Paramètres!$A$1:$I$89,3,0)*VLOOKUP('Données projet'!$B$10,Paramètres!$A$1:$I$89,5,0)</f>
        <v>311.298</v>
      </c>
      <c r="AK129" s="13">
        <f t="shared" si="89"/>
        <v>73.539838278528748</v>
      </c>
      <c r="AL129" s="20">
        <f t="shared" si="58"/>
        <v>670.25923500177089</v>
      </c>
      <c r="AM129" s="59">
        <f t="shared" si="59"/>
        <v>963.59256833510426</v>
      </c>
      <c r="AN129" s="59">
        <f ca="1">AVERAGE(OFFSET($AM$3,0,0,'Données projet'!$E$10+1,1))-AVERAGE(OFFSET($H$3,0,0,'Données projet'!$E$10+1,1))</f>
        <v>487.18832528146936</v>
      </c>
      <c r="AO129" s="59">
        <f t="shared" si="90"/>
        <v>306.61893266146666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90.219068015658735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90.219068015658735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369.00000000000023</v>
      </c>
      <c r="BE129" s="13">
        <f>BD129*VLOOKUP('Données projet'!$B$11,Paramètres!$A$1:$I$89,3,0)*VLOOKUP('Données projet'!$B$11,Paramètres!$A$1:$I$89,5,0)</f>
        <v>333.87120000000021</v>
      </c>
      <c r="BF129" s="13">
        <f t="shared" si="91"/>
        <v>78.23236011137638</v>
      </c>
      <c r="BG129" s="20">
        <f t="shared" si="61"/>
        <v>717.74703386064755</v>
      </c>
      <c r="BH129" s="59">
        <f t="shared" si="62"/>
        <v>1011.0803671939809</v>
      </c>
      <c r="BI129" s="59">
        <f ca="1">AVERAGE(OFFSET($BH$3,0,0,'Données projet'!$E$11+1,1))-AVERAGE(OFFSET($H$3,0,0,'Données projet'!$E$11+1,1))</f>
        <v>436.23918637269577</v>
      </c>
      <c r="BJ129" s="59">
        <f t="shared" si="92"/>
        <v>611.43967996341894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1.5792161570979961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1.5792161570979961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224.00000000000006</v>
      </c>
      <c r="BZ129" s="13">
        <f>BY129*VLOOKUP('Données projet'!$B$12,Paramètres!$A$1:$I$89,3,0)*VLOOKUP('Données projet'!$B$12,Paramètres!$A$1:$I$89,5,0)</f>
        <v>195.68640000000008</v>
      </c>
      <c r="CA129" s="13">
        <f t="shared" si="93"/>
        <v>48.794969360985156</v>
      </c>
      <c r="CB129" s="20">
        <f t="shared" si="64"/>
        <v>425.8050516370493</v>
      </c>
      <c r="CC129" s="59">
        <f t="shared" si="65"/>
        <v>719.13838497038262</v>
      </c>
      <c r="CD129" s="59">
        <f ca="1">AVERAGE(OFFSET($CC$3,0,0,'Données projet'!$E$12+1,1))-AVERAGE(OFFSET($H$3,0,0,'Données projet'!$E$12+1,1))</f>
        <v>304.32767345253382</v>
      </c>
      <c r="CE129" s="59">
        <f t="shared" si="94"/>
        <v>427.16091343339173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17.053935226648559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17.053935226648559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739.99999999999966</v>
      </c>
      <c r="CU129" s="17">
        <f>CT129*VLOOKUP('Données projet'!$B$13,Paramètres!$A$1:$I$89,3,0)*VLOOKUP('Données projet'!$B$13,Paramètres!$A$1:$I$89,5,0)</f>
        <v>413.65999999999985</v>
      </c>
      <c r="CV129" s="13">
        <f t="shared" si="95"/>
        <v>94.540585122244352</v>
      </c>
      <c r="CW129" s="20">
        <f t="shared" si="67"/>
        <v>885.11601908790863</v>
      </c>
      <c r="CX129" s="59">
        <f t="shared" si="68"/>
        <v>1178.4493524212419</v>
      </c>
      <c r="CY129" s="59">
        <f ca="1">AVERAGE(OFFSET($CX$3,0,0,'Données projet'!$E$13+1,1))-AVERAGE(OFFSET($H$3,0,0,'Données projet'!$E$13+1,1))</f>
        <v>555.15881087162279</v>
      </c>
      <c r="CZ129" s="59">
        <f t="shared" si="96"/>
        <v>668.20427590250733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33.419244604493841</v>
      </c>
      <c r="DG129" s="21">
        <f>EXP(-LN(2)/25)*DG128+(1-EXP(-LN(2)/25))/(LN(2)/25)*Calculateur!DB129*Calculateur!DD129*VLOOKUP('Données projet'!$B$13,Paramètres!$A$1:$I$89,3,0)*0.475*44/12</f>
        <v>4.034918675490438</v>
      </c>
      <c r="DH129" s="21">
        <f>EXP(-LN(2)/2)*DH128+(1-EXP(-LN(2)/2))/(LN(2)/2)*DB129*DE129*VLOOKUP('Données projet'!$B$13,Paramètres!$A$1:$I$89,3,0)*0.475*44/12</f>
        <v>3.0215238906054692E-15</v>
      </c>
      <c r="DI129" s="22">
        <f t="shared" si="69"/>
        <v>37.454163279984279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911.99999999999898</v>
      </c>
      <c r="DP129" s="17">
        <f>DO129*VLOOKUP('Données projet'!$B$14,Paramètres!$A$1:$I$89,3,0)*VLOOKUP('Données projet'!$B$14,Paramètres!$A$1:$I$89,5,0)</f>
        <v>426.81599999999946</v>
      </c>
      <c r="DQ129" s="13">
        <f t="shared" si="97"/>
        <v>97.192496986872399</v>
      </c>
      <c r="DR129" s="20">
        <f t="shared" si="70"/>
        <v>912.64813225213504</v>
      </c>
      <c r="DS129" s="59">
        <f t="shared" si="71"/>
        <v>1205.9814655854684</v>
      </c>
      <c r="DT129" s="59">
        <f ca="1">AVERAGE(OFFSET($DS$3,0,0,'Données projet'!$E$14+1,1))-AVERAGE(OFFSET($H$3,0,0,'Données projet'!$E$14+1,1))</f>
        <v>523.79180230463714</v>
      </c>
      <c r="DU129" s="59">
        <f t="shared" si="98"/>
        <v>459.3547783500515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59.766001482173827</v>
      </c>
      <c r="EB129" s="21">
        <f>EXP(-LN(2)/25)*EB128+(1-EXP(-LN(2)/25))/(LN(2)/25)*Calculateur!DW129*Calculateur!DY129*VLOOKUP('Données projet'!$B$14,Paramètres!$A$1:$I$89,3,0)*0.475*44/12</f>
        <v>3.7317891337625069</v>
      </c>
      <c r="EC129" s="21">
        <f>EXP(-LN(2)/2)*EC128+(1-EXP(-LN(2)/2))/(LN(2)/2)*DW129*DZ129*VLOOKUP('Données projet'!$B$14,Paramètres!$A$1:$I$89,3,0)*0.475*44/12</f>
        <v>4.2356895210650988E-15</v>
      </c>
      <c r="ED129" s="22">
        <f t="shared" si="72"/>
        <v>63.497790615936339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367.99999999999972</v>
      </c>
      <c r="EK129" s="17">
        <f>EJ129*VLOOKUP('Données projet'!$B$15,Paramètres!$A$1:$I$89,3,0)*VLOOKUP('Données projet'!$B$15,Paramètres!$A$1:$I$89,5,0)</f>
        <v>355.92959999999977</v>
      </c>
      <c r="EL129" s="13">
        <f t="shared" si="99"/>
        <v>82.782281100458206</v>
      </c>
      <c r="EM129" s="20">
        <f t="shared" si="73"/>
        <v>764.08985958329765</v>
      </c>
      <c r="EN129" s="59">
        <f t="shared" si="74"/>
        <v>1057.423192916631</v>
      </c>
      <c r="EO129" s="59">
        <f ca="1">AVERAGE(OFFSET($EN$3,0,0,'Données projet'!$E$15+1,1))-AVERAGE(OFFSET($H$3,0,0,'Données projet'!$E$15+1,1))</f>
        <v>484.41278617935654</v>
      </c>
      <c r="EP129" s="59">
        <f t="shared" si="100"/>
        <v>467.97490540700738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24.444760902428243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24.444760902428243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367.99999999999972</v>
      </c>
      <c r="FF129" s="17">
        <f>FE129*VLOOKUP('Données projet'!$B$16,Paramètres!$A$1:$I$89,3,0)*VLOOKUP('Données projet'!$B$16,Paramètres!$A$1:$I$89,5,0)</f>
        <v>396.11519999999967</v>
      </c>
      <c r="FG129" s="13">
        <f t="shared" si="101"/>
        <v>90.988634849704994</v>
      </c>
      <c r="FH129" s="20">
        <f t="shared" si="76"/>
        <v>848.37251236323561</v>
      </c>
      <c r="FI129" s="59">
        <f t="shared" si="77"/>
        <v>1141.705845696569</v>
      </c>
      <c r="FJ129" s="59">
        <f ca="1">AVERAGE(OFFSET($FI$3,0,0,'Données projet'!$E$16+1,1))-AVERAGE(OFFSET($H$3,0,0,'Données projet'!$E$16+1,1))</f>
        <v>534.54020133239135</v>
      </c>
      <c r="FK129" s="59">
        <f t="shared" si="102"/>
        <v>515.48696069008815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27.204653262379843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27.204653262379843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248.99999999999994</v>
      </c>
      <c r="GA129" s="17">
        <f>FZ129*VLOOKUP('Données projet'!$B$17,Paramètres!$A$1:$I$89,3,0)*VLOOKUP('Données projet'!$B$17,Paramètres!$A$1:$I$89,5,0)</f>
        <v>236.94839999999994</v>
      </c>
      <c r="GB129" s="13">
        <f t="shared" si="103"/>
        <v>57.782475694292401</v>
      </c>
      <c r="GC129" s="20">
        <f t="shared" si="79"/>
        <v>513.32294183422573</v>
      </c>
      <c r="GD129" s="59">
        <f t="shared" si="80"/>
        <v>806.65627516755899</v>
      </c>
      <c r="GE129" s="59">
        <f ca="1">AVERAGE(OFFSET($GD$3,0,0,'Données projet'!$E$17+1,1))-AVERAGE(OFFSET($H$3,0,0,'Données projet'!$E$17+1,1))</f>
        <v>455.71329051283936</v>
      </c>
      <c r="GF129" s="59">
        <f t="shared" si="104"/>
        <v>479.3743231122258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63.184824011915808</v>
      </c>
      <c r="GM129" s="21">
        <f>EXP(-LN(2)/25)*GM128+(1-EXP(-LN(2)/25))/(LN(2)/25)*Calculateur!GH129*Calculateur!GJ129*VLOOKUP('Données projet'!$B$17,Paramètres!$A$1:$I$89,3,0)*0.475*44/12</f>
        <v>0</v>
      </c>
      <c r="GN129" s="21">
        <f>EXP(-LN(2)/2)*GN128+(1-EXP(-LN(2)/2))/(LN(2)/2)*GH129*GK129*VLOOKUP('Données projet'!$B$17,Paramètres!$A$1:$I$89,3,0)*0.475*44/12</f>
        <v>0</v>
      </c>
      <c r="GO129" s="21">
        <f t="shared" si="81"/>
        <v>63.184824011915808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367.99999999999972</v>
      </c>
      <c r="GV129" s="17">
        <f>GU129*VLOOKUP('Données projet'!$B$18,Paramètres!$A$1:$I$89,3,0)*VLOOKUP('Données projet'!$B$18,Paramètres!$A$1:$I$89,5,0)</f>
        <v>298.52159999999981</v>
      </c>
      <c r="GW129" s="13">
        <f t="shared" si="105"/>
        <v>70.866444995542437</v>
      </c>
      <c r="GX129" s="20">
        <f t="shared" si="82"/>
        <v>643.35084503390271</v>
      </c>
      <c r="GY129" s="59">
        <f t="shared" si="83"/>
        <v>936.68417836723597</v>
      </c>
      <c r="GZ129" s="59">
        <f ca="1">AVERAGE(OFFSET($GY$3,0,0,'Données projet'!$E$18+1,1))-AVERAGE(OFFSET($H$3,0,0,'Données projet'!$E$18+1,1))</f>
        <v>412.59676769258488</v>
      </c>
      <c r="HA129" s="59">
        <f t="shared" si="106"/>
        <v>399.90063795152133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20.502057531068864</v>
      </c>
      <c r="HH129" s="21">
        <f>EXP(-LN(2)/25)*HH128+(1-EXP(-LN(2)/25))/(LN(2)/25)*Calculateur!HC129*Calculateur!HE129*VLOOKUP('Données projet'!$B$18,Paramètres!$A$1:$I$89,3,0)*0.475*44/12</f>
        <v>0</v>
      </c>
      <c r="HI129" s="21">
        <f>EXP(-LN(2)/2)*HI128+(1-EXP(-LN(2)/2))/(LN(2)/2)*HC129*HF129*VLOOKUP('Données projet'!$B$18,Paramètres!$A$1:$I$89,3,0)*0.475*44/12</f>
        <v>0</v>
      </c>
      <c r="HJ129" s="22">
        <f t="shared" si="84"/>
        <v>20.502057531068864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306.99999999999994</v>
      </c>
      <c r="O130" s="13">
        <f>N130*VLOOKUP('Données projet'!$B$9,Paramètres!$A$1:$I$89,3,0)*VLOOKUP('Données projet'!$B$9,Paramètres!$A$1:$I$89,5,0)</f>
        <v>277.77359999999993</v>
      </c>
      <c r="P130" s="13">
        <f t="shared" si="87"/>
        <v>66.496288176842356</v>
      </c>
      <c r="Q130" s="20">
        <f t="shared" si="107"/>
        <v>599.60338857466706</v>
      </c>
      <c r="R130" s="59">
        <f t="shared" si="55"/>
        <v>892.93672190800044</v>
      </c>
      <c r="S130" s="59">
        <f ca="1">AVERAGE(OFFSET($R$3,0,0,'Données projet'!$E$9+1,1))-AVERAGE(OFFSET($H$3,0,0,'Données projet'!$E$9+1,1))</f>
        <v>439.19854273764042</v>
      </c>
      <c r="T130" s="59">
        <f t="shared" si="88"/>
        <v>278.21741231699929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78.92455035329283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78.92455035329283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306.99999999999994</v>
      </c>
      <c r="AJ130" s="13">
        <f>AI130*VLOOKUP('Données projet'!$B$10,Paramètres!$A$1:$I$89,3,0)*VLOOKUP('Données projet'!$B$10,Paramètres!$A$1:$I$89,5,0)</f>
        <v>311.298</v>
      </c>
      <c r="AK130" s="13">
        <f t="shared" si="89"/>
        <v>73.539838278528748</v>
      </c>
      <c r="AL130" s="20">
        <f t="shared" si="58"/>
        <v>670.25923500177089</v>
      </c>
      <c r="AM130" s="59">
        <f t="shared" si="59"/>
        <v>963.59256833510426</v>
      </c>
      <c r="AN130" s="59">
        <f ca="1">AVERAGE(OFFSET($AM$3,0,0,'Données projet'!$E$10+1,1))-AVERAGE(OFFSET($H$3,0,0,'Données projet'!$E$10+1,1))</f>
        <v>487.18832528146936</v>
      </c>
      <c r="AO130" s="59">
        <f t="shared" si="90"/>
        <v>306.61893266146666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88.449927120069574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88.449927120069574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369.00000000000023</v>
      </c>
      <c r="BE130" s="13">
        <f>BD130*VLOOKUP('Données projet'!$B$11,Paramètres!$A$1:$I$89,3,0)*VLOOKUP('Données projet'!$B$11,Paramètres!$A$1:$I$89,5,0)</f>
        <v>333.87120000000021</v>
      </c>
      <c r="BF130" s="13">
        <f t="shared" si="91"/>
        <v>78.23236011137638</v>
      </c>
      <c r="BG130" s="20">
        <f t="shared" si="61"/>
        <v>717.74703386064755</v>
      </c>
      <c r="BH130" s="59">
        <f t="shared" si="62"/>
        <v>1011.0803671939809</v>
      </c>
      <c r="BI130" s="59">
        <f ca="1">AVERAGE(OFFSET($BH$3,0,0,'Données projet'!$E$11+1,1))-AVERAGE(OFFSET($H$3,0,0,'Données projet'!$E$11+1,1))</f>
        <v>436.23918637269577</v>
      </c>
      <c r="BJ130" s="59">
        <f t="shared" si="92"/>
        <v>611.43967996341894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1.5482486914840494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1.5482486914840494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224.00000000000006</v>
      </c>
      <c r="BZ130" s="13">
        <f>BY130*VLOOKUP('Données projet'!$B$12,Paramètres!$A$1:$I$89,3,0)*VLOOKUP('Données projet'!$B$12,Paramètres!$A$1:$I$89,5,0)</f>
        <v>195.68640000000008</v>
      </c>
      <c r="CA130" s="13">
        <f t="shared" si="93"/>
        <v>48.794969360985156</v>
      </c>
      <c r="CB130" s="20">
        <f t="shared" si="64"/>
        <v>425.8050516370493</v>
      </c>
      <c r="CC130" s="59">
        <f t="shared" si="65"/>
        <v>719.13838497038262</v>
      </c>
      <c r="CD130" s="59">
        <f ca="1">AVERAGE(OFFSET($CC$3,0,0,'Données projet'!$E$12+1,1))-AVERAGE(OFFSET($H$3,0,0,'Données projet'!$E$12+1,1))</f>
        <v>304.32767345253382</v>
      </c>
      <c r="CE130" s="59">
        <f t="shared" si="94"/>
        <v>427.16091343339173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16.719517958727369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16.719517958727369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739.99999999999966</v>
      </c>
      <c r="CU130" s="17">
        <f>CT130*VLOOKUP('Données projet'!$B$13,Paramètres!$A$1:$I$89,3,0)*VLOOKUP('Données projet'!$B$13,Paramètres!$A$1:$I$89,5,0)</f>
        <v>413.65999999999985</v>
      </c>
      <c r="CV130" s="13">
        <f t="shared" si="95"/>
        <v>94.540585122244352</v>
      </c>
      <c r="CW130" s="20">
        <f t="shared" si="67"/>
        <v>885.11601908790863</v>
      </c>
      <c r="CX130" s="59">
        <f t="shared" si="68"/>
        <v>1178.4493524212419</v>
      </c>
      <c r="CY130" s="59">
        <f ca="1">AVERAGE(OFFSET($CX$3,0,0,'Données projet'!$E$13+1,1))-AVERAGE(OFFSET($H$3,0,0,'Données projet'!$E$13+1,1))</f>
        <v>555.15881087162279</v>
      </c>
      <c r="CZ130" s="59">
        <f t="shared" si="96"/>
        <v>668.20427590250733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32.763913601526198</v>
      </c>
      <c r="DG130" s="21">
        <f>EXP(-LN(2)/25)*DG129+(1-EXP(-LN(2)/25))/(LN(2)/25)*Calculateur!DB130*Calculateur!DD130*VLOOKUP('Données projet'!$B$13,Paramètres!$A$1:$I$89,3,0)*0.475*44/12</f>
        <v>3.9245836121220008</v>
      </c>
      <c r="DH130" s="21">
        <f>EXP(-LN(2)/2)*DH129+(1-EXP(-LN(2)/2))/(LN(2)/2)*DB130*DE130*VLOOKUP('Données projet'!$B$13,Paramètres!$A$1:$I$89,3,0)*0.475*44/12</f>
        <v>2.1365400325642872E-15</v>
      </c>
      <c r="DI130" s="22">
        <f t="shared" si="69"/>
        <v>36.688497213648198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911.99999999999898</v>
      </c>
      <c r="DP130" s="17">
        <f>DO130*VLOOKUP('Données projet'!$B$14,Paramètres!$A$1:$I$89,3,0)*VLOOKUP('Données projet'!$B$14,Paramètres!$A$1:$I$89,5,0)</f>
        <v>426.81599999999946</v>
      </c>
      <c r="DQ130" s="13">
        <f t="shared" si="97"/>
        <v>97.192496986872399</v>
      </c>
      <c r="DR130" s="20">
        <f t="shared" si="70"/>
        <v>912.64813225213504</v>
      </c>
      <c r="DS130" s="59">
        <f t="shared" si="71"/>
        <v>1205.9814655854684</v>
      </c>
      <c r="DT130" s="59">
        <f ca="1">AVERAGE(OFFSET($DS$3,0,0,'Données projet'!$E$14+1,1))-AVERAGE(OFFSET($H$3,0,0,'Données projet'!$E$14+1,1))</f>
        <v>523.79180230463714</v>
      </c>
      <c r="DU130" s="59">
        <f t="shared" si="98"/>
        <v>459.3547783500515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58.594026646769805</v>
      </c>
      <c r="EB130" s="21">
        <f>EXP(-LN(2)/25)*EB129+(1-EXP(-LN(2)/25))/(LN(2)/25)*Calculateur!DW130*Calculateur!DY130*VLOOKUP('Données projet'!$B$14,Paramètres!$A$1:$I$89,3,0)*0.475*44/12</f>
        <v>3.6297431636535098</v>
      </c>
      <c r="EC130" s="21">
        <f>EXP(-LN(2)/2)*EC129+(1-EXP(-LN(2)/2))/(LN(2)/2)*DW130*DZ130*VLOOKUP('Données projet'!$B$14,Paramètres!$A$1:$I$89,3,0)*0.475*44/12</f>
        <v>2.9950847833459311E-15</v>
      </c>
      <c r="ED130" s="22">
        <f t="shared" si="72"/>
        <v>62.223769810423313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367.99999999999972</v>
      </c>
      <c r="EK130" s="17">
        <f>EJ130*VLOOKUP('Données projet'!$B$15,Paramètres!$A$1:$I$89,3,0)*VLOOKUP('Données projet'!$B$15,Paramètres!$A$1:$I$89,5,0)</f>
        <v>355.92959999999977</v>
      </c>
      <c r="EL130" s="13">
        <f t="shared" si="99"/>
        <v>82.782281100458206</v>
      </c>
      <c r="EM130" s="20">
        <f t="shared" si="73"/>
        <v>764.08985958329765</v>
      </c>
      <c r="EN130" s="59">
        <f t="shared" si="74"/>
        <v>1057.423192916631</v>
      </c>
      <c r="EO130" s="59">
        <f ca="1">AVERAGE(OFFSET($EN$3,0,0,'Données projet'!$E$15+1,1))-AVERAGE(OFFSET($H$3,0,0,'Données projet'!$E$15+1,1))</f>
        <v>484.41278617935654</v>
      </c>
      <c r="EP130" s="59">
        <f t="shared" si="100"/>
        <v>467.97490540700738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23.965414050963552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23.965414050963552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367.99999999999972</v>
      </c>
      <c r="FF130" s="17">
        <f>FE130*VLOOKUP('Données projet'!$B$16,Paramètres!$A$1:$I$89,3,0)*VLOOKUP('Données projet'!$B$16,Paramètres!$A$1:$I$89,5,0)</f>
        <v>396.11519999999967</v>
      </c>
      <c r="FG130" s="13">
        <f t="shared" si="101"/>
        <v>90.988634849704994</v>
      </c>
      <c r="FH130" s="20">
        <f t="shared" si="76"/>
        <v>848.37251236323561</v>
      </c>
      <c r="FI130" s="59">
        <f t="shared" si="77"/>
        <v>1141.705845696569</v>
      </c>
      <c r="FJ130" s="59">
        <f ca="1">AVERAGE(OFFSET($FI$3,0,0,'Données projet'!$E$16+1,1))-AVERAGE(OFFSET($H$3,0,0,'Données projet'!$E$16+1,1))</f>
        <v>534.54020133239135</v>
      </c>
      <c r="FK130" s="59">
        <f t="shared" si="102"/>
        <v>515.48696069008815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26.671186605104623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26.671186605104623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248.99999999999994</v>
      </c>
      <c r="GA130" s="17">
        <f>FZ130*VLOOKUP('Données projet'!$B$17,Paramètres!$A$1:$I$89,3,0)*VLOOKUP('Données projet'!$B$17,Paramètres!$A$1:$I$89,5,0)</f>
        <v>236.94839999999994</v>
      </c>
      <c r="GB130" s="13">
        <f t="shared" si="103"/>
        <v>57.782475694292401</v>
      </c>
      <c r="GC130" s="20">
        <f t="shared" si="79"/>
        <v>513.32294183422573</v>
      </c>
      <c r="GD130" s="59">
        <f t="shared" si="80"/>
        <v>806.65627516755899</v>
      </c>
      <c r="GE130" s="59">
        <f ca="1">AVERAGE(OFFSET($GD$3,0,0,'Données projet'!$E$17+1,1))-AVERAGE(OFFSET($H$3,0,0,'Données projet'!$E$17+1,1))</f>
        <v>455.71329051283936</v>
      </c>
      <c r="GF130" s="59">
        <f t="shared" si="104"/>
        <v>479.3743231122258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61.945808151979385</v>
      </c>
      <c r="GM130" s="21">
        <f>EXP(-LN(2)/25)*GM129+(1-EXP(-LN(2)/25))/(LN(2)/25)*Calculateur!GH130*Calculateur!GJ130*VLOOKUP('Données projet'!$B$17,Paramètres!$A$1:$I$89,3,0)*0.475*44/12</f>
        <v>0</v>
      </c>
      <c r="GN130" s="21">
        <f>EXP(-LN(2)/2)*GN129+(1-EXP(-LN(2)/2))/(LN(2)/2)*GH130*GK130*VLOOKUP('Données projet'!$B$17,Paramètres!$A$1:$I$89,3,0)*0.475*44/12</f>
        <v>0</v>
      </c>
      <c r="GO130" s="21">
        <f t="shared" si="81"/>
        <v>61.945808151979385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367.99999999999972</v>
      </c>
      <c r="GV130" s="17">
        <f>GU130*VLOOKUP('Données projet'!$B$18,Paramètres!$A$1:$I$89,3,0)*VLOOKUP('Données projet'!$B$18,Paramètres!$A$1:$I$89,5,0)</f>
        <v>298.52159999999981</v>
      </c>
      <c r="GW130" s="13">
        <f t="shared" si="105"/>
        <v>70.866444995542437</v>
      </c>
      <c r="GX130" s="20">
        <f t="shared" si="82"/>
        <v>643.35084503390271</v>
      </c>
      <c r="GY130" s="59">
        <f t="shared" si="83"/>
        <v>936.68417836723597</v>
      </c>
      <c r="GZ130" s="59">
        <f ca="1">AVERAGE(OFFSET($GY$3,0,0,'Données projet'!$E$18+1,1))-AVERAGE(OFFSET($H$3,0,0,'Données projet'!$E$18+1,1))</f>
        <v>412.59676769258488</v>
      </c>
      <c r="HA130" s="59">
        <f t="shared" si="106"/>
        <v>399.90063795152133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20.100024687904931</v>
      </c>
      <c r="HH130" s="21">
        <f>EXP(-LN(2)/25)*HH129+(1-EXP(-LN(2)/25))/(LN(2)/25)*Calculateur!HC130*Calculateur!HE130*VLOOKUP('Données projet'!$B$18,Paramètres!$A$1:$I$89,3,0)*0.475*44/12</f>
        <v>0</v>
      </c>
      <c r="HI130" s="21">
        <f>EXP(-LN(2)/2)*HI129+(1-EXP(-LN(2)/2))/(LN(2)/2)*HC130*HF130*VLOOKUP('Données projet'!$B$18,Paramètres!$A$1:$I$89,3,0)*0.475*44/12</f>
        <v>0</v>
      </c>
      <c r="HJ130" s="22">
        <f t="shared" si="84"/>
        <v>20.100024687904931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306.99999999999994</v>
      </c>
      <c r="O131" s="13">
        <f>N131*VLOOKUP('Données projet'!$B$9,Paramètres!$A$1:$I$89,3,0)*VLOOKUP('Données projet'!$B$9,Paramètres!$A$1:$I$89,5,0)</f>
        <v>277.77359999999993</v>
      </c>
      <c r="P131" s="13">
        <f t="shared" si="87"/>
        <v>66.496288176842356</v>
      </c>
      <c r="Q131" s="20">
        <f t="shared" ref="Q131:Q153" si="108">(O131+P131)*0.475*44/12</f>
        <v>599.60338857466706</v>
      </c>
      <c r="R131" s="59">
        <f t="shared" ref="R131:R194" si="109">Q131+(I131+J131)*44/12</f>
        <v>892.93672190800044</v>
      </c>
      <c r="S131" s="59">
        <f ca="1">AVERAGE(OFFSET($R$3,0,0,'Données projet'!$E$9+1,1))-AVERAGE(OFFSET($H$3,0,0,'Données projet'!$E$9+1,1))</f>
        <v>439.19854273764042</v>
      </c>
      <c r="T131" s="59">
        <f t="shared" si="88"/>
        <v>278.21741231699929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77.376888060087126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77.376888060087126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306.99999999999994</v>
      </c>
      <c r="AJ131" s="13">
        <f>AI131*VLOOKUP('Données projet'!$B$10,Paramètres!$A$1:$I$89,3,0)*VLOOKUP('Données projet'!$B$10,Paramètres!$A$1:$I$89,5,0)</f>
        <v>311.298</v>
      </c>
      <c r="AK131" s="13">
        <f t="shared" si="89"/>
        <v>73.539838278528748</v>
      </c>
      <c r="AL131" s="20">
        <f t="shared" si="58"/>
        <v>670.25923500177089</v>
      </c>
      <c r="AM131" s="59">
        <f t="shared" si="59"/>
        <v>963.59256833510426</v>
      </c>
      <c r="AN131" s="59">
        <f ca="1">AVERAGE(OFFSET($AM$3,0,0,'Données projet'!$E$10+1,1))-AVERAGE(OFFSET($H$3,0,0,'Données projet'!$E$10+1,1))</f>
        <v>487.18832528146936</v>
      </c>
      <c r="AO131" s="59">
        <f t="shared" si="90"/>
        <v>306.61893266146666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86.715477998373515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86.715477998373515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369.00000000000023</v>
      </c>
      <c r="BE131" s="13">
        <f>BD131*VLOOKUP('Données projet'!$B$11,Paramètres!$A$1:$I$89,3,0)*VLOOKUP('Données projet'!$B$11,Paramètres!$A$1:$I$89,5,0)</f>
        <v>333.87120000000021</v>
      </c>
      <c r="BF131" s="13">
        <f t="shared" si="91"/>
        <v>78.23236011137638</v>
      </c>
      <c r="BG131" s="20">
        <f t="shared" si="61"/>
        <v>717.74703386064755</v>
      </c>
      <c r="BH131" s="59">
        <f t="shared" si="62"/>
        <v>1011.0803671939809</v>
      </c>
      <c r="BI131" s="59">
        <f ca="1">AVERAGE(OFFSET($BH$3,0,0,'Données projet'!$E$11+1,1))-AVERAGE(OFFSET($H$3,0,0,'Données projet'!$E$11+1,1))</f>
        <v>436.23918637269577</v>
      </c>
      <c r="BJ131" s="59">
        <f t="shared" si="92"/>
        <v>611.43967996341894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1.5178884789825033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1.5178884789825033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224.00000000000006</v>
      </c>
      <c r="BZ131" s="13">
        <f>BY131*VLOOKUP('Données projet'!$B$12,Paramètres!$A$1:$I$89,3,0)*VLOOKUP('Données projet'!$B$12,Paramètres!$A$1:$I$89,5,0)</f>
        <v>195.68640000000008</v>
      </c>
      <c r="CA131" s="13">
        <f t="shared" si="93"/>
        <v>48.794969360985156</v>
      </c>
      <c r="CB131" s="20">
        <f t="shared" si="64"/>
        <v>425.8050516370493</v>
      </c>
      <c r="CC131" s="59">
        <f t="shared" si="65"/>
        <v>719.13838497038262</v>
      </c>
      <c r="CD131" s="59">
        <f ca="1">AVERAGE(OFFSET($CC$3,0,0,'Données projet'!$E$12+1,1))-AVERAGE(OFFSET($H$3,0,0,'Données projet'!$E$12+1,1))</f>
        <v>304.32767345253382</v>
      </c>
      <c r="CE131" s="59">
        <f t="shared" si="94"/>
        <v>427.16091343339173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16.391658409455722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16.391658409455722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739.99999999999966</v>
      </c>
      <c r="CU131" s="17">
        <f>CT131*VLOOKUP('Données projet'!$B$13,Paramètres!$A$1:$I$89,3,0)*VLOOKUP('Données projet'!$B$13,Paramètres!$A$1:$I$89,5,0)</f>
        <v>413.65999999999985</v>
      </c>
      <c r="CV131" s="13">
        <f t="shared" si="95"/>
        <v>94.540585122244352</v>
      </c>
      <c r="CW131" s="20">
        <f t="shared" si="67"/>
        <v>885.11601908790863</v>
      </c>
      <c r="CX131" s="59">
        <f t="shared" si="68"/>
        <v>1178.4493524212419</v>
      </c>
      <c r="CY131" s="59">
        <f ca="1">AVERAGE(OFFSET($CX$3,0,0,'Données projet'!$E$13+1,1))-AVERAGE(OFFSET($H$3,0,0,'Données projet'!$E$13+1,1))</f>
        <v>555.15881087162279</v>
      </c>
      <c r="CZ131" s="59">
        <f t="shared" si="96"/>
        <v>668.20427590250733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32.121433239814309</v>
      </c>
      <c r="DG131" s="21">
        <f>EXP(-LN(2)/25)*DG130+(1-EXP(-LN(2)/25))/(LN(2)/25)*Calculateur!DB131*Calculateur!DD131*VLOOKUP('Données projet'!$B$13,Paramètres!$A$1:$I$89,3,0)*0.475*44/12</f>
        <v>3.8172656668636424</v>
      </c>
      <c r="DH131" s="21">
        <f>EXP(-LN(2)/2)*DH130+(1-EXP(-LN(2)/2))/(LN(2)/2)*DB131*DE131*VLOOKUP('Données projet'!$B$13,Paramètres!$A$1:$I$89,3,0)*0.475*44/12</f>
        <v>1.5107619453027346E-15</v>
      </c>
      <c r="DI131" s="22">
        <f t="shared" si="69"/>
        <v>35.938698906677949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911.99999999999898</v>
      </c>
      <c r="DP131" s="17">
        <f>DO131*VLOOKUP('Données projet'!$B$14,Paramètres!$A$1:$I$89,3,0)*VLOOKUP('Données projet'!$B$14,Paramètres!$A$1:$I$89,5,0)</f>
        <v>426.81599999999946</v>
      </c>
      <c r="DQ131" s="13">
        <f t="shared" si="97"/>
        <v>97.192496986872399</v>
      </c>
      <c r="DR131" s="20">
        <f t="shared" si="70"/>
        <v>912.64813225213504</v>
      </c>
      <c r="DS131" s="59">
        <f t="shared" si="71"/>
        <v>1205.9814655854684</v>
      </c>
      <c r="DT131" s="59">
        <f ca="1">AVERAGE(OFFSET($DS$3,0,0,'Données projet'!$E$14+1,1))-AVERAGE(OFFSET($H$3,0,0,'Données projet'!$E$14+1,1))</f>
        <v>523.79180230463714</v>
      </c>
      <c r="DU131" s="59">
        <f t="shared" si="98"/>
        <v>459.3547783500515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57.445033523053986</v>
      </c>
      <c r="EB131" s="21">
        <f>EXP(-LN(2)/25)*EB130+(1-EXP(-LN(2)/25))/(LN(2)/25)*Calculateur!DW131*Calculateur!DY131*VLOOKUP('Données projet'!$B$14,Paramètres!$A$1:$I$89,3,0)*0.475*44/12</f>
        <v>3.5304876459635075</v>
      </c>
      <c r="EC131" s="21">
        <f>EXP(-LN(2)/2)*EC130+(1-EXP(-LN(2)/2))/(LN(2)/2)*DW131*DZ131*VLOOKUP('Données projet'!$B$14,Paramètres!$A$1:$I$89,3,0)*0.475*44/12</f>
        <v>2.1178447605325494E-15</v>
      </c>
      <c r="ED131" s="22">
        <f t="shared" si="72"/>
        <v>60.975521169017497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367.99999999999972</v>
      </c>
      <c r="EK131" s="17">
        <f>EJ131*VLOOKUP('Données projet'!$B$15,Paramètres!$A$1:$I$89,3,0)*VLOOKUP('Données projet'!$B$15,Paramètres!$A$1:$I$89,5,0)</f>
        <v>355.92959999999977</v>
      </c>
      <c r="EL131" s="13">
        <f t="shared" si="99"/>
        <v>82.782281100458206</v>
      </c>
      <c r="EM131" s="20">
        <f t="shared" si="73"/>
        <v>764.08985958329765</v>
      </c>
      <c r="EN131" s="59">
        <f t="shared" si="74"/>
        <v>1057.423192916631</v>
      </c>
      <c r="EO131" s="59">
        <f ca="1">AVERAGE(OFFSET($EN$3,0,0,'Données projet'!$E$15+1,1))-AVERAGE(OFFSET($H$3,0,0,'Données projet'!$E$15+1,1))</f>
        <v>484.41278617935654</v>
      </c>
      <c r="EP131" s="59">
        <f t="shared" si="100"/>
        <v>467.97490540700738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23.495466898883375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23.495466898883375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367.99999999999972</v>
      </c>
      <c r="FF131" s="17">
        <f>FE131*VLOOKUP('Données projet'!$B$16,Paramètres!$A$1:$I$89,3,0)*VLOOKUP('Données projet'!$B$16,Paramètres!$A$1:$I$89,5,0)</f>
        <v>396.11519999999967</v>
      </c>
      <c r="FG131" s="13">
        <f t="shared" si="101"/>
        <v>90.988634849704994</v>
      </c>
      <c r="FH131" s="20">
        <f t="shared" si="76"/>
        <v>848.37251236323561</v>
      </c>
      <c r="FI131" s="59">
        <f t="shared" si="77"/>
        <v>1141.705845696569</v>
      </c>
      <c r="FJ131" s="59">
        <f ca="1">AVERAGE(OFFSET($FI$3,0,0,'Données projet'!$E$16+1,1))-AVERAGE(OFFSET($H$3,0,0,'Données projet'!$E$16+1,1))</f>
        <v>534.54020133239135</v>
      </c>
      <c r="FK131" s="59">
        <f t="shared" si="102"/>
        <v>515.48696069008815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26.148180903596035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26.148180903596035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248.99999999999994</v>
      </c>
      <c r="GA131" s="17">
        <f>FZ131*VLOOKUP('Données projet'!$B$17,Paramètres!$A$1:$I$89,3,0)*VLOOKUP('Données projet'!$B$17,Paramètres!$A$1:$I$89,5,0)</f>
        <v>236.94839999999994</v>
      </c>
      <c r="GB131" s="13">
        <f t="shared" si="103"/>
        <v>57.782475694292401</v>
      </c>
      <c r="GC131" s="20">
        <f t="shared" si="79"/>
        <v>513.32294183422573</v>
      </c>
      <c r="GD131" s="59">
        <f t="shared" si="80"/>
        <v>806.65627516755899</v>
      </c>
      <c r="GE131" s="59">
        <f ca="1">AVERAGE(OFFSET($GD$3,0,0,'Données projet'!$E$17+1,1))-AVERAGE(OFFSET($H$3,0,0,'Données projet'!$E$17+1,1))</f>
        <v>455.71329051283936</v>
      </c>
      <c r="GF131" s="59">
        <f t="shared" si="104"/>
        <v>479.3743231122258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60.731088637331261</v>
      </c>
      <c r="GM131" s="21">
        <f>EXP(-LN(2)/25)*GM130+(1-EXP(-LN(2)/25))/(LN(2)/25)*Calculateur!GH131*Calculateur!GJ131*VLOOKUP('Données projet'!$B$17,Paramètres!$A$1:$I$89,3,0)*0.475*44/12</f>
        <v>0</v>
      </c>
      <c r="GN131" s="21">
        <f>EXP(-LN(2)/2)*GN130+(1-EXP(-LN(2)/2))/(LN(2)/2)*GH131*GK131*VLOOKUP('Données projet'!$B$17,Paramètres!$A$1:$I$89,3,0)*0.475*44/12</f>
        <v>0</v>
      </c>
      <c r="GO131" s="21">
        <f t="shared" si="81"/>
        <v>60.731088637331261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367.99999999999972</v>
      </c>
      <c r="GV131" s="17">
        <f>GU131*VLOOKUP('Données projet'!$B$18,Paramètres!$A$1:$I$89,3,0)*VLOOKUP('Données projet'!$B$18,Paramètres!$A$1:$I$89,5,0)</f>
        <v>298.52159999999981</v>
      </c>
      <c r="GW131" s="13">
        <f t="shared" si="105"/>
        <v>70.866444995542437</v>
      </c>
      <c r="GX131" s="20">
        <f t="shared" si="82"/>
        <v>643.35084503390271</v>
      </c>
      <c r="GY131" s="59">
        <f t="shared" si="83"/>
        <v>936.68417836723597</v>
      </c>
      <c r="GZ131" s="59">
        <f ca="1">AVERAGE(OFFSET($GY$3,0,0,'Données projet'!$E$18+1,1))-AVERAGE(OFFSET($H$3,0,0,'Données projet'!$E$18+1,1))</f>
        <v>412.59676769258488</v>
      </c>
      <c r="HA131" s="59">
        <f t="shared" si="106"/>
        <v>399.90063795152133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19.70587546357962</v>
      </c>
      <c r="HH131" s="21">
        <f>EXP(-LN(2)/25)*HH130+(1-EXP(-LN(2)/25))/(LN(2)/25)*Calculateur!HC131*Calculateur!HE131*VLOOKUP('Données projet'!$B$18,Paramètres!$A$1:$I$89,3,0)*0.475*44/12</f>
        <v>0</v>
      </c>
      <c r="HI131" s="21">
        <f>EXP(-LN(2)/2)*HI130+(1-EXP(-LN(2)/2))/(LN(2)/2)*HC131*HF131*VLOOKUP('Données projet'!$B$18,Paramètres!$A$1:$I$89,3,0)*0.475*44/12</f>
        <v>0</v>
      </c>
      <c r="HJ131" s="22">
        <f t="shared" si="84"/>
        <v>19.70587546357962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306.99999999999994</v>
      </c>
      <c r="O132" s="13">
        <f>N132*VLOOKUP('Données projet'!$B$9,Paramètres!$A$1:$I$89,3,0)*VLOOKUP('Données projet'!$B$9,Paramètres!$A$1:$I$89,5,0)</f>
        <v>277.77359999999993</v>
      </c>
      <c r="P132" s="13">
        <f t="shared" si="87"/>
        <v>66.496288176842356</v>
      </c>
      <c r="Q132" s="20">
        <f t="shared" si="108"/>
        <v>599.60338857466706</v>
      </c>
      <c r="R132" s="59">
        <f t="shared" si="109"/>
        <v>892.93672190800044</v>
      </c>
      <c r="S132" s="59">
        <f ca="1">AVERAGE(OFFSET($R$3,0,0,'Données projet'!$E$9+1,1))-AVERAGE(OFFSET($H$3,0,0,'Données projet'!$E$9+1,1))</f>
        <v>439.19854273764042</v>
      </c>
      <c r="T132" s="59">
        <f t="shared" si="88"/>
        <v>278.21741231699929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75.859574480470386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75.859574480470386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306.99999999999994</v>
      </c>
      <c r="AJ132" s="13">
        <f>AI132*VLOOKUP('Données projet'!$B$10,Paramètres!$A$1:$I$89,3,0)*VLOOKUP('Données projet'!$B$10,Paramètres!$A$1:$I$89,5,0)</f>
        <v>311.298</v>
      </c>
      <c r="AK132" s="13">
        <f t="shared" si="89"/>
        <v>73.539838278528748</v>
      </c>
      <c r="AL132" s="20">
        <f t="shared" ref="AL132:AL153" si="112">(AJ132+AK132)*0.475*44/12</f>
        <v>670.25923500177089</v>
      </c>
      <c r="AM132" s="59">
        <f t="shared" ref="AM132:AM195" si="113">AL132+(AD132+AE132)*44/12</f>
        <v>963.59256833510426</v>
      </c>
      <c r="AN132" s="59">
        <f ca="1">AVERAGE(OFFSET($AM$3,0,0,'Données projet'!$E$10+1,1))-AVERAGE(OFFSET($H$3,0,0,'Données projet'!$E$10+1,1))</f>
        <v>487.18832528146936</v>
      </c>
      <c r="AO132" s="59">
        <f t="shared" si="90"/>
        <v>306.61893266146666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85.015040366044417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85.015040366044417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369.00000000000023</v>
      </c>
      <c r="BE132" s="13">
        <f>BD132*VLOOKUP('Données projet'!$B$11,Paramètres!$A$1:$I$89,3,0)*VLOOKUP('Données projet'!$B$11,Paramètres!$A$1:$I$89,5,0)</f>
        <v>333.87120000000021</v>
      </c>
      <c r="BF132" s="13">
        <f t="shared" si="91"/>
        <v>78.23236011137638</v>
      </c>
      <c r="BG132" s="20">
        <f t="shared" ref="BG132:BG153" si="115">(BE132+BF132)*0.475*44/12</f>
        <v>717.74703386064755</v>
      </c>
      <c r="BH132" s="59">
        <f t="shared" ref="BH132:BH195" si="116">BG132+(AY132+AZ132)*44/12</f>
        <v>1011.0803671939809</v>
      </c>
      <c r="BI132" s="59">
        <f ca="1">AVERAGE(OFFSET($BH$3,0,0,'Données projet'!$E$11+1,1))-AVERAGE(OFFSET($H$3,0,0,'Données projet'!$E$11+1,1))</f>
        <v>436.23918637269577</v>
      </c>
      <c r="BJ132" s="59">
        <f t="shared" si="92"/>
        <v>611.43967996341894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1.4881236117302115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1.4881236117302115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224.00000000000006</v>
      </c>
      <c r="BZ132" s="13">
        <f>BY132*VLOOKUP('Données projet'!$B$12,Paramètres!$A$1:$I$89,3,0)*VLOOKUP('Données projet'!$B$12,Paramètres!$A$1:$I$89,5,0)</f>
        <v>195.68640000000008</v>
      </c>
      <c r="CA132" s="13">
        <f t="shared" si="93"/>
        <v>48.794969360985156</v>
      </c>
      <c r="CB132" s="20">
        <f t="shared" ref="CB132:CB153" si="118">(BZ132+CA132)*0.475*44/12</f>
        <v>425.8050516370493</v>
      </c>
      <c r="CC132" s="59">
        <f t="shared" ref="CC132:CC195" si="119">CB132+(BT132+BU132)*44/12</f>
        <v>719.13838497038262</v>
      </c>
      <c r="CD132" s="59">
        <f ca="1">AVERAGE(OFFSET($CC$3,0,0,'Données projet'!$E$12+1,1))-AVERAGE(OFFSET($H$3,0,0,'Données projet'!$E$12+1,1))</f>
        <v>304.32767345253382</v>
      </c>
      <c r="CE132" s="59">
        <f t="shared" si="94"/>
        <v>427.16091343339173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16.070227985970714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16.070227985970714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739.99999999999966</v>
      </c>
      <c r="CU132" s="17">
        <f>CT132*VLOOKUP('Données projet'!$B$13,Paramètres!$A$1:$I$89,3,0)*VLOOKUP('Données projet'!$B$13,Paramètres!$A$1:$I$89,5,0)</f>
        <v>413.65999999999985</v>
      </c>
      <c r="CV132" s="13">
        <f t="shared" si="95"/>
        <v>94.540585122244352</v>
      </c>
      <c r="CW132" s="20">
        <f t="shared" ref="CW132:CW153" si="121">(CU132+CV132)*0.475*44/12</f>
        <v>885.11601908790863</v>
      </c>
      <c r="CX132" s="59">
        <f t="shared" ref="CX132:CX195" si="122">CW132+(CO132+CP132)*44/12</f>
        <v>1178.4493524212419</v>
      </c>
      <c r="CY132" s="59">
        <f ca="1">AVERAGE(OFFSET($CX$3,0,0,'Données projet'!$E$13+1,1))-AVERAGE(OFFSET($H$3,0,0,'Données projet'!$E$13+1,1))</f>
        <v>555.15881087162279</v>
      </c>
      <c r="CZ132" s="59">
        <f t="shared" si="96"/>
        <v>668.20427590250733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31.491551526121263</v>
      </c>
      <c r="DG132" s="21">
        <f>EXP(-LN(2)/25)*DG131+(1-EXP(-LN(2)/25))/(LN(2)/25)*Calculateur!DB132*Calculateur!DD132*VLOOKUP('Données projet'!$B$13,Paramètres!$A$1:$I$89,3,0)*0.475*44/12</f>
        <v>3.7128823364619792</v>
      </c>
      <c r="DH132" s="21">
        <f>EXP(-LN(2)/2)*DH131+(1-EXP(-LN(2)/2))/(LN(2)/2)*DB132*DE132*VLOOKUP('Données projet'!$B$13,Paramètres!$A$1:$I$89,3,0)*0.475*44/12</f>
        <v>1.0682700162821436E-15</v>
      </c>
      <c r="DI132" s="22">
        <f t="shared" ref="DI132:DI153" si="123">SUM(DF132:DH132)</f>
        <v>35.204433862583244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911.99999999999898</v>
      </c>
      <c r="DP132" s="17">
        <f>DO132*VLOOKUP('Données projet'!$B$14,Paramètres!$A$1:$I$89,3,0)*VLOOKUP('Données projet'!$B$14,Paramètres!$A$1:$I$89,5,0)</f>
        <v>426.81599999999946</v>
      </c>
      <c r="DQ132" s="13">
        <f t="shared" si="97"/>
        <v>97.192496986872399</v>
      </c>
      <c r="DR132" s="20">
        <f t="shared" ref="DR132:DR153" si="124">(DP132+DQ132)*0.475*44/12</f>
        <v>912.64813225213504</v>
      </c>
      <c r="DS132" s="59">
        <f t="shared" ref="DS132:DS195" si="125">DR132+(DJ132+DK132)*44/12</f>
        <v>1205.9814655854684</v>
      </c>
      <c r="DT132" s="59">
        <f ca="1">AVERAGE(OFFSET($DS$3,0,0,'Données projet'!$E$14+1,1))-AVERAGE(OFFSET($H$3,0,0,'Données projet'!$E$14+1,1))</f>
        <v>523.79180230463714</v>
      </c>
      <c r="DU132" s="59">
        <f t="shared" si="98"/>
        <v>459.3547783500515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56.318571453677627</v>
      </c>
      <c r="EB132" s="21">
        <f>EXP(-LN(2)/25)*EB131+(1-EXP(-LN(2)/25))/(LN(2)/25)*Calculateur!DW132*Calculateur!DY132*VLOOKUP('Données projet'!$B$14,Paramètres!$A$1:$I$89,3,0)*0.475*44/12</f>
        <v>3.4339462756243591</v>
      </c>
      <c r="EC132" s="21">
        <f>EXP(-LN(2)/2)*EC131+(1-EXP(-LN(2)/2))/(LN(2)/2)*DW132*DZ132*VLOOKUP('Données projet'!$B$14,Paramètres!$A$1:$I$89,3,0)*0.475*44/12</f>
        <v>1.4975423916729656E-15</v>
      </c>
      <c r="ED132" s="22">
        <f t="shared" ref="ED132:ED153" si="126">SUM(EA132:EC132)</f>
        <v>59.752517729301985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367.99999999999972</v>
      </c>
      <c r="EK132" s="17">
        <f>EJ132*VLOOKUP('Données projet'!$B$15,Paramètres!$A$1:$I$89,3,0)*VLOOKUP('Données projet'!$B$15,Paramètres!$A$1:$I$89,5,0)</f>
        <v>355.92959999999977</v>
      </c>
      <c r="EL132" s="13">
        <f t="shared" si="99"/>
        <v>82.782281100458206</v>
      </c>
      <c r="EM132" s="20">
        <f t="shared" ref="EM132:EM153" si="127">(EK132+EL132)*0.475*44/12</f>
        <v>764.08985958329765</v>
      </c>
      <c r="EN132" s="59">
        <f t="shared" ref="EN132:EN195" si="128">EM132+(EE132+EF132)*44/12</f>
        <v>1057.423192916631</v>
      </c>
      <c r="EO132" s="59">
        <f ca="1">AVERAGE(OFFSET($EN$3,0,0,'Données projet'!$E$15+1,1))-AVERAGE(OFFSET($H$3,0,0,'Données projet'!$E$15+1,1))</f>
        <v>484.41278617935654</v>
      </c>
      <c r="EP132" s="59">
        <f t="shared" si="100"/>
        <v>467.97490540700738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23.034735123816031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23.034735123816031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367.99999999999972</v>
      </c>
      <c r="FF132" s="17">
        <f>FE132*VLOOKUP('Données projet'!$B$16,Paramètres!$A$1:$I$89,3,0)*VLOOKUP('Données projet'!$B$16,Paramètres!$A$1:$I$89,5,0)</f>
        <v>396.11519999999967</v>
      </c>
      <c r="FG132" s="13">
        <f t="shared" si="101"/>
        <v>90.988634849704994</v>
      </c>
      <c r="FH132" s="20">
        <f t="shared" ref="FH132:FH153" si="130">(FF132+FG132)*0.475*44/12</f>
        <v>848.37251236323561</v>
      </c>
      <c r="FI132" s="59">
        <f t="shared" ref="FI132:FI195" si="131">FH132+(EZ132+FA132)*44/12</f>
        <v>1141.705845696569</v>
      </c>
      <c r="FJ132" s="59">
        <f ca="1">AVERAGE(OFFSET($FI$3,0,0,'Données projet'!$E$16+1,1))-AVERAGE(OFFSET($H$3,0,0,'Données projet'!$E$16+1,1))</f>
        <v>534.54020133239135</v>
      </c>
      <c r="FK132" s="59">
        <f t="shared" si="102"/>
        <v>515.48696069008815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25.635431024892053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25.635431024892053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248.99999999999994</v>
      </c>
      <c r="GA132" s="17">
        <f>FZ132*VLOOKUP('Données projet'!$B$17,Paramètres!$A$1:$I$89,3,0)*VLOOKUP('Données projet'!$B$17,Paramètres!$A$1:$I$89,5,0)</f>
        <v>236.94839999999994</v>
      </c>
      <c r="GB132" s="13">
        <f t="shared" si="103"/>
        <v>57.782475694292401</v>
      </c>
      <c r="GC132" s="20">
        <f t="shared" ref="GC132:GC153" si="133">(GA132+GB132)*0.475*44/12</f>
        <v>513.32294183422573</v>
      </c>
      <c r="GD132" s="59">
        <f t="shared" ref="GD132:GD195" si="134">GC132+(FU132+FV132)*44/12</f>
        <v>806.65627516755899</v>
      </c>
      <c r="GE132" s="59">
        <f ca="1">AVERAGE(OFFSET($GD$3,0,0,'Données projet'!$E$17+1,1))-AVERAGE(OFFSET($H$3,0,0,'Données projet'!$E$17+1,1))</f>
        <v>455.71329051283936</v>
      </c>
      <c r="GF132" s="59">
        <f t="shared" si="104"/>
        <v>479.3743231122258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59.54018903145964</v>
      </c>
      <c r="GM132" s="21">
        <f>EXP(-LN(2)/25)*GM131+(1-EXP(-LN(2)/25))/(LN(2)/25)*Calculateur!GH132*Calculateur!GJ132*VLOOKUP('Données projet'!$B$17,Paramètres!$A$1:$I$89,3,0)*0.475*44/12</f>
        <v>0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135">SUM(GL132:GN132)</f>
        <v>59.54018903145964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367.99999999999972</v>
      </c>
      <c r="GV132" s="17">
        <f>GU132*VLOOKUP('Données projet'!$B$18,Paramètres!$A$1:$I$89,3,0)*VLOOKUP('Données projet'!$B$18,Paramètres!$A$1:$I$89,5,0)</f>
        <v>298.52159999999981</v>
      </c>
      <c r="GW132" s="13">
        <f t="shared" si="105"/>
        <v>70.866444995542437</v>
      </c>
      <c r="GX132" s="20">
        <f t="shared" ref="GX132:GX153" si="136">(GV132+GW132)*0.475*44/12</f>
        <v>643.35084503390271</v>
      </c>
      <c r="GY132" s="59">
        <f t="shared" ref="GY132:GY195" si="137">GX132+(GP132+GQ132)*44/12</f>
        <v>936.68417836723597</v>
      </c>
      <c r="GZ132" s="59">
        <f ca="1">AVERAGE(OFFSET($GY$3,0,0,'Données projet'!$E$18+1,1))-AVERAGE(OFFSET($H$3,0,0,'Données projet'!$E$18+1,1))</f>
        <v>412.59676769258488</v>
      </c>
      <c r="HA132" s="59">
        <f t="shared" si="106"/>
        <v>399.90063795152133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19.319455265136039</v>
      </c>
      <c r="HH132" s="21">
        <f>EXP(-LN(2)/25)*HH131+(1-EXP(-LN(2)/25))/(LN(2)/25)*Calculateur!HC132*Calculateur!HE132*VLOOKUP('Données projet'!$B$18,Paramètres!$A$1:$I$89,3,0)*0.475*44/12</f>
        <v>0</v>
      </c>
      <c r="HI132" s="21">
        <f>EXP(-LN(2)/2)*HI131+(1-EXP(-LN(2)/2))/(LN(2)/2)*HC132*HF132*VLOOKUP('Données projet'!$B$18,Paramètres!$A$1:$I$89,3,0)*0.475*44/12</f>
        <v>0</v>
      </c>
      <c r="HJ132" s="22">
        <f t="shared" ref="HJ132:HJ153" si="138">SUM(HG132:HI132)</f>
        <v>19.319455265136039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306.99999999999994</v>
      </c>
      <c r="O133" s="13">
        <f>N133*VLOOKUP('Données projet'!$B$9,Paramètres!$A$1:$I$89,3,0)*VLOOKUP('Données projet'!$B$9,Paramètres!$A$1:$I$89,5,0)</f>
        <v>277.77359999999993</v>
      </c>
      <c r="P133" s="13">
        <f t="shared" ref="P133:P196" si="141">EXP(-1.0587+0.8836*LN(O133)+0.284)</f>
        <v>66.496288176842356</v>
      </c>
      <c r="Q133" s="20">
        <f t="shared" si="108"/>
        <v>599.60338857466706</v>
      </c>
      <c r="R133" s="59">
        <f t="shared" si="109"/>
        <v>892.93672190800044</v>
      </c>
      <c r="S133" s="59">
        <f ca="1">AVERAGE(OFFSET($R$3,0,0,'Données projet'!$E$9+1,1))-AVERAGE(OFFSET($H$3,0,0,'Données projet'!$E$9+1,1))</f>
        <v>439.19854273764042</v>
      </c>
      <c r="T133" s="59">
        <f t="shared" ref="T133:T196" si="142">$T$3</f>
        <v>278.21741231699929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74.37201449468003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74.37201449468003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306.99999999999994</v>
      </c>
      <c r="AJ133" s="13">
        <f>AI133*VLOOKUP('Données projet'!$B$10,Paramètres!$A$1:$I$89,3,0)*VLOOKUP('Données projet'!$B$10,Paramètres!$A$1:$I$89,5,0)</f>
        <v>311.298</v>
      </c>
      <c r="AK133" s="13">
        <f t="shared" ref="AK133:AK153" si="143">EXP(-1.0587+0.8836*LN(AJ133)+0.284)</f>
        <v>73.539838278528748</v>
      </c>
      <c r="AL133" s="20">
        <f t="shared" si="112"/>
        <v>670.25923500177089</v>
      </c>
      <c r="AM133" s="59">
        <f t="shared" si="113"/>
        <v>963.59256833510426</v>
      </c>
      <c r="AN133" s="59">
        <f ca="1">AVERAGE(OFFSET($AM$3,0,0,'Données projet'!$E$10+1,1))-AVERAGE(OFFSET($H$3,0,0,'Données projet'!$E$10+1,1))</f>
        <v>487.18832528146936</v>
      </c>
      <c r="AO133" s="59">
        <f t="shared" ref="AO133:AO196" si="144">$AO$3</f>
        <v>306.61893266146666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83.347947278520749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83.347947278520749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369.00000000000023</v>
      </c>
      <c r="BE133" s="13">
        <f>BD133*VLOOKUP('Données projet'!$B$11,Paramètres!$A$1:$I$89,3,0)*VLOOKUP('Données projet'!$B$11,Paramètres!$A$1:$I$89,5,0)</f>
        <v>333.87120000000021</v>
      </c>
      <c r="BF133" s="13">
        <f t="shared" ref="BF133:BF153" si="145">EXP(-1.0587+0.8836*LN(BE133)+0.284)</f>
        <v>78.23236011137638</v>
      </c>
      <c r="BG133" s="20">
        <f t="shared" si="115"/>
        <v>717.74703386064755</v>
      </c>
      <c r="BH133" s="59">
        <f t="shared" si="116"/>
        <v>1011.0803671939809</v>
      </c>
      <c r="BI133" s="59">
        <f ca="1">AVERAGE(OFFSET($BH$3,0,0,'Données projet'!$E$11+1,1))-AVERAGE(OFFSET($H$3,0,0,'Données projet'!$E$11+1,1))</f>
        <v>436.23918637269577</v>
      </c>
      <c r="BJ133" s="59">
        <f t="shared" ref="BJ133:BJ196" si="146">$BJ$3</f>
        <v>611.43967996341894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1.4589424153699606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1.4589424153699606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224.00000000000006</v>
      </c>
      <c r="BZ133" s="13">
        <f>BY133*VLOOKUP('Données projet'!$B$12,Paramètres!$A$1:$I$89,3,0)*VLOOKUP('Données projet'!$B$12,Paramètres!$A$1:$I$89,5,0)</f>
        <v>195.68640000000008</v>
      </c>
      <c r="CA133" s="13">
        <f t="shared" ref="CA133:CA153" si="147">EXP(-1.0587+0.8836*LN(BZ133)+0.284)</f>
        <v>48.794969360985156</v>
      </c>
      <c r="CB133" s="20">
        <f t="shared" si="118"/>
        <v>425.8050516370493</v>
      </c>
      <c r="CC133" s="59">
        <f t="shared" si="119"/>
        <v>719.13838497038262</v>
      </c>
      <c r="CD133" s="59">
        <f ca="1">AVERAGE(OFFSET($CC$3,0,0,'Données projet'!$E$12+1,1))-AVERAGE(OFFSET($H$3,0,0,'Données projet'!$E$12+1,1))</f>
        <v>304.32767345253382</v>
      </c>
      <c r="CE133" s="59">
        <f t="shared" ref="CE133:CE196" si="148">$CE$3</f>
        <v>427.16091343339173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15.755100617037046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15.755100617037046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739.99999999999966</v>
      </c>
      <c r="CU133" s="17">
        <f>CT133*VLOOKUP('Données projet'!$B$13,Paramètres!$A$1:$I$89,3,0)*VLOOKUP('Données projet'!$B$13,Paramètres!$A$1:$I$89,5,0)</f>
        <v>413.65999999999985</v>
      </c>
      <c r="CV133" s="13">
        <f t="shared" ref="CV133:CV153" si="149">EXP(-1.0587+0.8836*LN(CU133)+0.284)</f>
        <v>94.540585122244352</v>
      </c>
      <c r="CW133" s="20">
        <f t="shared" si="121"/>
        <v>885.11601908790863</v>
      </c>
      <c r="CX133" s="59">
        <f t="shared" si="122"/>
        <v>1178.4493524212419</v>
      </c>
      <c r="CY133" s="59">
        <f ca="1">AVERAGE(OFFSET($CX$3,0,0,'Données projet'!$E$13+1,1))-AVERAGE(OFFSET($H$3,0,0,'Données projet'!$E$13+1,1))</f>
        <v>555.15881087162279</v>
      </c>
      <c r="CZ133" s="59">
        <f t="shared" ref="CZ133:CZ196" si="150">$CZ$3</f>
        <v>668.20427590250733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30.874021408643827</v>
      </c>
      <c r="DG133" s="21">
        <f>EXP(-LN(2)/25)*DG132+(1-EXP(-LN(2)/25))/(LN(2)/25)*Calculateur!DB133*Calculateur!DD133*VLOOKUP('Données projet'!$B$13,Paramètres!$A$1:$I$89,3,0)*0.475*44/12</f>
        <v>3.6113533737194303</v>
      </c>
      <c r="DH133" s="21">
        <f>EXP(-LN(2)/2)*DH132+(1-EXP(-LN(2)/2))/(LN(2)/2)*DB133*DE133*VLOOKUP('Données projet'!$B$13,Paramètres!$A$1:$I$89,3,0)*0.475*44/12</f>
        <v>7.553809726513673E-16</v>
      </c>
      <c r="DI133" s="22">
        <f t="shared" si="123"/>
        <v>34.485374782363259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911.99999999999898</v>
      </c>
      <c r="DP133" s="17">
        <f>DO133*VLOOKUP('Données projet'!$B$14,Paramètres!$A$1:$I$89,3,0)*VLOOKUP('Données projet'!$B$14,Paramètres!$A$1:$I$89,5,0)</f>
        <v>426.81599999999946</v>
      </c>
      <c r="DQ133" s="13">
        <f t="shared" ref="DQ133:DQ153" si="151">EXP(-1.0587+0.8836*LN(DP133)+0.284)</f>
        <v>97.192496986872399</v>
      </c>
      <c r="DR133" s="20">
        <f t="shared" si="124"/>
        <v>912.64813225213504</v>
      </c>
      <c r="DS133" s="59">
        <f t="shared" si="125"/>
        <v>1205.9814655854684</v>
      </c>
      <c r="DT133" s="59">
        <f ca="1">AVERAGE(OFFSET($DS$3,0,0,'Données projet'!$E$14+1,1))-AVERAGE(OFFSET($H$3,0,0,'Données projet'!$E$14+1,1))</f>
        <v>523.79180230463714</v>
      </c>
      <c r="DU133" s="59">
        <f t="shared" ref="DU133:DU196" si="152">$DU$3</f>
        <v>459.3547783500515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55.214198618407721</v>
      </c>
      <c r="EB133" s="21">
        <f>EXP(-LN(2)/25)*EB132+(1-EXP(-LN(2)/25))/(LN(2)/25)*Calculateur!DW133*Calculateur!DY133*VLOOKUP('Données projet'!$B$14,Paramètres!$A$1:$I$89,3,0)*0.475*44/12</f>
        <v>3.3400448341340248</v>
      </c>
      <c r="EC133" s="21">
        <f>EXP(-LN(2)/2)*EC132+(1-EXP(-LN(2)/2))/(LN(2)/2)*DW133*DZ133*VLOOKUP('Données projet'!$B$14,Paramètres!$A$1:$I$89,3,0)*0.475*44/12</f>
        <v>1.0589223802662747E-15</v>
      </c>
      <c r="ED133" s="22">
        <f t="shared" si="126"/>
        <v>58.554243452541748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367.99999999999972</v>
      </c>
      <c r="EK133" s="17">
        <f>EJ133*VLOOKUP('Données projet'!$B$15,Paramètres!$A$1:$I$89,3,0)*VLOOKUP('Données projet'!$B$15,Paramètres!$A$1:$I$89,5,0)</f>
        <v>355.92959999999977</v>
      </c>
      <c r="EL133" s="13">
        <f t="shared" ref="EL133:EL153" si="153">EXP(-1.0587+0.8836*LN(EK133)+0.284)</f>
        <v>82.782281100458206</v>
      </c>
      <c r="EM133" s="20">
        <f t="shared" si="127"/>
        <v>764.08985958329765</v>
      </c>
      <c r="EN133" s="59">
        <f t="shared" si="128"/>
        <v>1057.423192916631</v>
      </c>
      <c r="EO133" s="59">
        <f ca="1">AVERAGE(OFFSET($EN$3,0,0,'Données projet'!$E$15+1,1))-AVERAGE(OFFSET($H$3,0,0,'Données projet'!$E$15+1,1))</f>
        <v>484.41278617935654</v>
      </c>
      <c r="EP133" s="59">
        <f t="shared" ref="EP133:EP196" si="154">$EP$3</f>
        <v>467.97490540700738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22.583038017839122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22.583038017839122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367.99999999999972</v>
      </c>
      <c r="FF133" s="17">
        <f>FE133*VLOOKUP('Données projet'!$B$16,Paramètres!$A$1:$I$89,3,0)*VLOOKUP('Données projet'!$B$16,Paramètres!$A$1:$I$89,5,0)</f>
        <v>396.11519999999967</v>
      </c>
      <c r="FG133" s="13">
        <f t="shared" ref="FG133:FG153" si="155">EXP(-1.0587+0.8836*LN(FF133)+0.284)</f>
        <v>90.988634849704994</v>
      </c>
      <c r="FH133" s="20">
        <f t="shared" si="130"/>
        <v>848.37251236323561</v>
      </c>
      <c r="FI133" s="59">
        <f t="shared" si="131"/>
        <v>1141.705845696569</v>
      </c>
      <c r="FJ133" s="59">
        <f ca="1">AVERAGE(OFFSET($FI$3,0,0,'Données projet'!$E$16+1,1))-AVERAGE(OFFSET($H$3,0,0,'Données projet'!$E$16+1,1))</f>
        <v>534.54020133239135</v>
      </c>
      <c r="FK133" s="59">
        <f t="shared" ref="FK133:FK196" si="156">$FK$3</f>
        <v>515.48696069008815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25.132735858562913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25.132735858562913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248.99999999999994</v>
      </c>
      <c r="GA133" s="17">
        <f>FZ133*VLOOKUP('Données projet'!$B$17,Paramètres!$A$1:$I$89,3,0)*VLOOKUP('Données projet'!$B$17,Paramètres!$A$1:$I$89,5,0)</f>
        <v>236.94839999999994</v>
      </c>
      <c r="GB133" s="13">
        <f t="shared" ref="GB133:GB153" si="157">EXP(-1.0587+0.8836*LN(GA133)+0.284)</f>
        <v>57.782475694292401</v>
      </c>
      <c r="GC133" s="20">
        <f t="shared" si="133"/>
        <v>513.32294183422573</v>
      </c>
      <c r="GD133" s="59">
        <f t="shared" si="134"/>
        <v>806.65627516755899</v>
      </c>
      <c r="GE133" s="59">
        <f ca="1">AVERAGE(OFFSET($GD$3,0,0,'Données projet'!$E$17+1,1))-AVERAGE(OFFSET($H$3,0,0,'Données projet'!$E$17+1,1))</f>
        <v>455.71329051283936</v>
      </c>
      <c r="GF133" s="59">
        <f t="shared" ref="GF133:GF196" si="158">$GF$3</f>
        <v>479.3743231122258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58.372642240482122</v>
      </c>
      <c r="GM133" s="21">
        <f>EXP(-LN(2)/25)*GM132+(1-EXP(-LN(2)/25))/(LN(2)/25)*Calculateur!GH133*Calculateur!GJ133*VLOOKUP('Données projet'!$B$17,Paramètres!$A$1:$I$89,3,0)*0.475*44/12</f>
        <v>0</v>
      </c>
      <c r="GN133" s="21">
        <f>EXP(-LN(2)/2)*GN132+(1-EXP(-LN(2)/2))/(LN(2)/2)*GH133*GK133*VLOOKUP('Données projet'!$B$17,Paramètres!$A$1:$I$89,3,0)*0.475*44/12</f>
        <v>0</v>
      </c>
      <c r="GO133" s="21">
        <f t="shared" si="135"/>
        <v>58.372642240482122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367.99999999999972</v>
      </c>
      <c r="GV133" s="17">
        <f>GU133*VLOOKUP('Données projet'!$B$18,Paramètres!$A$1:$I$89,3,0)*VLOOKUP('Données projet'!$B$18,Paramètres!$A$1:$I$89,5,0)</f>
        <v>298.52159999999981</v>
      </c>
      <c r="GW133" s="13">
        <f t="shared" ref="GW133:GW153" si="159">EXP(-1.0587+0.8836*LN(GV133)+0.284)</f>
        <v>70.866444995542437</v>
      </c>
      <c r="GX133" s="20">
        <f t="shared" si="136"/>
        <v>643.35084503390271</v>
      </c>
      <c r="GY133" s="59">
        <f t="shared" si="137"/>
        <v>936.68417836723597</v>
      </c>
      <c r="GZ133" s="59">
        <f ca="1">AVERAGE(OFFSET($GY$3,0,0,'Données projet'!$E$18+1,1))-AVERAGE(OFFSET($H$3,0,0,'Données projet'!$E$18+1,1))</f>
        <v>412.59676769258488</v>
      </c>
      <c r="HA133" s="59">
        <f t="shared" ref="HA133:HA196" si="160">$HA$3</f>
        <v>399.90063795152133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18.940612531090888</v>
      </c>
      <c r="HH133" s="21">
        <f>EXP(-LN(2)/25)*HH132+(1-EXP(-LN(2)/25))/(LN(2)/25)*Calculateur!HC133*Calculateur!HE133*VLOOKUP('Données projet'!$B$18,Paramètres!$A$1:$I$89,3,0)*0.475*44/12</f>
        <v>0</v>
      </c>
      <c r="HI133" s="21">
        <f>EXP(-LN(2)/2)*HI132+(1-EXP(-LN(2)/2))/(LN(2)/2)*HC133*HF133*VLOOKUP('Données projet'!$B$18,Paramètres!$A$1:$I$89,3,0)*0.475*44/12</f>
        <v>0</v>
      </c>
      <c r="HJ133" s="22">
        <f t="shared" si="138"/>
        <v>18.940612531090888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306.99999999999994</v>
      </c>
      <c r="O134" s="13">
        <f>N134*VLOOKUP('Données projet'!$B$9,Paramètres!$A$1:$I$89,3,0)*VLOOKUP('Données projet'!$B$9,Paramètres!$A$1:$I$89,5,0)</f>
        <v>277.77359999999993</v>
      </c>
      <c r="P134" s="13">
        <f t="shared" si="141"/>
        <v>66.496288176842356</v>
      </c>
      <c r="Q134" s="20">
        <f t="shared" si="108"/>
        <v>599.60338857466706</v>
      </c>
      <c r="R134" s="59">
        <f t="shared" si="109"/>
        <v>892.93672190800044</v>
      </c>
      <c r="S134" s="59">
        <f ca="1">AVERAGE(OFFSET($R$3,0,0,'Données projet'!$E$9+1,1))-AVERAGE(OFFSET($H$3,0,0,'Données projet'!$E$9+1,1))</f>
        <v>439.19854273764042</v>
      </c>
      <c r="T134" s="59">
        <f t="shared" si="142"/>
        <v>278.21741231699929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72.913624652889027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72.913624652889027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306.99999999999994</v>
      </c>
      <c r="AJ134" s="13">
        <f>AI134*VLOOKUP('Données projet'!$B$10,Paramètres!$A$1:$I$89,3,0)*VLOOKUP('Données projet'!$B$10,Paramètres!$A$1:$I$89,5,0)</f>
        <v>311.298</v>
      </c>
      <c r="AK134" s="13">
        <f t="shared" si="143"/>
        <v>73.539838278528748</v>
      </c>
      <c r="AL134" s="20">
        <f t="shared" si="112"/>
        <v>670.25923500177089</v>
      </c>
      <c r="AM134" s="59">
        <f t="shared" si="113"/>
        <v>963.59256833510426</v>
      </c>
      <c r="AN134" s="59">
        <f ca="1">AVERAGE(OFFSET($AM$3,0,0,'Données projet'!$E$10+1,1))-AVERAGE(OFFSET($H$3,0,0,'Données projet'!$E$10+1,1))</f>
        <v>487.18832528146936</v>
      </c>
      <c r="AO134" s="59">
        <f t="shared" si="144"/>
        <v>306.61893266146666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81.713544869617039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81.713544869617039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369.00000000000023</v>
      </c>
      <c r="BE134" s="13">
        <f>BD134*VLOOKUP('Données projet'!$B$11,Paramètres!$A$1:$I$89,3,0)*VLOOKUP('Données projet'!$B$11,Paramètres!$A$1:$I$89,5,0)</f>
        <v>333.87120000000021</v>
      </c>
      <c r="BF134" s="13">
        <f t="shared" si="145"/>
        <v>78.23236011137638</v>
      </c>
      <c r="BG134" s="20">
        <f t="shared" si="115"/>
        <v>717.74703386064755</v>
      </c>
      <c r="BH134" s="59">
        <f t="shared" si="116"/>
        <v>1011.0803671939809</v>
      </c>
      <c r="BI134" s="59">
        <f ca="1">AVERAGE(OFFSET($BH$3,0,0,'Données projet'!$E$11+1,1))-AVERAGE(OFFSET($H$3,0,0,'Données projet'!$E$11+1,1))</f>
        <v>436.23918637269577</v>
      </c>
      <c r="BJ134" s="59">
        <f t="shared" si="146"/>
        <v>611.43967996341894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1.4303334444715621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1.4303334444715621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224.00000000000006</v>
      </c>
      <c r="BZ134" s="13">
        <f>BY134*VLOOKUP('Données projet'!$B$12,Paramètres!$A$1:$I$89,3,0)*VLOOKUP('Données projet'!$B$12,Paramètres!$A$1:$I$89,5,0)</f>
        <v>195.68640000000008</v>
      </c>
      <c r="CA134" s="13">
        <f t="shared" si="147"/>
        <v>48.794969360985156</v>
      </c>
      <c r="CB134" s="20">
        <f t="shared" si="118"/>
        <v>425.8050516370493</v>
      </c>
      <c r="CC134" s="59">
        <f t="shared" si="119"/>
        <v>719.13838497038262</v>
      </c>
      <c r="CD134" s="59">
        <f ca="1">AVERAGE(OFFSET($CC$3,0,0,'Données projet'!$E$12+1,1))-AVERAGE(OFFSET($H$3,0,0,'Données projet'!$E$12+1,1))</f>
        <v>304.32767345253382</v>
      </c>
      <c r="CE134" s="59">
        <f t="shared" si="148"/>
        <v>427.16091343339173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15.44615270359945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15.44615270359945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739.99999999999966</v>
      </c>
      <c r="CU134" s="17">
        <f>CT134*VLOOKUP('Données projet'!$B$13,Paramètres!$A$1:$I$89,3,0)*VLOOKUP('Données projet'!$B$13,Paramètres!$A$1:$I$89,5,0)</f>
        <v>413.65999999999985</v>
      </c>
      <c r="CV134" s="13">
        <f t="shared" si="149"/>
        <v>94.540585122244352</v>
      </c>
      <c r="CW134" s="20">
        <f t="shared" si="121"/>
        <v>885.11601908790863</v>
      </c>
      <c r="CX134" s="59">
        <f t="shared" si="122"/>
        <v>1178.4493524212419</v>
      </c>
      <c r="CY134" s="59">
        <f ca="1">AVERAGE(OFFSET($CX$3,0,0,'Données projet'!$E$13+1,1))-AVERAGE(OFFSET($H$3,0,0,'Données projet'!$E$13+1,1))</f>
        <v>555.15881087162279</v>
      </c>
      <c r="CZ134" s="59">
        <f t="shared" si="150"/>
        <v>668.20427590250733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30.268600680113945</v>
      </c>
      <c r="DG134" s="21">
        <f>EXP(-LN(2)/25)*DG133+(1-EXP(-LN(2)/25))/(LN(2)/25)*Calculateur!DB134*Calculateur!DD134*VLOOKUP('Données projet'!$B$13,Paramètres!$A$1:$I$89,3,0)*0.475*44/12</f>
        <v>3.5126007258022525</v>
      </c>
      <c r="DH134" s="21">
        <f>EXP(-LN(2)/2)*DH133+(1-EXP(-LN(2)/2))/(LN(2)/2)*DB134*DE134*VLOOKUP('Données projet'!$B$13,Paramètres!$A$1:$I$89,3,0)*0.475*44/12</f>
        <v>5.3413500814107181E-16</v>
      </c>
      <c r="DI134" s="22">
        <f t="shared" si="123"/>
        <v>33.7812014059162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911.99999999999898</v>
      </c>
      <c r="DP134" s="17">
        <f>DO134*VLOOKUP('Données projet'!$B$14,Paramètres!$A$1:$I$89,3,0)*VLOOKUP('Données projet'!$B$14,Paramètres!$A$1:$I$89,5,0)</f>
        <v>426.81599999999946</v>
      </c>
      <c r="DQ134" s="13">
        <f t="shared" si="151"/>
        <v>97.192496986872399</v>
      </c>
      <c r="DR134" s="20">
        <f t="shared" si="124"/>
        <v>912.64813225213504</v>
      </c>
      <c r="DS134" s="59">
        <f t="shared" si="125"/>
        <v>1205.9814655854684</v>
      </c>
      <c r="DT134" s="59">
        <f ca="1">AVERAGE(OFFSET($DS$3,0,0,'Données projet'!$E$14+1,1))-AVERAGE(OFFSET($H$3,0,0,'Données projet'!$E$14+1,1))</f>
        <v>523.79180230463714</v>
      </c>
      <c r="DU134" s="59">
        <f t="shared" si="152"/>
        <v>459.3547783500515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54.131481860836544</v>
      </c>
      <c r="EB134" s="21">
        <f>EXP(-LN(2)/25)*EB133+(1-EXP(-LN(2)/25))/(LN(2)/25)*Calculateur!DW134*Calculateur!DY134*VLOOKUP('Données projet'!$B$14,Paramètres!$A$1:$I$89,3,0)*0.475*44/12</f>
        <v>3.2487111324993059</v>
      </c>
      <c r="EC134" s="21">
        <f>EXP(-LN(2)/2)*EC133+(1-EXP(-LN(2)/2))/(LN(2)/2)*DW134*DZ134*VLOOKUP('Données projet'!$B$14,Paramètres!$A$1:$I$89,3,0)*0.475*44/12</f>
        <v>7.4877119583648278E-16</v>
      </c>
      <c r="ED134" s="22">
        <f t="shared" si="126"/>
        <v>57.380192993335854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367.99999999999972</v>
      </c>
      <c r="EK134" s="17">
        <f>EJ134*VLOOKUP('Données projet'!$B$15,Paramètres!$A$1:$I$89,3,0)*VLOOKUP('Données projet'!$B$15,Paramètres!$A$1:$I$89,5,0)</f>
        <v>355.92959999999977</v>
      </c>
      <c r="EL134" s="13">
        <f t="shared" si="153"/>
        <v>82.782281100458206</v>
      </c>
      <c r="EM134" s="20">
        <f t="shared" si="127"/>
        <v>764.08985958329765</v>
      </c>
      <c r="EN134" s="59">
        <f t="shared" si="128"/>
        <v>1057.423192916631</v>
      </c>
      <c r="EO134" s="59">
        <f ca="1">AVERAGE(OFFSET($EN$3,0,0,'Données projet'!$E$15+1,1))-AVERAGE(OFFSET($H$3,0,0,'Données projet'!$E$15+1,1))</f>
        <v>484.41278617935654</v>
      </c>
      <c r="EP134" s="59">
        <f t="shared" si="154"/>
        <v>467.97490540700738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22.140198416602388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22.140198416602388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367.99999999999972</v>
      </c>
      <c r="FF134" s="17">
        <f>FE134*VLOOKUP('Données projet'!$B$16,Paramètres!$A$1:$I$89,3,0)*VLOOKUP('Données projet'!$B$16,Paramètres!$A$1:$I$89,5,0)</f>
        <v>396.11519999999967</v>
      </c>
      <c r="FG134" s="13">
        <f t="shared" si="155"/>
        <v>90.988634849704994</v>
      </c>
      <c r="FH134" s="20">
        <f t="shared" si="130"/>
        <v>848.37251236323561</v>
      </c>
      <c r="FI134" s="59">
        <f t="shared" si="131"/>
        <v>1141.705845696569</v>
      </c>
      <c r="FJ134" s="59">
        <f ca="1">AVERAGE(OFFSET($FI$3,0,0,'Données projet'!$E$16+1,1))-AVERAGE(OFFSET($H$3,0,0,'Données projet'!$E$16+1,1))</f>
        <v>534.54020133239135</v>
      </c>
      <c r="FK134" s="59">
        <f t="shared" si="156"/>
        <v>515.48696069008815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24.639898237831712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24.639898237831712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248.99999999999994</v>
      </c>
      <c r="GA134" s="17">
        <f>FZ134*VLOOKUP('Données projet'!$B$17,Paramètres!$A$1:$I$89,3,0)*VLOOKUP('Données projet'!$B$17,Paramètres!$A$1:$I$89,5,0)</f>
        <v>236.94839999999994</v>
      </c>
      <c r="GB134" s="13">
        <f t="shared" si="157"/>
        <v>57.782475694292401</v>
      </c>
      <c r="GC134" s="20">
        <f t="shared" si="133"/>
        <v>513.32294183422573</v>
      </c>
      <c r="GD134" s="59">
        <f t="shared" si="134"/>
        <v>806.65627516755899</v>
      </c>
      <c r="GE134" s="59">
        <f ca="1">AVERAGE(OFFSET($GD$3,0,0,'Données projet'!$E$17+1,1))-AVERAGE(OFFSET($H$3,0,0,'Données projet'!$E$17+1,1))</f>
        <v>455.71329051283936</v>
      </c>
      <c r="GF134" s="59">
        <f t="shared" si="158"/>
        <v>479.3743231122258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57.22799032994245</v>
      </c>
      <c r="GM134" s="21">
        <f>EXP(-LN(2)/25)*GM133+(1-EXP(-LN(2)/25))/(LN(2)/25)*Calculateur!GH134*Calculateur!GJ134*VLOOKUP('Données projet'!$B$17,Paramètres!$A$1:$I$89,3,0)*0.475*44/12</f>
        <v>0</v>
      </c>
      <c r="GN134" s="21">
        <f>EXP(-LN(2)/2)*GN133+(1-EXP(-LN(2)/2))/(LN(2)/2)*GH134*GK134*VLOOKUP('Données projet'!$B$17,Paramètres!$A$1:$I$89,3,0)*0.475*44/12</f>
        <v>0</v>
      </c>
      <c r="GO134" s="21">
        <f t="shared" si="135"/>
        <v>57.22799032994245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367.99999999999972</v>
      </c>
      <c r="GV134" s="17">
        <f>GU134*VLOOKUP('Données projet'!$B$18,Paramètres!$A$1:$I$89,3,0)*VLOOKUP('Données projet'!$B$18,Paramètres!$A$1:$I$89,5,0)</f>
        <v>298.52159999999981</v>
      </c>
      <c r="GW134" s="13">
        <f t="shared" si="159"/>
        <v>70.866444995542437</v>
      </c>
      <c r="GX134" s="20">
        <f t="shared" si="136"/>
        <v>643.35084503390271</v>
      </c>
      <c r="GY134" s="59">
        <f t="shared" si="137"/>
        <v>936.68417836723597</v>
      </c>
      <c r="GZ134" s="59">
        <f ca="1">AVERAGE(OFFSET($GY$3,0,0,'Données projet'!$E$18+1,1))-AVERAGE(OFFSET($H$3,0,0,'Données projet'!$E$18+1,1))</f>
        <v>412.59676769258488</v>
      </c>
      <c r="HA134" s="59">
        <f t="shared" si="160"/>
        <v>399.90063795152133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18.569198671989113</v>
      </c>
      <c r="HH134" s="21">
        <f>EXP(-LN(2)/25)*HH133+(1-EXP(-LN(2)/25))/(LN(2)/25)*Calculateur!HC134*Calculateur!HE134*VLOOKUP('Données projet'!$B$18,Paramètres!$A$1:$I$89,3,0)*0.475*44/12</f>
        <v>0</v>
      </c>
      <c r="HI134" s="21">
        <f>EXP(-LN(2)/2)*HI133+(1-EXP(-LN(2)/2))/(LN(2)/2)*HC134*HF134*VLOOKUP('Données projet'!$B$18,Paramètres!$A$1:$I$89,3,0)*0.475*44/12</f>
        <v>0</v>
      </c>
      <c r="HJ134" s="22">
        <f t="shared" si="138"/>
        <v>18.569198671989113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306.99999999999994</v>
      </c>
      <c r="O135" s="13">
        <f>N135*VLOOKUP('Données projet'!$B$9,Paramètres!$A$1:$I$89,3,0)*VLOOKUP('Données projet'!$B$9,Paramètres!$A$1:$I$89,5,0)</f>
        <v>277.77359999999993</v>
      </c>
      <c r="P135" s="13">
        <f t="shared" si="141"/>
        <v>66.496288176842356</v>
      </c>
      <c r="Q135" s="20">
        <f t="shared" si="108"/>
        <v>599.60338857466706</v>
      </c>
      <c r="R135" s="59">
        <f t="shared" si="109"/>
        <v>892.93672190800044</v>
      </c>
      <c r="S135" s="59">
        <f ca="1">AVERAGE(OFFSET($R$3,0,0,'Données projet'!$E$9+1,1))-AVERAGE(OFFSET($H$3,0,0,'Données projet'!$E$9+1,1))</f>
        <v>439.19854273764042</v>
      </c>
      <c r="T135" s="59">
        <f t="shared" si="142"/>
        <v>278.21741231699929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71.483832946365581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71.483832946365581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306.99999999999994</v>
      </c>
      <c r="AJ135" s="13">
        <f>AI135*VLOOKUP('Données projet'!$B$10,Paramètres!$A$1:$I$89,3,0)*VLOOKUP('Données projet'!$B$10,Paramètres!$A$1:$I$89,5,0)</f>
        <v>311.298</v>
      </c>
      <c r="AK135" s="13">
        <f t="shared" si="143"/>
        <v>73.539838278528748</v>
      </c>
      <c r="AL135" s="20">
        <f t="shared" si="112"/>
        <v>670.25923500177089</v>
      </c>
      <c r="AM135" s="59">
        <f t="shared" si="113"/>
        <v>963.59256833510426</v>
      </c>
      <c r="AN135" s="59">
        <f ca="1">AVERAGE(OFFSET($AM$3,0,0,'Données projet'!$E$10+1,1))-AVERAGE(OFFSET($H$3,0,0,'Données projet'!$E$10+1,1))</f>
        <v>487.18832528146936</v>
      </c>
      <c r="AO135" s="59">
        <f t="shared" si="144"/>
        <v>306.61893266146666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80.111192095064894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80.111192095064894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369.00000000000023</v>
      </c>
      <c r="BE135" s="13">
        <f>BD135*VLOOKUP('Données projet'!$B$11,Paramètres!$A$1:$I$89,3,0)*VLOOKUP('Données projet'!$B$11,Paramètres!$A$1:$I$89,5,0)</f>
        <v>333.87120000000021</v>
      </c>
      <c r="BF135" s="13">
        <f t="shared" si="145"/>
        <v>78.23236011137638</v>
      </c>
      <c r="BG135" s="20">
        <f t="shared" si="115"/>
        <v>717.74703386064755</v>
      </c>
      <c r="BH135" s="59">
        <f t="shared" si="116"/>
        <v>1011.0803671939809</v>
      </c>
      <c r="BI135" s="59">
        <f ca="1">AVERAGE(OFFSET($BH$3,0,0,'Données projet'!$E$11+1,1))-AVERAGE(OFFSET($H$3,0,0,'Données projet'!$E$11+1,1))</f>
        <v>436.23918637269577</v>
      </c>
      <c r="BJ135" s="59">
        <f t="shared" si="146"/>
        <v>611.43967996341894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1.4022854780427318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1.4022854780427318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224.00000000000006</v>
      </c>
      <c r="BZ135" s="13">
        <f>BY135*VLOOKUP('Données projet'!$B$12,Paramètres!$A$1:$I$89,3,0)*VLOOKUP('Données projet'!$B$12,Paramètres!$A$1:$I$89,5,0)</f>
        <v>195.68640000000008</v>
      </c>
      <c r="CA135" s="13">
        <f t="shared" si="147"/>
        <v>48.794969360985156</v>
      </c>
      <c r="CB135" s="20">
        <f t="shared" si="118"/>
        <v>425.8050516370493</v>
      </c>
      <c r="CC135" s="59">
        <f t="shared" si="119"/>
        <v>719.13838497038262</v>
      </c>
      <c r="CD135" s="59">
        <f ca="1">AVERAGE(OFFSET($CC$3,0,0,'Données projet'!$E$12+1,1))-AVERAGE(OFFSET($H$3,0,0,'Données projet'!$E$12+1,1))</f>
        <v>304.32767345253382</v>
      </c>
      <c r="CE135" s="59">
        <f t="shared" si="148"/>
        <v>427.16091343339173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15.143263070304746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15.143263070304746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739.99999999999966</v>
      </c>
      <c r="CU135" s="17">
        <f>CT135*VLOOKUP('Données projet'!$B$13,Paramètres!$A$1:$I$89,3,0)*VLOOKUP('Données projet'!$B$13,Paramètres!$A$1:$I$89,5,0)</f>
        <v>413.65999999999985</v>
      </c>
      <c r="CV135" s="13">
        <f t="shared" si="149"/>
        <v>94.540585122244352</v>
      </c>
      <c r="CW135" s="20">
        <f t="shared" si="121"/>
        <v>885.11601908790863</v>
      </c>
      <c r="CX135" s="59">
        <f t="shared" si="122"/>
        <v>1178.4493524212419</v>
      </c>
      <c r="CY135" s="59">
        <f ca="1">AVERAGE(OFFSET($CX$3,0,0,'Données projet'!$E$13+1,1))-AVERAGE(OFFSET($H$3,0,0,'Données projet'!$E$13+1,1))</f>
        <v>555.15881087162279</v>
      </c>
      <c r="CZ135" s="59">
        <f t="shared" si="150"/>
        <v>668.20427590250733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29.675051882800354</v>
      </c>
      <c r="DG135" s="21">
        <f>EXP(-LN(2)/25)*DG134+(1-EXP(-LN(2)/25))/(LN(2)/25)*Calculateur!DB135*Calculateur!DD135*VLOOKUP('Données projet'!$B$13,Paramètres!$A$1:$I$89,3,0)*0.475*44/12</f>
        <v>3.4165484742355456</v>
      </c>
      <c r="DH135" s="21">
        <f>EXP(-LN(2)/2)*DH134+(1-EXP(-LN(2)/2))/(LN(2)/2)*DB135*DE135*VLOOKUP('Données projet'!$B$13,Paramètres!$A$1:$I$89,3,0)*0.475*44/12</f>
        <v>3.7769048632568365E-16</v>
      </c>
      <c r="DI135" s="22">
        <f t="shared" si="123"/>
        <v>33.091600357035901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911.99999999999898</v>
      </c>
      <c r="DP135" s="17">
        <f>DO135*VLOOKUP('Données projet'!$B$14,Paramètres!$A$1:$I$89,3,0)*VLOOKUP('Données projet'!$B$14,Paramètres!$A$1:$I$89,5,0)</f>
        <v>426.81599999999946</v>
      </c>
      <c r="DQ135" s="13">
        <f t="shared" si="151"/>
        <v>97.192496986872399</v>
      </c>
      <c r="DR135" s="20">
        <f t="shared" si="124"/>
        <v>912.64813225213504</v>
      </c>
      <c r="DS135" s="59">
        <f t="shared" si="125"/>
        <v>1205.9814655854684</v>
      </c>
      <c r="DT135" s="59">
        <f ca="1">AVERAGE(OFFSET($DS$3,0,0,'Données projet'!$E$14+1,1))-AVERAGE(OFFSET($H$3,0,0,'Données projet'!$E$14+1,1))</f>
        <v>523.79180230463714</v>
      </c>
      <c r="DU135" s="59">
        <f t="shared" si="152"/>
        <v>459.3547783500515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53.069996518489319</v>
      </c>
      <c r="EB135" s="21">
        <f>EXP(-LN(2)/25)*EB134+(1-EXP(-LN(2)/25))/(LN(2)/25)*Calculateur!DW135*Calculateur!DY135*VLOOKUP('Données projet'!$B$14,Paramètres!$A$1:$I$89,3,0)*0.475*44/12</f>
        <v>3.159874955738819</v>
      </c>
      <c r="EC135" s="21">
        <f>EXP(-LN(2)/2)*EC134+(1-EXP(-LN(2)/2))/(LN(2)/2)*DW135*DZ135*VLOOKUP('Données projet'!$B$14,Paramètres!$A$1:$I$89,3,0)*0.475*44/12</f>
        <v>5.2946119013313735E-16</v>
      </c>
      <c r="ED135" s="22">
        <f t="shared" si="126"/>
        <v>56.22987147422814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367.99999999999972</v>
      </c>
      <c r="EK135" s="17">
        <f>EJ135*VLOOKUP('Données projet'!$B$15,Paramètres!$A$1:$I$89,3,0)*VLOOKUP('Données projet'!$B$15,Paramètres!$A$1:$I$89,5,0)</f>
        <v>355.92959999999977</v>
      </c>
      <c r="EL135" s="13">
        <f t="shared" si="153"/>
        <v>82.782281100458206</v>
      </c>
      <c r="EM135" s="20">
        <f t="shared" si="127"/>
        <v>764.08985958329765</v>
      </c>
      <c r="EN135" s="59">
        <f t="shared" si="128"/>
        <v>1057.423192916631</v>
      </c>
      <c r="EO135" s="59">
        <f ca="1">AVERAGE(OFFSET($EN$3,0,0,'Données projet'!$E$15+1,1))-AVERAGE(OFFSET($H$3,0,0,'Données projet'!$E$15+1,1))</f>
        <v>484.41278617935654</v>
      </c>
      <c r="EP135" s="59">
        <f t="shared" si="154"/>
        <v>467.97490540700738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21.706042629840422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21.706042629840422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367.99999999999972</v>
      </c>
      <c r="FF135" s="17">
        <f>FE135*VLOOKUP('Données projet'!$B$16,Paramètres!$A$1:$I$89,3,0)*VLOOKUP('Données projet'!$B$16,Paramètres!$A$1:$I$89,5,0)</f>
        <v>396.11519999999967</v>
      </c>
      <c r="FG135" s="13">
        <f t="shared" si="155"/>
        <v>90.988634849704994</v>
      </c>
      <c r="FH135" s="20">
        <f t="shared" si="130"/>
        <v>848.37251236323561</v>
      </c>
      <c r="FI135" s="59">
        <f t="shared" si="131"/>
        <v>1141.705845696569</v>
      </c>
      <c r="FJ135" s="59">
        <f ca="1">AVERAGE(OFFSET($FI$3,0,0,'Données projet'!$E$16+1,1))-AVERAGE(OFFSET($H$3,0,0,'Données projet'!$E$16+1,1))</f>
        <v>534.54020133239135</v>
      </c>
      <c r="FK135" s="59">
        <f t="shared" si="156"/>
        <v>515.48696069008815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24.156724862241781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24.156724862241781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248.99999999999994</v>
      </c>
      <c r="GA135" s="17">
        <f>FZ135*VLOOKUP('Données projet'!$B$17,Paramètres!$A$1:$I$89,3,0)*VLOOKUP('Données projet'!$B$17,Paramètres!$A$1:$I$89,5,0)</f>
        <v>236.94839999999994</v>
      </c>
      <c r="GB135" s="13">
        <f t="shared" si="157"/>
        <v>57.782475694292401</v>
      </c>
      <c r="GC135" s="20">
        <f t="shared" si="133"/>
        <v>513.32294183422573</v>
      </c>
      <c r="GD135" s="59">
        <f t="shared" si="134"/>
        <v>806.65627516755899</v>
      </c>
      <c r="GE135" s="59">
        <f ca="1">AVERAGE(OFFSET($GD$3,0,0,'Données projet'!$E$17+1,1))-AVERAGE(OFFSET($H$3,0,0,'Données projet'!$E$17+1,1))</f>
        <v>455.71329051283936</v>
      </c>
      <c r="GF135" s="59">
        <f t="shared" si="158"/>
        <v>479.3743231122258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56.105784345199737</v>
      </c>
      <c r="GM135" s="21">
        <f>EXP(-LN(2)/25)*GM134+(1-EXP(-LN(2)/25))/(LN(2)/25)*Calculateur!GH135*Calculateur!GJ135*VLOOKUP('Données projet'!$B$17,Paramètres!$A$1:$I$89,3,0)*0.475*44/12</f>
        <v>0</v>
      </c>
      <c r="GN135" s="21">
        <f>EXP(-LN(2)/2)*GN134+(1-EXP(-LN(2)/2))/(LN(2)/2)*GH135*GK135*VLOOKUP('Données projet'!$B$17,Paramètres!$A$1:$I$89,3,0)*0.475*44/12</f>
        <v>0</v>
      </c>
      <c r="GO135" s="21">
        <f t="shared" si="135"/>
        <v>56.105784345199737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367.99999999999972</v>
      </c>
      <c r="GV135" s="17">
        <f>GU135*VLOOKUP('Données projet'!$B$18,Paramètres!$A$1:$I$89,3,0)*VLOOKUP('Données projet'!$B$18,Paramètres!$A$1:$I$89,5,0)</f>
        <v>298.52159999999981</v>
      </c>
      <c r="GW135" s="13">
        <f t="shared" si="159"/>
        <v>70.866444995542437</v>
      </c>
      <c r="GX135" s="20">
        <f t="shared" si="136"/>
        <v>643.35084503390271</v>
      </c>
      <c r="GY135" s="59">
        <f t="shared" si="137"/>
        <v>936.68417836723597</v>
      </c>
      <c r="GZ135" s="59">
        <f ca="1">AVERAGE(OFFSET($GY$3,0,0,'Données projet'!$E$18+1,1))-AVERAGE(OFFSET($H$3,0,0,'Données projet'!$E$18+1,1))</f>
        <v>412.59676769258488</v>
      </c>
      <c r="HA135" s="59">
        <f t="shared" si="160"/>
        <v>399.90063795152133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18.205068012124237</v>
      </c>
      <c r="HH135" s="21">
        <f>EXP(-LN(2)/25)*HH134+(1-EXP(-LN(2)/25))/(LN(2)/25)*Calculateur!HC135*Calculateur!HE135*VLOOKUP('Données projet'!$B$18,Paramètres!$A$1:$I$89,3,0)*0.475*44/12</f>
        <v>0</v>
      </c>
      <c r="HI135" s="21">
        <f>EXP(-LN(2)/2)*HI134+(1-EXP(-LN(2)/2))/(LN(2)/2)*HC135*HF135*VLOOKUP('Données projet'!$B$18,Paramètres!$A$1:$I$89,3,0)*0.475*44/12</f>
        <v>0</v>
      </c>
      <c r="HJ135" s="22">
        <f t="shared" si="138"/>
        <v>18.205068012124237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306.99999999999994</v>
      </c>
      <c r="O136" s="13">
        <f>N136*VLOOKUP('Données projet'!$B$9,Paramètres!$A$1:$I$89,3,0)*VLOOKUP('Données projet'!$B$9,Paramètres!$A$1:$I$89,5,0)</f>
        <v>277.77359999999993</v>
      </c>
      <c r="P136" s="13">
        <f t="shared" si="141"/>
        <v>66.496288176842356</v>
      </c>
      <c r="Q136" s="20">
        <f t="shared" si="108"/>
        <v>599.60338857466706</v>
      </c>
      <c r="R136" s="59">
        <f t="shared" si="109"/>
        <v>892.93672190800044</v>
      </c>
      <c r="S136" s="59">
        <f ca="1">AVERAGE(OFFSET($R$3,0,0,'Données projet'!$E$9+1,1))-AVERAGE(OFFSET($H$3,0,0,'Données projet'!$E$9+1,1))</f>
        <v>439.19854273764042</v>
      </c>
      <c r="T136" s="59">
        <f t="shared" si="142"/>
        <v>278.21741231699929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70.082078583120222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70.082078583120222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306.99999999999994</v>
      </c>
      <c r="AJ136" s="13">
        <f>AI136*VLOOKUP('Données projet'!$B$10,Paramètres!$A$1:$I$89,3,0)*VLOOKUP('Données projet'!$B$10,Paramètres!$A$1:$I$89,5,0)</f>
        <v>311.298</v>
      </c>
      <c r="AK136" s="13">
        <f t="shared" si="143"/>
        <v>73.539838278528748</v>
      </c>
      <c r="AL136" s="20">
        <f t="shared" si="112"/>
        <v>670.25923500177089</v>
      </c>
      <c r="AM136" s="59">
        <f t="shared" si="113"/>
        <v>963.59256833510426</v>
      </c>
      <c r="AN136" s="59">
        <f ca="1">AVERAGE(OFFSET($AM$3,0,0,'Données projet'!$E$10+1,1))-AVERAGE(OFFSET($H$3,0,0,'Données projet'!$E$10+1,1))</f>
        <v>487.18832528146936</v>
      </c>
      <c r="AO136" s="59">
        <f t="shared" si="144"/>
        <v>306.61893266146666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78.540260481083024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78.540260481083024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369.00000000000023</v>
      </c>
      <c r="BE136" s="13">
        <f>BD136*VLOOKUP('Données projet'!$B$11,Paramètres!$A$1:$I$89,3,0)*VLOOKUP('Données projet'!$B$11,Paramètres!$A$1:$I$89,5,0)</f>
        <v>333.87120000000021</v>
      </c>
      <c r="BF136" s="13">
        <f t="shared" si="145"/>
        <v>78.23236011137638</v>
      </c>
      <c r="BG136" s="20">
        <f t="shared" si="115"/>
        <v>717.74703386064755</v>
      </c>
      <c r="BH136" s="59">
        <f t="shared" si="116"/>
        <v>1011.0803671939809</v>
      </c>
      <c r="BI136" s="59">
        <f ca="1">AVERAGE(OFFSET($BH$3,0,0,'Données projet'!$E$11+1,1))-AVERAGE(OFFSET($H$3,0,0,'Données projet'!$E$11+1,1))</f>
        <v>436.23918637269577</v>
      </c>
      <c r="BJ136" s="59">
        <f t="shared" si="146"/>
        <v>611.43967996341894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1.3747875151280007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1.3747875151280007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224.00000000000006</v>
      </c>
      <c r="BZ136" s="13">
        <f>BY136*VLOOKUP('Données projet'!$B$12,Paramètres!$A$1:$I$89,3,0)*VLOOKUP('Données projet'!$B$12,Paramètres!$A$1:$I$89,5,0)</f>
        <v>195.68640000000008</v>
      </c>
      <c r="CA136" s="13">
        <f t="shared" si="147"/>
        <v>48.794969360985156</v>
      </c>
      <c r="CB136" s="20">
        <f t="shared" si="118"/>
        <v>425.8050516370493</v>
      </c>
      <c r="CC136" s="59">
        <f t="shared" si="119"/>
        <v>719.13838497038262</v>
      </c>
      <c r="CD136" s="59">
        <f ca="1">AVERAGE(OFFSET($CC$3,0,0,'Données projet'!$E$12+1,1))-AVERAGE(OFFSET($H$3,0,0,'Données projet'!$E$12+1,1))</f>
        <v>304.32767345253382</v>
      </c>
      <c r="CE136" s="59">
        <f t="shared" si="148"/>
        <v>427.16091343339173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14.846312917974517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14.846312917974517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739.99999999999966</v>
      </c>
      <c r="CU136" s="17">
        <f>CT136*VLOOKUP('Données projet'!$B$13,Paramètres!$A$1:$I$89,3,0)*VLOOKUP('Données projet'!$B$13,Paramètres!$A$1:$I$89,5,0)</f>
        <v>413.65999999999985</v>
      </c>
      <c r="CV136" s="13">
        <f t="shared" si="149"/>
        <v>94.540585122244352</v>
      </c>
      <c r="CW136" s="20">
        <f t="shared" si="121"/>
        <v>885.11601908790863</v>
      </c>
      <c r="CX136" s="59">
        <f t="shared" si="122"/>
        <v>1178.4493524212419</v>
      </c>
      <c r="CY136" s="59">
        <f ca="1">AVERAGE(OFFSET($CX$3,0,0,'Données projet'!$E$13+1,1))-AVERAGE(OFFSET($H$3,0,0,'Données projet'!$E$13+1,1))</f>
        <v>555.15881087162279</v>
      </c>
      <c r="CZ136" s="59">
        <f t="shared" si="150"/>
        <v>668.20427590250733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29.09314221537306</v>
      </c>
      <c r="DG136" s="21">
        <f>EXP(-LN(2)/25)*DG135+(1-EXP(-LN(2)/25))/(LN(2)/25)*Calculateur!DB136*Calculateur!DD136*VLOOKUP('Données projet'!$B$13,Paramètres!$A$1:$I$89,3,0)*0.475*44/12</f>
        <v>3.3231227765390989</v>
      </c>
      <c r="DH136" s="21">
        <f>EXP(-LN(2)/2)*DH135+(1-EXP(-LN(2)/2))/(LN(2)/2)*DB136*DE136*VLOOKUP('Données projet'!$B$13,Paramètres!$A$1:$I$89,3,0)*0.475*44/12</f>
        <v>2.670675040705359E-16</v>
      </c>
      <c r="DI136" s="22">
        <f t="shared" si="123"/>
        <v>32.416264991912158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911.99999999999898</v>
      </c>
      <c r="DP136" s="17">
        <f>DO136*VLOOKUP('Données projet'!$B$14,Paramètres!$A$1:$I$89,3,0)*VLOOKUP('Données projet'!$B$14,Paramètres!$A$1:$I$89,5,0)</f>
        <v>426.81599999999946</v>
      </c>
      <c r="DQ136" s="13">
        <f t="shared" si="151"/>
        <v>97.192496986872399</v>
      </c>
      <c r="DR136" s="20">
        <f t="shared" si="124"/>
        <v>912.64813225213504</v>
      </c>
      <c r="DS136" s="59">
        <f t="shared" si="125"/>
        <v>1205.9814655854684</v>
      </c>
      <c r="DT136" s="59">
        <f ca="1">AVERAGE(OFFSET($DS$3,0,0,'Données projet'!$E$14+1,1))-AVERAGE(OFFSET($H$3,0,0,'Données projet'!$E$14+1,1))</f>
        <v>523.79180230463714</v>
      </c>
      <c r="DU136" s="59">
        <f t="shared" si="152"/>
        <v>459.3547783500515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52.029326256263396</v>
      </c>
      <c r="EB136" s="21">
        <f>EXP(-LN(2)/25)*EB135+(1-EXP(-LN(2)/25))/(LN(2)/25)*Calculateur!DW136*Calculateur!DY136*VLOOKUP('Données projet'!$B$14,Paramètres!$A$1:$I$89,3,0)*0.475*44/12</f>
        <v>3.0734680089035393</v>
      </c>
      <c r="EC136" s="21">
        <f>EXP(-LN(2)/2)*EC135+(1-EXP(-LN(2)/2))/(LN(2)/2)*DW136*DZ136*VLOOKUP('Données projet'!$B$14,Paramètres!$A$1:$I$89,3,0)*0.475*44/12</f>
        <v>3.7438559791824139E-16</v>
      </c>
      <c r="ED136" s="22">
        <f t="shared" si="126"/>
        <v>55.102794265166935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367.99999999999972</v>
      </c>
      <c r="EK136" s="17">
        <f>EJ136*VLOOKUP('Données projet'!$B$15,Paramètres!$A$1:$I$89,3,0)*VLOOKUP('Données projet'!$B$15,Paramètres!$A$1:$I$89,5,0)</f>
        <v>355.92959999999977</v>
      </c>
      <c r="EL136" s="13">
        <f t="shared" si="153"/>
        <v>82.782281100458206</v>
      </c>
      <c r="EM136" s="20">
        <f t="shared" si="127"/>
        <v>764.08985958329765</v>
      </c>
      <c r="EN136" s="59">
        <f t="shared" si="128"/>
        <v>1057.423192916631</v>
      </c>
      <c r="EO136" s="59">
        <f ca="1">AVERAGE(OFFSET($EN$3,0,0,'Données projet'!$E$15+1,1))-AVERAGE(OFFSET($H$3,0,0,'Données projet'!$E$15+1,1))</f>
        <v>484.41278617935654</v>
      </c>
      <c r="EP136" s="59">
        <f t="shared" si="154"/>
        <v>467.97490540700738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21.280400373247975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21.280400373247975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367.99999999999972</v>
      </c>
      <c r="FF136" s="17">
        <f>FE136*VLOOKUP('Données projet'!$B$16,Paramètres!$A$1:$I$89,3,0)*VLOOKUP('Données projet'!$B$16,Paramètres!$A$1:$I$89,5,0)</f>
        <v>396.11519999999967</v>
      </c>
      <c r="FG136" s="13">
        <f t="shared" si="155"/>
        <v>90.988634849704994</v>
      </c>
      <c r="FH136" s="20">
        <f t="shared" si="130"/>
        <v>848.37251236323561</v>
      </c>
      <c r="FI136" s="59">
        <f t="shared" si="131"/>
        <v>1141.705845696569</v>
      </c>
      <c r="FJ136" s="59">
        <f ca="1">AVERAGE(OFFSET($FI$3,0,0,'Données projet'!$E$16+1,1))-AVERAGE(OFFSET($H$3,0,0,'Données projet'!$E$16+1,1))</f>
        <v>534.54020133239135</v>
      </c>
      <c r="FK136" s="59">
        <f t="shared" si="156"/>
        <v>515.48696069008815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23.68302622184051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23.68302622184051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248.99999999999994</v>
      </c>
      <c r="GA136" s="17">
        <f>FZ136*VLOOKUP('Données projet'!$B$17,Paramètres!$A$1:$I$89,3,0)*VLOOKUP('Données projet'!$B$17,Paramètres!$A$1:$I$89,5,0)</f>
        <v>236.94839999999994</v>
      </c>
      <c r="GB136" s="13">
        <f t="shared" si="157"/>
        <v>57.782475694292401</v>
      </c>
      <c r="GC136" s="20">
        <f t="shared" si="133"/>
        <v>513.32294183422573</v>
      </c>
      <c r="GD136" s="59">
        <f t="shared" si="134"/>
        <v>806.65627516755899</v>
      </c>
      <c r="GE136" s="59">
        <f ca="1">AVERAGE(OFFSET($GD$3,0,0,'Données projet'!$E$17+1,1))-AVERAGE(OFFSET($H$3,0,0,'Données projet'!$E$17+1,1))</f>
        <v>455.71329051283936</v>
      </c>
      <c r="GF136" s="59">
        <f t="shared" si="158"/>
        <v>479.3743231122258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55.00558413533976</v>
      </c>
      <c r="GM136" s="21">
        <f>EXP(-LN(2)/25)*GM135+(1-EXP(-LN(2)/25))/(LN(2)/25)*Calculateur!GH136*Calculateur!GJ136*VLOOKUP('Données projet'!$B$17,Paramètres!$A$1:$I$89,3,0)*0.475*44/12</f>
        <v>0</v>
      </c>
      <c r="GN136" s="21">
        <f>EXP(-LN(2)/2)*GN135+(1-EXP(-LN(2)/2))/(LN(2)/2)*GH136*GK136*VLOOKUP('Données projet'!$B$17,Paramètres!$A$1:$I$89,3,0)*0.475*44/12</f>
        <v>0</v>
      </c>
      <c r="GO136" s="21">
        <f t="shared" si="135"/>
        <v>55.00558413533976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367.99999999999972</v>
      </c>
      <c r="GV136" s="17">
        <f>GU136*VLOOKUP('Données projet'!$B$18,Paramètres!$A$1:$I$89,3,0)*VLOOKUP('Données projet'!$B$18,Paramètres!$A$1:$I$89,5,0)</f>
        <v>298.52159999999981</v>
      </c>
      <c r="GW136" s="13">
        <f t="shared" si="159"/>
        <v>70.866444995542437</v>
      </c>
      <c r="GX136" s="20">
        <f t="shared" si="136"/>
        <v>643.35084503390271</v>
      </c>
      <c r="GY136" s="59">
        <f t="shared" si="137"/>
        <v>936.68417836723597</v>
      </c>
      <c r="GZ136" s="59">
        <f ca="1">AVERAGE(OFFSET($GY$3,0,0,'Données projet'!$E$18+1,1))-AVERAGE(OFFSET($H$3,0,0,'Données projet'!$E$18+1,1))</f>
        <v>412.59676769258488</v>
      </c>
      <c r="HA136" s="59">
        <f t="shared" si="160"/>
        <v>399.90063795152133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17.848077732401538</v>
      </c>
      <c r="HH136" s="21">
        <f>EXP(-LN(2)/25)*HH135+(1-EXP(-LN(2)/25))/(LN(2)/25)*Calculateur!HC136*Calculateur!HE136*VLOOKUP('Données projet'!$B$18,Paramètres!$A$1:$I$89,3,0)*0.475*44/12</f>
        <v>0</v>
      </c>
      <c r="HI136" s="21">
        <f>EXP(-LN(2)/2)*HI135+(1-EXP(-LN(2)/2))/(LN(2)/2)*HC136*HF136*VLOOKUP('Données projet'!$B$18,Paramètres!$A$1:$I$89,3,0)*0.475*44/12</f>
        <v>0</v>
      </c>
      <c r="HJ136" s="22">
        <f t="shared" si="138"/>
        <v>17.848077732401538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306.99999999999994</v>
      </c>
      <c r="O137" s="13">
        <f>N137*VLOOKUP('Données projet'!$B$9,Paramètres!$A$1:$I$89,3,0)*VLOOKUP('Données projet'!$B$9,Paramètres!$A$1:$I$89,5,0)</f>
        <v>277.77359999999993</v>
      </c>
      <c r="P137" s="13">
        <f t="shared" si="141"/>
        <v>66.496288176842356</v>
      </c>
      <c r="Q137" s="20">
        <f t="shared" si="108"/>
        <v>599.60338857466706</v>
      </c>
      <c r="R137" s="59">
        <f t="shared" si="109"/>
        <v>892.93672190800044</v>
      </c>
      <c r="S137" s="59">
        <f ca="1">AVERAGE(OFFSET($R$3,0,0,'Données projet'!$E$9+1,1))-AVERAGE(OFFSET($H$3,0,0,'Données projet'!$E$9+1,1))</f>
        <v>439.19854273764042</v>
      </c>
      <c r="T137" s="59">
        <f t="shared" si="142"/>
        <v>278.21741231699929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68.707811767952364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68.707811767952364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306.99999999999994</v>
      </c>
      <c r="AJ137" s="13">
        <f>AI137*VLOOKUP('Données projet'!$B$10,Paramètres!$A$1:$I$89,3,0)*VLOOKUP('Données projet'!$B$10,Paramètres!$A$1:$I$89,5,0)</f>
        <v>311.298</v>
      </c>
      <c r="AK137" s="13">
        <f t="shared" si="143"/>
        <v>73.539838278528748</v>
      </c>
      <c r="AL137" s="20">
        <f t="shared" si="112"/>
        <v>670.25923500177089</v>
      </c>
      <c r="AM137" s="59">
        <f t="shared" si="113"/>
        <v>963.59256833510426</v>
      </c>
      <c r="AN137" s="59">
        <f ca="1">AVERAGE(OFFSET($AM$3,0,0,'Données projet'!$E$10+1,1))-AVERAGE(OFFSET($H$3,0,0,'Données projet'!$E$10+1,1))</f>
        <v>487.18832528146936</v>
      </c>
      <c r="AO137" s="59">
        <f t="shared" si="144"/>
        <v>306.61893266146666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77.000133877877673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77.000133877877673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369.00000000000023</v>
      </c>
      <c r="BE137" s="13">
        <f>BD137*VLOOKUP('Données projet'!$B$11,Paramètres!$A$1:$I$89,3,0)*VLOOKUP('Données projet'!$B$11,Paramètres!$A$1:$I$89,5,0)</f>
        <v>333.87120000000021</v>
      </c>
      <c r="BF137" s="13">
        <f t="shared" si="145"/>
        <v>78.23236011137638</v>
      </c>
      <c r="BG137" s="20">
        <f t="shared" si="115"/>
        <v>717.74703386064755</v>
      </c>
      <c r="BH137" s="59">
        <f t="shared" si="116"/>
        <v>1011.0803671939809</v>
      </c>
      <c r="BI137" s="59">
        <f ca="1">AVERAGE(OFFSET($BH$3,0,0,'Données projet'!$E$11+1,1))-AVERAGE(OFFSET($H$3,0,0,'Données projet'!$E$11+1,1))</f>
        <v>436.23918637269577</v>
      </c>
      <c r="BJ137" s="59">
        <f t="shared" si="146"/>
        <v>611.43967996341894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1.347828770493926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1.347828770493926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224.00000000000006</v>
      </c>
      <c r="BZ137" s="13">
        <f>BY137*VLOOKUP('Données projet'!$B$12,Paramètres!$A$1:$I$89,3,0)*VLOOKUP('Données projet'!$B$12,Paramètres!$A$1:$I$89,5,0)</f>
        <v>195.68640000000008</v>
      </c>
      <c r="CA137" s="13">
        <f t="shared" si="147"/>
        <v>48.794969360985156</v>
      </c>
      <c r="CB137" s="20">
        <f t="shared" si="118"/>
        <v>425.8050516370493</v>
      </c>
      <c r="CC137" s="59">
        <f t="shared" si="119"/>
        <v>719.13838497038262</v>
      </c>
      <c r="CD137" s="59">
        <f ca="1">AVERAGE(OFFSET($CC$3,0,0,'Données projet'!$E$12+1,1))-AVERAGE(OFFSET($H$3,0,0,'Données projet'!$E$12+1,1))</f>
        <v>304.32767345253382</v>
      </c>
      <c r="CE137" s="59">
        <f t="shared" si="148"/>
        <v>427.16091343339173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14.555185777009774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14.555185777009774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739.99999999999966</v>
      </c>
      <c r="CU137" s="17">
        <f>CT137*VLOOKUP('Données projet'!$B$13,Paramètres!$A$1:$I$89,3,0)*VLOOKUP('Données projet'!$B$13,Paramètres!$A$1:$I$89,5,0)</f>
        <v>413.65999999999985</v>
      </c>
      <c r="CV137" s="13">
        <f t="shared" si="149"/>
        <v>94.540585122244352</v>
      </c>
      <c r="CW137" s="20">
        <f t="shared" si="121"/>
        <v>885.11601908790863</v>
      </c>
      <c r="CX137" s="59">
        <f t="shared" si="122"/>
        <v>1178.4493524212419</v>
      </c>
      <c r="CY137" s="59">
        <f ca="1">AVERAGE(OFFSET($CX$3,0,0,'Données projet'!$E$13+1,1))-AVERAGE(OFFSET($H$3,0,0,'Données projet'!$E$13+1,1))</f>
        <v>555.15881087162279</v>
      </c>
      <c r="CZ137" s="59">
        <f t="shared" si="150"/>
        <v>668.20427590250733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28.522643441594166</v>
      </c>
      <c r="DG137" s="21">
        <f>EXP(-LN(2)/25)*DG136+(1-EXP(-LN(2)/25))/(LN(2)/25)*Calculateur!DB137*Calculateur!DD137*VLOOKUP('Données projet'!$B$13,Paramètres!$A$1:$I$89,3,0)*0.475*44/12</f>
        <v>3.2322518094592056</v>
      </c>
      <c r="DH137" s="21">
        <f>EXP(-LN(2)/2)*DH136+(1-EXP(-LN(2)/2))/(LN(2)/2)*DB137*DE137*VLOOKUP('Données projet'!$B$13,Paramètres!$A$1:$I$89,3,0)*0.475*44/12</f>
        <v>1.8884524316284183E-16</v>
      </c>
      <c r="DI137" s="22">
        <f t="shared" si="123"/>
        <v>31.754895251053373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911.99999999999898</v>
      </c>
      <c r="DP137" s="17">
        <f>DO137*VLOOKUP('Données projet'!$B$14,Paramètres!$A$1:$I$89,3,0)*VLOOKUP('Données projet'!$B$14,Paramètres!$A$1:$I$89,5,0)</f>
        <v>426.81599999999946</v>
      </c>
      <c r="DQ137" s="13">
        <f t="shared" si="151"/>
        <v>97.192496986872399</v>
      </c>
      <c r="DR137" s="20">
        <f t="shared" si="124"/>
        <v>912.64813225213504</v>
      </c>
      <c r="DS137" s="59">
        <f t="shared" si="125"/>
        <v>1205.9814655854684</v>
      </c>
      <c r="DT137" s="59">
        <f ca="1">AVERAGE(OFFSET($DS$3,0,0,'Données projet'!$E$14+1,1))-AVERAGE(OFFSET($H$3,0,0,'Données projet'!$E$14+1,1))</f>
        <v>523.79180230463714</v>
      </c>
      <c r="DU137" s="59">
        <f t="shared" si="152"/>
        <v>459.3547783500515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51.00906290313354</v>
      </c>
      <c r="EB137" s="21">
        <f>EXP(-LN(2)/25)*EB136+(1-EXP(-LN(2)/25))/(LN(2)/25)*Calculateur!DW137*Calculateur!DY137*VLOOKUP('Données projet'!$B$14,Paramètres!$A$1:$I$89,3,0)*0.475*44/12</f>
        <v>2.9894238645734141</v>
      </c>
      <c r="EC137" s="21">
        <f>EXP(-LN(2)/2)*EC136+(1-EXP(-LN(2)/2))/(LN(2)/2)*DW137*DZ137*VLOOKUP('Données projet'!$B$14,Paramètres!$A$1:$I$89,3,0)*0.475*44/12</f>
        <v>2.6473059506656867E-16</v>
      </c>
      <c r="ED137" s="22">
        <f t="shared" si="126"/>
        <v>53.99848676770695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367.99999999999972</v>
      </c>
      <c r="EK137" s="17">
        <f>EJ137*VLOOKUP('Données projet'!$B$15,Paramètres!$A$1:$I$89,3,0)*VLOOKUP('Données projet'!$B$15,Paramètres!$A$1:$I$89,5,0)</f>
        <v>355.92959999999977</v>
      </c>
      <c r="EL137" s="13">
        <f t="shared" si="153"/>
        <v>82.782281100458206</v>
      </c>
      <c r="EM137" s="20">
        <f t="shared" si="127"/>
        <v>764.08985958329765</v>
      </c>
      <c r="EN137" s="59">
        <f t="shared" si="128"/>
        <v>1057.423192916631</v>
      </c>
      <c r="EO137" s="59">
        <f ca="1">AVERAGE(OFFSET($EN$3,0,0,'Données projet'!$E$15+1,1))-AVERAGE(OFFSET($H$3,0,0,'Données projet'!$E$15+1,1))</f>
        <v>484.41278617935654</v>
      </c>
      <c r="EP137" s="59">
        <f t="shared" si="154"/>
        <v>467.97490540700738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20.863104701691164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20.863104701691164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367.99999999999972</v>
      </c>
      <c r="FF137" s="17">
        <f>FE137*VLOOKUP('Données projet'!$B$16,Paramètres!$A$1:$I$89,3,0)*VLOOKUP('Données projet'!$B$16,Paramètres!$A$1:$I$89,5,0)</f>
        <v>396.11519999999967</v>
      </c>
      <c r="FG137" s="13">
        <f t="shared" si="155"/>
        <v>90.988634849704994</v>
      </c>
      <c r="FH137" s="20">
        <f t="shared" si="130"/>
        <v>848.37251236323561</v>
      </c>
      <c r="FI137" s="59">
        <f t="shared" si="131"/>
        <v>1141.705845696569</v>
      </c>
      <c r="FJ137" s="59">
        <f ca="1">AVERAGE(OFFSET($FI$3,0,0,'Données projet'!$E$16+1,1))-AVERAGE(OFFSET($H$3,0,0,'Données projet'!$E$16+1,1))</f>
        <v>534.54020133239135</v>
      </c>
      <c r="FK137" s="59">
        <f t="shared" si="156"/>
        <v>515.48696069008815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23.218616522849867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23.218616522849867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248.99999999999994</v>
      </c>
      <c r="GA137" s="17">
        <f>FZ137*VLOOKUP('Données projet'!$B$17,Paramètres!$A$1:$I$89,3,0)*VLOOKUP('Données projet'!$B$17,Paramètres!$A$1:$I$89,5,0)</f>
        <v>236.94839999999994</v>
      </c>
      <c r="GB137" s="13">
        <f t="shared" si="157"/>
        <v>57.782475694292401</v>
      </c>
      <c r="GC137" s="20">
        <f t="shared" si="133"/>
        <v>513.32294183422573</v>
      </c>
      <c r="GD137" s="59">
        <f t="shared" si="134"/>
        <v>806.65627516755899</v>
      </c>
      <c r="GE137" s="59">
        <f ca="1">AVERAGE(OFFSET($GD$3,0,0,'Données projet'!$E$17+1,1))-AVERAGE(OFFSET($H$3,0,0,'Données projet'!$E$17+1,1))</f>
        <v>455.71329051283936</v>
      </c>
      <c r="GF137" s="59">
        <f t="shared" si="158"/>
        <v>479.3743231122258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53.926958180539273</v>
      </c>
      <c r="GM137" s="21">
        <f>EXP(-LN(2)/25)*GM136+(1-EXP(-LN(2)/25))/(LN(2)/25)*Calculateur!GH137*Calculateur!GJ137*VLOOKUP('Données projet'!$B$17,Paramètres!$A$1:$I$89,3,0)*0.475*44/12</f>
        <v>0</v>
      </c>
      <c r="GN137" s="21">
        <f>EXP(-LN(2)/2)*GN136+(1-EXP(-LN(2)/2))/(LN(2)/2)*GH137*GK137*VLOOKUP('Données projet'!$B$17,Paramètres!$A$1:$I$89,3,0)*0.475*44/12</f>
        <v>0</v>
      </c>
      <c r="GO137" s="21">
        <f t="shared" si="135"/>
        <v>53.926958180539273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367.99999999999972</v>
      </c>
      <c r="GV137" s="17">
        <f>GU137*VLOOKUP('Données projet'!$B$18,Paramètres!$A$1:$I$89,3,0)*VLOOKUP('Données projet'!$B$18,Paramètres!$A$1:$I$89,5,0)</f>
        <v>298.52159999999981</v>
      </c>
      <c r="GW137" s="13">
        <f t="shared" si="159"/>
        <v>70.866444995542437</v>
      </c>
      <c r="GX137" s="20">
        <f t="shared" si="136"/>
        <v>643.35084503390271</v>
      </c>
      <c r="GY137" s="59">
        <f t="shared" si="137"/>
        <v>936.68417836723597</v>
      </c>
      <c r="GZ137" s="59">
        <f ca="1">AVERAGE(OFFSET($GY$3,0,0,'Données projet'!$E$18+1,1))-AVERAGE(OFFSET($H$3,0,0,'Données projet'!$E$18+1,1))</f>
        <v>412.59676769258488</v>
      </c>
      <c r="HA137" s="59">
        <f t="shared" si="160"/>
        <v>399.90063795152133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17.498087814321632</v>
      </c>
      <c r="HH137" s="21">
        <f>EXP(-LN(2)/25)*HH136+(1-EXP(-LN(2)/25))/(LN(2)/25)*Calculateur!HC137*Calculateur!HE137*VLOOKUP('Données projet'!$B$18,Paramètres!$A$1:$I$89,3,0)*0.475*44/12</f>
        <v>0</v>
      </c>
      <c r="HI137" s="21">
        <f>EXP(-LN(2)/2)*HI136+(1-EXP(-LN(2)/2))/(LN(2)/2)*HC137*HF137*VLOOKUP('Données projet'!$B$18,Paramètres!$A$1:$I$89,3,0)*0.475*44/12</f>
        <v>0</v>
      </c>
      <c r="HJ137" s="22">
        <f t="shared" si="138"/>
        <v>17.498087814321632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306.99999999999994</v>
      </c>
      <c r="O138" s="13">
        <f>N138*VLOOKUP('Données projet'!$B$9,Paramètres!$A$1:$I$89,3,0)*VLOOKUP('Données projet'!$B$9,Paramètres!$A$1:$I$89,5,0)</f>
        <v>277.77359999999993</v>
      </c>
      <c r="P138" s="13">
        <f t="shared" si="141"/>
        <v>66.496288176842356</v>
      </c>
      <c r="Q138" s="20">
        <f t="shared" si="108"/>
        <v>599.60338857466706</v>
      </c>
      <c r="R138" s="59">
        <f t="shared" si="109"/>
        <v>892.93672190800044</v>
      </c>
      <c r="S138" s="59">
        <f ca="1">AVERAGE(OFFSET($R$3,0,0,'Données projet'!$E$9+1,1))-AVERAGE(OFFSET($H$3,0,0,'Données projet'!$E$9+1,1))</f>
        <v>439.19854273764042</v>
      </c>
      <c r="T138" s="59">
        <f t="shared" si="142"/>
        <v>278.21741231699929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67.360493486809958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67.360493486809958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306.99999999999994</v>
      </c>
      <c r="AJ138" s="13">
        <f>AI138*VLOOKUP('Données projet'!$B$10,Paramètres!$A$1:$I$89,3,0)*VLOOKUP('Données projet'!$B$10,Paramètres!$A$1:$I$89,5,0)</f>
        <v>311.298</v>
      </c>
      <c r="AK138" s="13">
        <f t="shared" si="143"/>
        <v>73.539838278528748</v>
      </c>
      <c r="AL138" s="20">
        <f t="shared" si="112"/>
        <v>670.25923500177089</v>
      </c>
      <c r="AM138" s="59">
        <f t="shared" si="113"/>
        <v>963.59256833510426</v>
      </c>
      <c r="AN138" s="59">
        <f ca="1">AVERAGE(OFFSET($AM$3,0,0,'Données projet'!$E$10+1,1))-AVERAGE(OFFSET($H$3,0,0,'Données projet'!$E$10+1,1))</f>
        <v>487.18832528146936</v>
      </c>
      <c r="AO138" s="59">
        <f t="shared" si="144"/>
        <v>306.61893266146666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75.490208217976701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75.490208217976701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369.00000000000023</v>
      </c>
      <c r="BE138" s="13">
        <f>BD138*VLOOKUP('Données projet'!$B$11,Paramètres!$A$1:$I$89,3,0)*VLOOKUP('Données projet'!$B$11,Paramètres!$A$1:$I$89,5,0)</f>
        <v>333.87120000000021</v>
      </c>
      <c r="BF138" s="13">
        <f t="shared" si="145"/>
        <v>78.23236011137638</v>
      </c>
      <c r="BG138" s="20">
        <f t="shared" si="115"/>
        <v>717.74703386064755</v>
      </c>
      <c r="BH138" s="59">
        <f t="shared" si="116"/>
        <v>1011.0803671939809</v>
      </c>
      <c r="BI138" s="59">
        <f ca="1">AVERAGE(OFFSET($BH$3,0,0,'Données projet'!$E$11+1,1))-AVERAGE(OFFSET($H$3,0,0,'Données projet'!$E$11+1,1))</f>
        <v>436.23918637269577</v>
      </c>
      <c r="BJ138" s="59">
        <f t="shared" si="146"/>
        <v>611.43967996341894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1.3213986703989151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1.3213986703989151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224.00000000000006</v>
      </c>
      <c r="BZ138" s="13">
        <f>BY138*VLOOKUP('Données projet'!$B$12,Paramètres!$A$1:$I$89,3,0)*VLOOKUP('Données projet'!$B$12,Paramètres!$A$1:$I$89,5,0)</f>
        <v>195.68640000000008</v>
      </c>
      <c r="CA138" s="13">
        <f t="shared" si="147"/>
        <v>48.794969360985156</v>
      </c>
      <c r="CB138" s="20">
        <f t="shared" si="118"/>
        <v>425.8050516370493</v>
      </c>
      <c r="CC138" s="59">
        <f t="shared" si="119"/>
        <v>719.13838497038262</v>
      </c>
      <c r="CD138" s="59">
        <f ca="1">AVERAGE(OFFSET($CC$3,0,0,'Données projet'!$E$12+1,1))-AVERAGE(OFFSET($H$3,0,0,'Données projet'!$E$12+1,1))</f>
        <v>304.32767345253382</v>
      </c>
      <c r="CE138" s="59">
        <f t="shared" si="148"/>
        <v>427.16091343339173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14.269767461709327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14.269767461709327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739.99999999999966</v>
      </c>
      <c r="CU138" s="17">
        <f>CT138*VLOOKUP('Données projet'!$B$13,Paramètres!$A$1:$I$89,3,0)*VLOOKUP('Données projet'!$B$13,Paramètres!$A$1:$I$89,5,0)</f>
        <v>413.65999999999985</v>
      </c>
      <c r="CV138" s="13">
        <f t="shared" si="149"/>
        <v>94.540585122244352</v>
      </c>
      <c r="CW138" s="20">
        <f t="shared" si="121"/>
        <v>885.11601908790863</v>
      </c>
      <c r="CX138" s="59">
        <f t="shared" si="122"/>
        <v>1178.4493524212419</v>
      </c>
      <c r="CY138" s="59">
        <f ca="1">AVERAGE(OFFSET($CX$3,0,0,'Données projet'!$E$13+1,1))-AVERAGE(OFFSET($H$3,0,0,'Données projet'!$E$13+1,1))</f>
        <v>555.15881087162279</v>
      </c>
      <c r="CZ138" s="59">
        <f t="shared" si="150"/>
        <v>668.20427590250733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27.963331800799182</v>
      </c>
      <c r="DG138" s="21">
        <f>EXP(-LN(2)/25)*DG137+(1-EXP(-LN(2)/25))/(LN(2)/25)*Calculateur!DB138*Calculateur!DD138*VLOOKUP('Données projet'!$B$13,Paramètres!$A$1:$I$89,3,0)*0.475*44/12</f>
        <v>3.1438657137528083</v>
      </c>
      <c r="DH138" s="21">
        <f>EXP(-LN(2)/2)*DH137+(1-EXP(-LN(2)/2))/(LN(2)/2)*DB138*DE138*VLOOKUP('Données projet'!$B$13,Paramètres!$A$1:$I$89,3,0)*0.475*44/12</f>
        <v>1.3353375203526795E-16</v>
      </c>
      <c r="DI138" s="22">
        <f t="shared" si="123"/>
        <v>31.107197514551991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911.99999999999898</v>
      </c>
      <c r="DP138" s="17">
        <f>DO138*VLOOKUP('Données projet'!$B$14,Paramètres!$A$1:$I$89,3,0)*VLOOKUP('Données projet'!$B$14,Paramètres!$A$1:$I$89,5,0)</f>
        <v>426.81599999999946</v>
      </c>
      <c r="DQ138" s="13">
        <f t="shared" si="151"/>
        <v>97.192496986872399</v>
      </c>
      <c r="DR138" s="20">
        <f t="shared" si="124"/>
        <v>912.64813225213504</v>
      </c>
      <c r="DS138" s="59">
        <f t="shared" si="125"/>
        <v>1205.9814655854684</v>
      </c>
      <c r="DT138" s="59">
        <f ca="1">AVERAGE(OFFSET($DS$3,0,0,'Données projet'!$E$14+1,1))-AVERAGE(OFFSET($H$3,0,0,'Données projet'!$E$14+1,1))</f>
        <v>523.79180230463714</v>
      </c>
      <c r="DU138" s="59">
        <f t="shared" si="152"/>
        <v>459.3547783500515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50.008806292059361</v>
      </c>
      <c r="EB138" s="21">
        <f>EXP(-LN(2)/25)*EB137+(1-EXP(-LN(2)/25))/(LN(2)/25)*Calculateur!DW138*Calculateur!DY138*VLOOKUP('Données projet'!$B$14,Paramètres!$A$1:$I$89,3,0)*0.475*44/12</f>
        <v>2.9076779117896856</v>
      </c>
      <c r="EC138" s="21">
        <f>EXP(-LN(2)/2)*EC137+(1-EXP(-LN(2)/2))/(LN(2)/2)*DW138*DZ138*VLOOKUP('Données projet'!$B$14,Paramètres!$A$1:$I$89,3,0)*0.475*44/12</f>
        <v>1.871927989591207E-16</v>
      </c>
      <c r="ED138" s="22">
        <f t="shared" si="126"/>
        <v>52.916484203849045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367.99999999999972</v>
      </c>
      <c r="EK138" s="17">
        <f>EJ138*VLOOKUP('Données projet'!$B$15,Paramètres!$A$1:$I$89,3,0)*VLOOKUP('Données projet'!$B$15,Paramètres!$A$1:$I$89,5,0)</f>
        <v>355.92959999999977</v>
      </c>
      <c r="EL138" s="13">
        <f t="shared" si="153"/>
        <v>82.782281100458206</v>
      </c>
      <c r="EM138" s="20">
        <f t="shared" si="127"/>
        <v>764.08985958329765</v>
      </c>
      <c r="EN138" s="59">
        <f t="shared" si="128"/>
        <v>1057.423192916631</v>
      </c>
      <c r="EO138" s="59">
        <f ca="1">AVERAGE(OFFSET($EN$3,0,0,'Données projet'!$E$15+1,1))-AVERAGE(OFFSET($H$3,0,0,'Données projet'!$E$15+1,1))</f>
        <v>484.41278617935654</v>
      </c>
      <c r="EP138" s="59">
        <f t="shared" si="154"/>
        <v>467.97490540700738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20.453991943728354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20.453991943728354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367.99999999999972</v>
      </c>
      <c r="FF138" s="17">
        <f>FE138*VLOOKUP('Données projet'!$B$16,Paramètres!$A$1:$I$89,3,0)*VLOOKUP('Données projet'!$B$16,Paramètres!$A$1:$I$89,5,0)</f>
        <v>396.11519999999967</v>
      </c>
      <c r="FG138" s="13">
        <f t="shared" si="155"/>
        <v>90.988634849704994</v>
      </c>
      <c r="FH138" s="20">
        <f t="shared" si="130"/>
        <v>848.37251236323561</v>
      </c>
      <c r="FI138" s="59">
        <f t="shared" si="131"/>
        <v>1141.705845696569</v>
      </c>
      <c r="FJ138" s="59">
        <f ca="1">AVERAGE(OFFSET($FI$3,0,0,'Données projet'!$E$16+1,1))-AVERAGE(OFFSET($H$3,0,0,'Données projet'!$E$16+1,1))</f>
        <v>534.54020133239135</v>
      </c>
      <c r="FK138" s="59">
        <f t="shared" si="156"/>
        <v>515.48696069008815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22.763313614794484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22.763313614794484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248.99999999999994</v>
      </c>
      <c r="GA138" s="17">
        <f>FZ138*VLOOKUP('Données projet'!$B$17,Paramètres!$A$1:$I$89,3,0)*VLOOKUP('Données projet'!$B$17,Paramètres!$A$1:$I$89,5,0)</f>
        <v>236.94839999999994</v>
      </c>
      <c r="GB138" s="13">
        <f t="shared" si="157"/>
        <v>57.782475694292401</v>
      </c>
      <c r="GC138" s="20">
        <f t="shared" si="133"/>
        <v>513.32294183422573</v>
      </c>
      <c r="GD138" s="59">
        <f t="shared" si="134"/>
        <v>806.65627516755899</v>
      </c>
      <c r="GE138" s="59">
        <f ca="1">AVERAGE(OFFSET($GD$3,0,0,'Données projet'!$E$17+1,1))-AVERAGE(OFFSET($H$3,0,0,'Données projet'!$E$17+1,1))</f>
        <v>455.71329051283936</v>
      </c>
      <c r="GF138" s="59">
        <f t="shared" si="158"/>
        <v>479.3743231122258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52.869483422815556</v>
      </c>
      <c r="GM138" s="21">
        <f>EXP(-LN(2)/25)*GM137+(1-EXP(-LN(2)/25))/(LN(2)/25)*Calculateur!GH138*Calculateur!GJ138*VLOOKUP('Données projet'!$B$17,Paramètres!$A$1:$I$89,3,0)*0.475*44/12</f>
        <v>0</v>
      </c>
      <c r="GN138" s="21">
        <f>EXP(-LN(2)/2)*GN137+(1-EXP(-LN(2)/2))/(LN(2)/2)*GH138*GK138*VLOOKUP('Données projet'!$B$17,Paramètres!$A$1:$I$89,3,0)*0.475*44/12</f>
        <v>0</v>
      </c>
      <c r="GO138" s="21">
        <f t="shared" si="135"/>
        <v>52.869483422815556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367.99999999999972</v>
      </c>
      <c r="GV138" s="17">
        <f>GU138*VLOOKUP('Données projet'!$B$18,Paramètres!$A$1:$I$89,3,0)*VLOOKUP('Données projet'!$B$18,Paramètres!$A$1:$I$89,5,0)</f>
        <v>298.52159999999981</v>
      </c>
      <c r="GW138" s="13">
        <f t="shared" si="159"/>
        <v>70.866444995542437</v>
      </c>
      <c r="GX138" s="20">
        <f t="shared" si="136"/>
        <v>643.35084503390271</v>
      </c>
      <c r="GY138" s="59">
        <f t="shared" si="137"/>
        <v>936.68417836723597</v>
      </c>
      <c r="GZ138" s="59">
        <f ca="1">AVERAGE(OFFSET($GY$3,0,0,'Données projet'!$E$18+1,1))-AVERAGE(OFFSET($H$3,0,0,'Données projet'!$E$18+1,1))</f>
        <v>412.59676769258488</v>
      </c>
      <c r="HA138" s="59">
        <f t="shared" si="160"/>
        <v>399.90063795152133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17.154960985062502</v>
      </c>
      <c r="HH138" s="21">
        <f>EXP(-LN(2)/25)*HH137+(1-EXP(-LN(2)/25))/(LN(2)/25)*Calculateur!HC138*Calculateur!HE138*VLOOKUP('Données projet'!$B$18,Paramètres!$A$1:$I$89,3,0)*0.475*44/12</f>
        <v>0</v>
      </c>
      <c r="HI138" s="21">
        <f>EXP(-LN(2)/2)*HI137+(1-EXP(-LN(2)/2))/(LN(2)/2)*HC138*HF138*VLOOKUP('Données projet'!$B$18,Paramètres!$A$1:$I$89,3,0)*0.475*44/12</f>
        <v>0</v>
      </c>
      <c r="HJ138" s="22">
        <f t="shared" si="138"/>
        <v>17.154960985062502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306.99999999999994</v>
      </c>
      <c r="O139" s="13">
        <f>N139*VLOOKUP('Données projet'!$B$9,Paramètres!$A$1:$I$89,3,0)*VLOOKUP('Données projet'!$B$9,Paramètres!$A$1:$I$89,5,0)</f>
        <v>277.77359999999993</v>
      </c>
      <c r="P139" s="13">
        <f t="shared" si="141"/>
        <v>66.496288176842356</v>
      </c>
      <c r="Q139" s="20">
        <f t="shared" si="108"/>
        <v>599.60338857466706</v>
      </c>
      <c r="R139" s="59">
        <f t="shared" si="109"/>
        <v>892.93672190800044</v>
      </c>
      <c r="S139" s="59">
        <f ca="1">AVERAGE(OFFSET($R$3,0,0,'Données projet'!$E$9+1,1))-AVERAGE(OFFSET($H$3,0,0,'Données projet'!$E$9+1,1))</f>
        <v>439.19854273764042</v>
      </c>
      <c r="T139" s="59">
        <f t="shared" si="142"/>
        <v>278.21741231699929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66.039595295377751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66.039595295377751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306.99999999999994</v>
      </c>
      <c r="AJ139" s="13">
        <f>AI139*VLOOKUP('Données projet'!$B$10,Paramètres!$A$1:$I$89,3,0)*VLOOKUP('Données projet'!$B$10,Paramètres!$A$1:$I$89,5,0)</f>
        <v>311.298</v>
      </c>
      <c r="AK139" s="13">
        <f t="shared" si="143"/>
        <v>73.539838278528748</v>
      </c>
      <c r="AL139" s="20">
        <f t="shared" si="112"/>
        <v>670.25923500177089</v>
      </c>
      <c r="AM139" s="59">
        <f t="shared" si="113"/>
        <v>963.59256833510426</v>
      </c>
      <c r="AN139" s="59">
        <f ca="1">AVERAGE(OFFSET($AM$3,0,0,'Données projet'!$E$10+1,1))-AVERAGE(OFFSET($H$3,0,0,'Données projet'!$E$10+1,1))</f>
        <v>487.18832528146936</v>
      </c>
      <c r="AO139" s="59">
        <f t="shared" si="144"/>
        <v>306.61893266146666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74.009891279302678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74.009891279302678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369.00000000000023</v>
      </c>
      <c r="BE139" s="13">
        <f>BD139*VLOOKUP('Données projet'!$B$11,Paramètres!$A$1:$I$89,3,0)*VLOOKUP('Données projet'!$B$11,Paramètres!$A$1:$I$89,5,0)</f>
        <v>333.87120000000021</v>
      </c>
      <c r="BF139" s="13">
        <f t="shared" si="145"/>
        <v>78.23236011137638</v>
      </c>
      <c r="BG139" s="20">
        <f t="shared" si="115"/>
        <v>717.74703386064755</v>
      </c>
      <c r="BH139" s="59">
        <f t="shared" si="116"/>
        <v>1011.0803671939809</v>
      </c>
      <c r="BI139" s="59">
        <f ca="1">AVERAGE(OFFSET($BH$3,0,0,'Données projet'!$E$11+1,1))-AVERAGE(OFFSET($H$3,0,0,'Données projet'!$E$11+1,1))</f>
        <v>436.23918637269577</v>
      </c>
      <c r="BJ139" s="59">
        <f t="shared" si="146"/>
        <v>611.43967996341894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1.295486848445998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1.295486848445998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224.00000000000006</v>
      </c>
      <c r="BZ139" s="13">
        <f>BY139*VLOOKUP('Données projet'!$B$12,Paramètres!$A$1:$I$89,3,0)*VLOOKUP('Données projet'!$B$12,Paramètres!$A$1:$I$89,5,0)</f>
        <v>195.68640000000008</v>
      </c>
      <c r="CA139" s="13">
        <f t="shared" si="147"/>
        <v>48.794969360985156</v>
      </c>
      <c r="CB139" s="20">
        <f t="shared" si="118"/>
        <v>425.8050516370493</v>
      </c>
      <c r="CC139" s="59">
        <f t="shared" si="119"/>
        <v>719.13838497038262</v>
      </c>
      <c r="CD139" s="59">
        <f ca="1">AVERAGE(OFFSET($CC$3,0,0,'Données projet'!$E$12+1,1))-AVERAGE(OFFSET($H$3,0,0,'Données projet'!$E$12+1,1))</f>
        <v>304.32767345253382</v>
      </c>
      <c r="CE139" s="59">
        <f t="shared" si="148"/>
        <v>427.16091343339173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13.98994602548394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13.98994602548394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739.99999999999966</v>
      </c>
      <c r="CU139" s="17">
        <f>CT139*VLOOKUP('Données projet'!$B$13,Paramètres!$A$1:$I$89,3,0)*VLOOKUP('Données projet'!$B$13,Paramètres!$A$1:$I$89,5,0)</f>
        <v>413.65999999999985</v>
      </c>
      <c r="CV139" s="13">
        <f t="shared" si="149"/>
        <v>94.540585122244352</v>
      </c>
      <c r="CW139" s="20">
        <f t="shared" si="121"/>
        <v>885.11601908790863</v>
      </c>
      <c r="CX139" s="59">
        <f t="shared" si="122"/>
        <v>1178.4493524212419</v>
      </c>
      <c r="CY139" s="59">
        <f ca="1">AVERAGE(OFFSET($CX$3,0,0,'Données projet'!$E$13+1,1))-AVERAGE(OFFSET($H$3,0,0,'Données projet'!$E$13+1,1))</f>
        <v>555.15881087162279</v>
      </c>
      <c r="CZ139" s="59">
        <f t="shared" si="150"/>
        <v>668.20427590250733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27.414987920133772</v>
      </c>
      <c r="DG139" s="21">
        <f>EXP(-LN(2)/25)*DG138+(1-EXP(-LN(2)/25))/(LN(2)/25)*Calculateur!DB139*Calculateur!DD139*VLOOKUP('Données projet'!$B$13,Paramètres!$A$1:$I$89,3,0)*0.475*44/12</f>
        <v>3.0578965404815253</v>
      </c>
      <c r="DH139" s="21">
        <f>EXP(-LN(2)/2)*DH138+(1-EXP(-LN(2)/2))/(LN(2)/2)*DB139*DE139*VLOOKUP('Données projet'!$B$13,Paramètres!$A$1:$I$89,3,0)*0.475*44/12</f>
        <v>9.4422621581420913E-17</v>
      </c>
      <c r="DI139" s="22">
        <f t="shared" si="123"/>
        <v>30.472884460615298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911.99999999999898</v>
      </c>
      <c r="DP139" s="17">
        <f>DO139*VLOOKUP('Données projet'!$B$14,Paramètres!$A$1:$I$89,3,0)*VLOOKUP('Données projet'!$B$14,Paramètres!$A$1:$I$89,5,0)</f>
        <v>426.81599999999946</v>
      </c>
      <c r="DQ139" s="13">
        <f t="shared" si="151"/>
        <v>97.192496986872399</v>
      </c>
      <c r="DR139" s="20">
        <f t="shared" si="124"/>
        <v>912.64813225213504</v>
      </c>
      <c r="DS139" s="59">
        <f t="shared" si="125"/>
        <v>1205.9814655854684</v>
      </c>
      <c r="DT139" s="59">
        <f ca="1">AVERAGE(OFFSET($DS$3,0,0,'Données projet'!$E$14+1,1))-AVERAGE(OFFSET($H$3,0,0,'Données projet'!$E$14+1,1))</f>
        <v>523.79180230463714</v>
      </c>
      <c r="DU139" s="59">
        <f t="shared" si="152"/>
        <v>459.3547783500515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49.028164103032054</v>
      </c>
      <c r="EB139" s="21">
        <f>EXP(-LN(2)/25)*EB138+(1-EXP(-LN(2)/25))/(LN(2)/25)*Calculateur!DW139*Calculateur!DY139*VLOOKUP('Données projet'!$B$14,Paramètres!$A$1:$I$89,3,0)*0.475*44/12</f>
        <v>2.8281673063836608</v>
      </c>
      <c r="EC139" s="21">
        <f>EXP(-LN(2)/2)*EC138+(1-EXP(-LN(2)/2))/(LN(2)/2)*DW139*DZ139*VLOOKUP('Données projet'!$B$14,Paramètres!$A$1:$I$89,3,0)*0.475*44/12</f>
        <v>1.3236529753328434E-16</v>
      </c>
      <c r="ED139" s="22">
        <f t="shared" si="126"/>
        <v>51.856331409415716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367.99999999999972</v>
      </c>
      <c r="EK139" s="17">
        <f>EJ139*VLOOKUP('Données projet'!$B$15,Paramètres!$A$1:$I$89,3,0)*VLOOKUP('Données projet'!$B$15,Paramètres!$A$1:$I$89,5,0)</f>
        <v>355.92959999999977</v>
      </c>
      <c r="EL139" s="13">
        <f t="shared" si="153"/>
        <v>82.782281100458206</v>
      </c>
      <c r="EM139" s="20">
        <f t="shared" si="127"/>
        <v>764.08985958329765</v>
      </c>
      <c r="EN139" s="59">
        <f t="shared" si="128"/>
        <v>1057.423192916631</v>
      </c>
      <c r="EO139" s="59">
        <f ca="1">AVERAGE(OFFSET($EN$3,0,0,'Données projet'!$E$15+1,1))-AVERAGE(OFFSET($H$3,0,0,'Données projet'!$E$15+1,1))</f>
        <v>484.41278617935654</v>
      </c>
      <c r="EP139" s="59">
        <f t="shared" si="154"/>
        <v>467.97490540700738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20.052901637415054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20.052901637415054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367.99999999999972</v>
      </c>
      <c r="FF139" s="17">
        <f>FE139*VLOOKUP('Données projet'!$B$16,Paramètres!$A$1:$I$89,3,0)*VLOOKUP('Données projet'!$B$16,Paramètres!$A$1:$I$89,5,0)</f>
        <v>396.11519999999967</v>
      </c>
      <c r="FG139" s="13">
        <f t="shared" si="155"/>
        <v>90.988634849704994</v>
      </c>
      <c r="FH139" s="20">
        <f t="shared" si="130"/>
        <v>848.37251236323561</v>
      </c>
      <c r="FI139" s="59">
        <f t="shared" si="131"/>
        <v>1141.705845696569</v>
      </c>
      <c r="FJ139" s="59">
        <f ca="1">AVERAGE(OFFSET($FI$3,0,0,'Données projet'!$E$16+1,1))-AVERAGE(OFFSET($H$3,0,0,'Données projet'!$E$16+1,1))</f>
        <v>534.54020133239135</v>
      </c>
      <c r="FK139" s="59">
        <f t="shared" si="156"/>
        <v>515.48696069008815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22.316938919058714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22.316938919058714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248.99999999999994</v>
      </c>
      <c r="GA139" s="17">
        <f>FZ139*VLOOKUP('Données projet'!$B$17,Paramètres!$A$1:$I$89,3,0)*VLOOKUP('Données projet'!$B$17,Paramètres!$A$1:$I$89,5,0)</f>
        <v>236.94839999999994</v>
      </c>
      <c r="GB139" s="13">
        <f t="shared" si="157"/>
        <v>57.782475694292401</v>
      </c>
      <c r="GC139" s="20">
        <f t="shared" si="133"/>
        <v>513.32294183422573</v>
      </c>
      <c r="GD139" s="59">
        <f t="shared" si="134"/>
        <v>806.65627516755899</v>
      </c>
      <c r="GE139" s="59">
        <f ca="1">AVERAGE(OFFSET($GD$3,0,0,'Données projet'!$E$17+1,1))-AVERAGE(OFFSET($H$3,0,0,'Données projet'!$E$17+1,1))</f>
        <v>455.71329051283936</v>
      </c>
      <c r="GF139" s="59">
        <f t="shared" si="158"/>
        <v>479.3743231122258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51.832745100094883</v>
      </c>
      <c r="GM139" s="21">
        <f>EXP(-LN(2)/25)*GM138+(1-EXP(-LN(2)/25))/(LN(2)/25)*Calculateur!GH139*Calculateur!GJ139*VLOOKUP('Données projet'!$B$17,Paramètres!$A$1:$I$89,3,0)*0.475*44/12</f>
        <v>0</v>
      </c>
      <c r="GN139" s="21">
        <f>EXP(-LN(2)/2)*GN138+(1-EXP(-LN(2)/2))/(LN(2)/2)*GH139*GK139*VLOOKUP('Données projet'!$B$17,Paramètres!$A$1:$I$89,3,0)*0.475*44/12</f>
        <v>0</v>
      </c>
      <c r="GO139" s="21">
        <f t="shared" si="135"/>
        <v>51.832745100094883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367.99999999999972</v>
      </c>
      <c r="GV139" s="17">
        <f>GU139*VLOOKUP('Données projet'!$B$18,Paramètres!$A$1:$I$89,3,0)*VLOOKUP('Données projet'!$B$18,Paramètres!$A$1:$I$89,5,0)</f>
        <v>298.52159999999981</v>
      </c>
      <c r="GW139" s="13">
        <f t="shared" si="159"/>
        <v>70.866444995542437</v>
      </c>
      <c r="GX139" s="20">
        <f t="shared" si="136"/>
        <v>643.35084503390271</v>
      </c>
      <c r="GY139" s="59">
        <f t="shared" si="137"/>
        <v>936.68417836723597</v>
      </c>
      <c r="GZ139" s="59">
        <f ca="1">AVERAGE(OFFSET($GY$3,0,0,'Données projet'!$E$18+1,1))-AVERAGE(OFFSET($H$3,0,0,'Données projet'!$E$18+1,1))</f>
        <v>412.59676769258488</v>
      </c>
      <c r="HA139" s="59">
        <f t="shared" si="160"/>
        <v>399.90063795152133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16.818562663638442</v>
      </c>
      <c r="HH139" s="21">
        <f>EXP(-LN(2)/25)*HH138+(1-EXP(-LN(2)/25))/(LN(2)/25)*Calculateur!HC139*Calculateur!HE139*VLOOKUP('Données projet'!$B$18,Paramètres!$A$1:$I$89,3,0)*0.475*44/12</f>
        <v>0</v>
      </c>
      <c r="HI139" s="21">
        <f>EXP(-LN(2)/2)*HI138+(1-EXP(-LN(2)/2))/(LN(2)/2)*HC139*HF139*VLOOKUP('Données projet'!$B$18,Paramètres!$A$1:$I$89,3,0)*0.475*44/12</f>
        <v>0</v>
      </c>
      <c r="HJ139" s="22">
        <f t="shared" si="138"/>
        <v>16.818562663638442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306.99999999999994</v>
      </c>
      <c r="O140" s="13">
        <f>N140*VLOOKUP('Données projet'!$B$9,Paramètres!$A$1:$I$89,3,0)*VLOOKUP('Données projet'!$B$9,Paramètres!$A$1:$I$89,5,0)</f>
        <v>277.77359999999993</v>
      </c>
      <c r="P140" s="13">
        <f t="shared" si="141"/>
        <v>66.496288176842356</v>
      </c>
      <c r="Q140" s="20">
        <f t="shared" si="108"/>
        <v>599.60338857466706</v>
      </c>
      <c r="R140" s="59">
        <f t="shared" si="109"/>
        <v>892.93672190800044</v>
      </c>
      <c r="S140" s="59">
        <f ca="1">AVERAGE(OFFSET($R$3,0,0,'Données projet'!$E$9+1,1))-AVERAGE(OFFSET($H$3,0,0,'Données projet'!$E$9+1,1))</f>
        <v>439.19854273764042</v>
      </c>
      <c r="T140" s="59">
        <f t="shared" si="142"/>
        <v>278.21741231699929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64.744599111811183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64.744599111811183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306.99999999999994</v>
      </c>
      <c r="AJ140" s="13">
        <f>AI140*VLOOKUP('Données projet'!$B$10,Paramètres!$A$1:$I$89,3,0)*VLOOKUP('Données projet'!$B$10,Paramètres!$A$1:$I$89,5,0)</f>
        <v>311.298</v>
      </c>
      <c r="AK140" s="13">
        <f t="shared" si="143"/>
        <v>73.539838278528748</v>
      </c>
      <c r="AL140" s="20">
        <f t="shared" si="112"/>
        <v>670.25923500177089</v>
      </c>
      <c r="AM140" s="59">
        <f t="shared" si="113"/>
        <v>963.59256833510426</v>
      </c>
      <c r="AN140" s="59">
        <f ca="1">AVERAGE(OFFSET($AM$3,0,0,'Données projet'!$E$10+1,1))-AVERAGE(OFFSET($H$3,0,0,'Données projet'!$E$10+1,1))</f>
        <v>487.18832528146936</v>
      </c>
      <c r="AO140" s="59">
        <f t="shared" si="144"/>
        <v>306.61893266146666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72.558602452891876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72.558602452891876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369.00000000000023</v>
      </c>
      <c r="BE140" s="13">
        <f>BD140*VLOOKUP('Données projet'!$B$11,Paramètres!$A$1:$I$89,3,0)*VLOOKUP('Données projet'!$B$11,Paramètres!$A$1:$I$89,5,0)</f>
        <v>333.87120000000021</v>
      </c>
      <c r="BF140" s="13">
        <f t="shared" si="145"/>
        <v>78.23236011137638</v>
      </c>
      <c r="BG140" s="20">
        <f t="shared" si="115"/>
        <v>717.74703386064755</v>
      </c>
      <c r="BH140" s="59">
        <f t="shared" si="116"/>
        <v>1011.0803671939809</v>
      </c>
      <c r="BI140" s="59">
        <f ca="1">AVERAGE(OFFSET($BH$3,0,0,'Données projet'!$E$11+1,1))-AVERAGE(OFFSET($H$3,0,0,'Données projet'!$E$11+1,1))</f>
        <v>436.23918637269577</v>
      </c>
      <c r="BJ140" s="59">
        <f t="shared" si="146"/>
        <v>611.43967996341894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1.2700831415169269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1.2700831415169269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224.00000000000006</v>
      </c>
      <c r="BZ140" s="13">
        <f>BY140*VLOOKUP('Données projet'!$B$12,Paramètres!$A$1:$I$89,3,0)*VLOOKUP('Données projet'!$B$12,Paramètres!$A$1:$I$89,5,0)</f>
        <v>195.68640000000008</v>
      </c>
      <c r="CA140" s="13">
        <f t="shared" si="147"/>
        <v>48.794969360985156</v>
      </c>
      <c r="CB140" s="20">
        <f t="shared" si="118"/>
        <v>425.8050516370493</v>
      </c>
      <c r="CC140" s="59">
        <f t="shared" si="119"/>
        <v>719.13838497038262</v>
      </c>
      <c r="CD140" s="59">
        <f ca="1">AVERAGE(OFFSET($CC$3,0,0,'Données projet'!$E$12+1,1))-AVERAGE(OFFSET($H$3,0,0,'Données projet'!$E$12+1,1))</f>
        <v>304.32767345253382</v>
      </c>
      <c r="CE140" s="59">
        <f t="shared" si="148"/>
        <v>427.16091343339173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13.715611716948709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13.715611716948709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739.99999999999966</v>
      </c>
      <c r="CU140" s="17">
        <f>CT140*VLOOKUP('Données projet'!$B$13,Paramètres!$A$1:$I$89,3,0)*VLOOKUP('Données projet'!$B$13,Paramètres!$A$1:$I$89,5,0)</f>
        <v>413.65999999999985</v>
      </c>
      <c r="CV140" s="13">
        <f t="shared" si="149"/>
        <v>94.540585122244352</v>
      </c>
      <c r="CW140" s="20">
        <f t="shared" si="121"/>
        <v>885.11601908790863</v>
      </c>
      <c r="CX140" s="59">
        <f t="shared" si="122"/>
        <v>1178.4493524212419</v>
      </c>
      <c r="CY140" s="59">
        <f ca="1">AVERAGE(OFFSET($CX$3,0,0,'Données projet'!$E$13+1,1))-AVERAGE(OFFSET($H$3,0,0,'Données projet'!$E$13+1,1))</f>
        <v>555.15881087162279</v>
      </c>
      <c r="CZ140" s="59">
        <f t="shared" si="150"/>
        <v>668.20427590250733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26.877396728511471</v>
      </c>
      <c r="DG140" s="21">
        <f>EXP(-LN(2)/25)*DG139+(1-EXP(-LN(2)/25))/(LN(2)/25)*Calculateur!DB140*Calculateur!DD140*VLOOKUP('Données projet'!$B$13,Paramètres!$A$1:$I$89,3,0)*0.475*44/12</f>
        <v>2.9742781987742677</v>
      </c>
      <c r="DH140" s="21">
        <f>EXP(-LN(2)/2)*DH139+(1-EXP(-LN(2)/2))/(LN(2)/2)*DB140*DE140*VLOOKUP('Données projet'!$B$13,Paramètres!$A$1:$I$89,3,0)*0.475*44/12</f>
        <v>6.6766876017633976E-17</v>
      </c>
      <c r="DI140" s="22">
        <f t="shared" si="123"/>
        <v>29.851674927285739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911.99999999999898</v>
      </c>
      <c r="DP140" s="17">
        <f>DO140*VLOOKUP('Données projet'!$B$14,Paramètres!$A$1:$I$89,3,0)*VLOOKUP('Données projet'!$B$14,Paramètres!$A$1:$I$89,5,0)</f>
        <v>426.81599999999946</v>
      </c>
      <c r="DQ140" s="13">
        <f t="shared" si="151"/>
        <v>97.192496986872399</v>
      </c>
      <c r="DR140" s="20">
        <f t="shared" si="124"/>
        <v>912.64813225213504</v>
      </c>
      <c r="DS140" s="59">
        <f t="shared" si="125"/>
        <v>1205.9814655854684</v>
      </c>
      <c r="DT140" s="59">
        <f ca="1">AVERAGE(OFFSET($DS$3,0,0,'Données projet'!$E$14+1,1))-AVERAGE(OFFSET($H$3,0,0,'Données projet'!$E$14+1,1))</f>
        <v>523.79180230463714</v>
      </c>
      <c r="DU140" s="59">
        <f t="shared" si="152"/>
        <v>459.3547783500515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48.066751709198904</v>
      </c>
      <c r="EB140" s="21">
        <f>EXP(-LN(2)/25)*EB139+(1-EXP(-LN(2)/25))/(LN(2)/25)*Calculateur!DW140*Calculateur!DY140*VLOOKUP('Données projet'!$B$14,Paramètres!$A$1:$I$89,3,0)*0.475*44/12</f>
        <v>2.7508309226637446</v>
      </c>
      <c r="EC140" s="21">
        <f>EXP(-LN(2)/2)*EC139+(1-EXP(-LN(2)/2))/(LN(2)/2)*DW140*DZ140*VLOOKUP('Données projet'!$B$14,Paramètres!$A$1:$I$89,3,0)*0.475*44/12</f>
        <v>9.3596399479560348E-17</v>
      </c>
      <c r="ED140" s="22">
        <f t="shared" si="126"/>
        <v>50.817582631862649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367.99999999999972</v>
      </c>
      <c r="EK140" s="17">
        <f>EJ140*VLOOKUP('Données projet'!$B$15,Paramètres!$A$1:$I$89,3,0)*VLOOKUP('Données projet'!$B$15,Paramètres!$A$1:$I$89,5,0)</f>
        <v>355.92959999999977</v>
      </c>
      <c r="EL140" s="13">
        <f t="shared" si="153"/>
        <v>82.782281100458206</v>
      </c>
      <c r="EM140" s="20">
        <f t="shared" si="127"/>
        <v>764.08985958329765</v>
      </c>
      <c r="EN140" s="59">
        <f t="shared" si="128"/>
        <v>1057.423192916631</v>
      </c>
      <c r="EO140" s="59">
        <f ca="1">AVERAGE(OFFSET($EN$3,0,0,'Données projet'!$E$15+1,1))-AVERAGE(OFFSET($H$3,0,0,'Données projet'!$E$15+1,1))</f>
        <v>484.41278617935654</v>
      </c>
      <c r="EP140" s="59">
        <f t="shared" si="154"/>
        <v>467.97490540700738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19.659676467367628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19.659676467367628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367.99999999999972</v>
      </c>
      <c r="FF140" s="17">
        <f>FE140*VLOOKUP('Données projet'!$B$16,Paramètres!$A$1:$I$89,3,0)*VLOOKUP('Données projet'!$B$16,Paramètres!$A$1:$I$89,5,0)</f>
        <v>396.11519999999967</v>
      </c>
      <c r="FG140" s="13">
        <f t="shared" si="155"/>
        <v>90.988634849704994</v>
      </c>
      <c r="FH140" s="20">
        <f t="shared" si="130"/>
        <v>848.37251236323561</v>
      </c>
      <c r="FI140" s="59">
        <f t="shared" si="131"/>
        <v>1141.705845696569</v>
      </c>
      <c r="FJ140" s="59">
        <f ca="1">AVERAGE(OFFSET($FI$3,0,0,'Données projet'!$E$16+1,1))-AVERAGE(OFFSET($H$3,0,0,'Données projet'!$E$16+1,1))</f>
        <v>534.54020133239135</v>
      </c>
      <c r="FK140" s="59">
        <f t="shared" si="156"/>
        <v>515.48696069008815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21.879317358844641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21.879317358844641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248.99999999999994</v>
      </c>
      <c r="GA140" s="17">
        <f>FZ140*VLOOKUP('Données projet'!$B$17,Paramètres!$A$1:$I$89,3,0)*VLOOKUP('Données projet'!$B$17,Paramètres!$A$1:$I$89,5,0)</f>
        <v>236.94839999999994</v>
      </c>
      <c r="GB140" s="13">
        <f t="shared" si="157"/>
        <v>57.782475694292401</v>
      </c>
      <c r="GC140" s="20">
        <f t="shared" si="133"/>
        <v>513.32294183422573</v>
      </c>
      <c r="GD140" s="59">
        <f t="shared" si="134"/>
        <v>806.65627516755899</v>
      </c>
      <c r="GE140" s="59">
        <f ca="1">AVERAGE(OFFSET($GD$3,0,0,'Données projet'!$E$17+1,1))-AVERAGE(OFFSET($H$3,0,0,'Données projet'!$E$17+1,1))</f>
        <v>455.71329051283936</v>
      </c>
      <c r="GF140" s="59">
        <f t="shared" si="158"/>
        <v>479.3743231122258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50.816336583534827</v>
      </c>
      <c r="GM140" s="21">
        <f>EXP(-LN(2)/25)*GM139+(1-EXP(-LN(2)/25))/(LN(2)/25)*Calculateur!GH140*Calculateur!GJ140*VLOOKUP('Données projet'!$B$17,Paramètres!$A$1:$I$89,3,0)*0.475*44/12</f>
        <v>0</v>
      </c>
      <c r="GN140" s="21">
        <f>EXP(-LN(2)/2)*GN139+(1-EXP(-LN(2)/2))/(LN(2)/2)*GH140*GK140*VLOOKUP('Données projet'!$B$17,Paramètres!$A$1:$I$89,3,0)*0.475*44/12</f>
        <v>0</v>
      </c>
      <c r="GO140" s="21">
        <f t="shared" si="135"/>
        <v>50.816336583534827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367.99999999999972</v>
      </c>
      <c r="GV140" s="17">
        <f>GU140*VLOOKUP('Données projet'!$B$18,Paramètres!$A$1:$I$89,3,0)*VLOOKUP('Données projet'!$B$18,Paramètres!$A$1:$I$89,5,0)</f>
        <v>298.52159999999981</v>
      </c>
      <c r="GW140" s="13">
        <f t="shared" si="159"/>
        <v>70.866444995542437</v>
      </c>
      <c r="GX140" s="20">
        <f t="shared" si="136"/>
        <v>643.35084503390271</v>
      </c>
      <c r="GY140" s="59">
        <f t="shared" si="137"/>
        <v>936.68417836723597</v>
      </c>
      <c r="GZ140" s="59">
        <f ca="1">AVERAGE(OFFSET($GY$3,0,0,'Données projet'!$E$18+1,1))-AVERAGE(OFFSET($H$3,0,0,'Données projet'!$E$18+1,1))</f>
        <v>412.59676769258488</v>
      </c>
      <c r="HA140" s="59">
        <f t="shared" si="160"/>
        <v>399.90063795152133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16.488760908114791</v>
      </c>
      <c r="HH140" s="21">
        <f>EXP(-LN(2)/25)*HH139+(1-EXP(-LN(2)/25))/(LN(2)/25)*Calculateur!HC140*Calculateur!HE140*VLOOKUP('Données projet'!$B$18,Paramètres!$A$1:$I$89,3,0)*0.475*44/12</f>
        <v>0</v>
      </c>
      <c r="HI140" s="21">
        <f>EXP(-LN(2)/2)*HI139+(1-EXP(-LN(2)/2))/(LN(2)/2)*HC140*HF140*VLOOKUP('Données projet'!$B$18,Paramètres!$A$1:$I$89,3,0)*0.475*44/12</f>
        <v>0</v>
      </c>
      <c r="HJ140" s="22">
        <f t="shared" si="138"/>
        <v>16.488760908114791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306.99999999999994</v>
      </c>
      <c r="O141" s="13">
        <f>N141*VLOOKUP('Données projet'!$B$9,Paramètres!$A$1:$I$89,3,0)*VLOOKUP('Données projet'!$B$9,Paramètres!$A$1:$I$89,5,0)</f>
        <v>277.77359999999993</v>
      </c>
      <c r="P141" s="13">
        <f t="shared" si="141"/>
        <v>66.496288176842356</v>
      </c>
      <c r="Q141" s="20">
        <f t="shared" si="108"/>
        <v>599.60338857466706</v>
      </c>
      <c r="R141" s="59">
        <f t="shared" si="109"/>
        <v>892.93672190800044</v>
      </c>
      <c r="S141" s="59">
        <f ca="1">AVERAGE(OFFSET($R$3,0,0,'Données projet'!$E$9+1,1))-AVERAGE(OFFSET($H$3,0,0,'Données projet'!$E$9+1,1))</f>
        <v>439.19854273764042</v>
      </c>
      <c r="T141" s="59">
        <f t="shared" si="142"/>
        <v>278.21741231699929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63.474997013534683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63.474997013534683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306.99999999999994</v>
      </c>
      <c r="AJ141" s="13">
        <f>AI141*VLOOKUP('Données projet'!$B$10,Paramètres!$A$1:$I$89,3,0)*VLOOKUP('Données projet'!$B$10,Paramètres!$A$1:$I$89,5,0)</f>
        <v>311.298</v>
      </c>
      <c r="AK141" s="13">
        <f t="shared" si="143"/>
        <v>73.539838278528748</v>
      </c>
      <c r="AL141" s="20">
        <f t="shared" si="112"/>
        <v>670.25923500177089</v>
      </c>
      <c r="AM141" s="59">
        <f t="shared" si="113"/>
        <v>963.59256833510426</v>
      </c>
      <c r="AN141" s="59">
        <f ca="1">AVERAGE(OFFSET($AM$3,0,0,'Données projet'!$E$10+1,1))-AVERAGE(OFFSET($H$3,0,0,'Données projet'!$E$10+1,1))</f>
        <v>487.18832528146936</v>
      </c>
      <c r="AO141" s="59">
        <f t="shared" si="144"/>
        <v>306.61893266146666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71.135772515168213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71.135772515168213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369.00000000000023</v>
      </c>
      <c r="BE141" s="13">
        <f>BD141*VLOOKUP('Données projet'!$B$11,Paramètres!$A$1:$I$89,3,0)*VLOOKUP('Données projet'!$B$11,Paramètres!$A$1:$I$89,5,0)</f>
        <v>333.87120000000021</v>
      </c>
      <c r="BF141" s="13">
        <f t="shared" si="145"/>
        <v>78.23236011137638</v>
      </c>
      <c r="BG141" s="20">
        <f t="shared" si="115"/>
        <v>717.74703386064755</v>
      </c>
      <c r="BH141" s="59">
        <f t="shared" si="116"/>
        <v>1011.0803671939809</v>
      </c>
      <c r="BI141" s="59">
        <f ca="1">AVERAGE(OFFSET($BH$3,0,0,'Données projet'!$E$11+1,1))-AVERAGE(OFFSET($H$3,0,0,'Données projet'!$E$11+1,1))</f>
        <v>436.23918637269577</v>
      </c>
      <c r="BJ141" s="59">
        <f t="shared" si="146"/>
        <v>611.43967996341894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1.2451775857860037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1.2451775857860037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224.00000000000006</v>
      </c>
      <c r="BZ141" s="13">
        <f>BY141*VLOOKUP('Données projet'!$B$12,Paramètres!$A$1:$I$89,3,0)*VLOOKUP('Données projet'!$B$12,Paramètres!$A$1:$I$89,5,0)</f>
        <v>195.68640000000008</v>
      </c>
      <c r="CA141" s="13">
        <f t="shared" si="147"/>
        <v>48.794969360985156</v>
      </c>
      <c r="CB141" s="20">
        <f t="shared" si="118"/>
        <v>425.8050516370493</v>
      </c>
      <c r="CC141" s="59">
        <f t="shared" si="119"/>
        <v>719.13838497038262</v>
      </c>
      <c r="CD141" s="59">
        <f ca="1">AVERAGE(OFFSET($CC$3,0,0,'Données projet'!$E$12+1,1))-AVERAGE(OFFSET($H$3,0,0,'Données projet'!$E$12+1,1))</f>
        <v>304.32767345253382</v>
      </c>
      <c r="CE141" s="59">
        <f t="shared" si="148"/>
        <v>427.16091343339173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13.446656936876449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13.446656936876449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739.99999999999966</v>
      </c>
      <c r="CU141" s="17">
        <f>CT141*VLOOKUP('Données projet'!$B$13,Paramètres!$A$1:$I$89,3,0)*VLOOKUP('Données projet'!$B$13,Paramètres!$A$1:$I$89,5,0)</f>
        <v>413.65999999999985</v>
      </c>
      <c r="CV141" s="13">
        <f t="shared" si="149"/>
        <v>94.540585122244352</v>
      </c>
      <c r="CW141" s="20">
        <f t="shared" si="121"/>
        <v>885.11601908790863</v>
      </c>
      <c r="CX141" s="59">
        <f t="shared" si="122"/>
        <v>1178.4493524212419</v>
      </c>
      <c r="CY141" s="59">
        <f ca="1">AVERAGE(OFFSET($CX$3,0,0,'Données projet'!$E$13+1,1))-AVERAGE(OFFSET($H$3,0,0,'Données projet'!$E$13+1,1))</f>
        <v>555.15881087162279</v>
      </c>
      <c r="CZ141" s="59">
        <f t="shared" si="150"/>
        <v>668.20427590250733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26.350347372258632</v>
      </c>
      <c r="DG141" s="21">
        <f>EXP(-LN(2)/25)*DG140+(1-EXP(-LN(2)/25))/(LN(2)/25)*Calculateur!DB141*Calculateur!DD141*VLOOKUP('Données projet'!$B$13,Paramètres!$A$1:$I$89,3,0)*0.475*44/12</f>
        <v>2.8929464050182925</v>
      </c>
      <c r="DH141" s="21">
        <f>EXP(-LN(2)/2)*DH140+(1-EXP(-LN(2)/2))/(LN(2)/2)*DB141*DE141*VLOOKUP('Données projet'!$B$13,Paramètres!$A$1:$I$89,3,0)*0.475*44/12</f>
        <v>4.7211310790710456E-17</v>
      </c>
      <c r="DI141" s="22">
        <f t="shared" si="123"/>
        <v>29.243293777276925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911.99999999999898</v>
      </c>
      <c r="DP141" s="17">
        <f>DO141*VLOOKUP('Données projet'!$B$14,Paramètres!$A$1:$I$89,3,0)*VLOOKUP('Données projet'!$B$14,Paramètres!$A$1:$I$89,5,0)</f>
        <v>426.81599999999946</v>
      </c>
      <c r="DQ141" s="13">
        <f t="shared" si="151"/>
        <v>97.192496986872399</v>
      </c>
      <c r="DR141" s="20">
        <f t="shared" si="124"/>
        <v>912.64813225213504</v>
      </c>
      <c r="DS141" s="59">
        <f t="shared" si="125"/>
        <v>1205.9814655854684</v>
      </c>
      <c r="DT141" s="59">
        <f ca="1">AVERAGE(OFFSET($DS$3,0,0,'Données projet'!$E$14+1,1))-AVERAGE(OFFSET($H$3,0,0,'Données projet'!$E$14+1,1))</f>
        <v>523.79180230463714</v>
      </c>
      <c r="DU141" s="59">
        <f t="shared" si="152"/>
        <v>459.3547783500515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47.124192026005161</v>
      </c>
      <c r="EB141" s="21">
        <f>EXP(-LN(2)/25)*EB140+(1-EXP(-LN(2)/25))/(LN(2)/25)*Calculateur!DW141*Calculateur!DY141*VLOOKUP('Données projet'!$B$14,Paramètres!$A$1:$I$89,3,0)*0.475*44/12</f>
        <v>2.6756093064235933</v>
      </c>
      <c r="EC141" s="21">
        <f>EXP(-LN(2)/2)*EC140+(1-EXP(-LN(2)/2))/(LN(2)/2)*DW141*DZ141*VLOOKUP('Données projet'!$B$14,Paramètres!$A$1:$I$89,3,0)*0.475*44/12</f>
        <v>6.6182648766642169E-17</v>
      </c>
      <c r="ED141" s="22">
        <f t="shared" si="126"/>
        <v>49.799801332428757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367.99999999999972</v>
      </c>
      <c r="EK141" s="17">
        <f>EJ141*VLOOKUP('Données projet'!$B$15,Paramètres!$A$1:$I$89,3,0)*VLOOKUP('Données projet'!$B$15,Paramètres!$A$1:$I$89,5,0)</f>
        <v>355.92959999999977</v>
      </c>
      <c r="EL141" s="13">
        <f t="shared" si="153"/>
        <v>82.782281100458206</v>
      </c>
      <c r="EM141" s="20">
        <f t="shared" si="127"/>
        <v>764.08985958329765</v>
      </c>
      <c r="EN141" s="59">
        <f t="shared" si="128"/>
        <v>1057.423192916631</v>
      </c>
      <c r="EO141" s="59">
        <f ca="1">AVERAGE(OFFSET($EN$3,0,0,'Données projet'!$E$15+1,1))-AVERAGE(OFFSET($H$3,0,0,'Données projet'!$E$15+1,1))</f>
        <v>484.41278617935654</v>
      </c>
      <c r="EP141" s="59">
        <f t="shared" si="154"/>
        <v>467.97490540700738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19.274162203061159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19.274162203061159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367.99999999999972</v>
      </c>
      <c r="FF141" s="17">
        <f>FE141*VLOOKUP('Données projet'!$B$16,Paramètres!$A$1:$I$89,3,0)*VLOOKUP('Données projet'!$B$16,Paramètres!$A$1:$I$89,5,0)</f>
        <v>396.11519999999967</v>
      </c>
      <c r="FG141" s="13">
        <f t="shared" si="155"/>
        <v>90.988634849704994</v>
      </c>
      <c r="FH141" s="20">
        <f t="shared" si="130"/>
        <v>848.37251236323561</v>
      </c>
      <c r="FI141" s="59">
        <f t="shared" si="131"/>
        <v>1141.705845696569</v>
      </c>
      <c r="FJ141" s="59">
        <f ca="1">AVERAGE(OFFSET($FI$3,0,0,'Données projet'!$E$16+1,1))-AVERAGE(OFFSET($H$3,0,0,'Données projet'!$E$16+1,1))</f>
        <v>534.54020133239135</v>
      </c>
      <c r="FK141" s="59">
        <f t="shared" si="156"/>
        <v>515.48696069008815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21.450277290503571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21.450277290503571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248.99999999999994</v>
      </c>
      <c r="GA141" s="17">
        <f>FZ141*VLOOKUP('Données projet'!$B$17,Paramètres!$A$1:$I$89,3,0)*VLOOKUP('Données projet'!$B$17,Paramètres!$A$1:$I$89,5,0)</f>
        <v>236.94839999999994</v>
      </c>
      <c r="GB141" s="13">
        <f t="shared" si="157"/>
        <v>57.782475694292401</v>
      </c>
      <c r="GC141" s="20">
        <f t="shared" si="133"/>
        <v>513.32294183422573</v>
      </c>
      <c r="GD141" s="59">
        <f t="shared" si="134"/>
        <v>806.65627516755899</v>
      </c>
      <c r="GE141" s="59">
        <f ca="1">AVERAGE(OFFSET($GD$3,0,0,'Données projet'!$E$17+1,1))-AVERAGE(OFFSET($H$3,0,0,'Données projet'!$E$17+1,1))</f>
        <v>455.71329051283936</v>
      </c>
      <c r="GF141" s="59">
        <f t="shared" si="158"/>
        <v>479.3743231122258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49.819859218036534</v>
      </c>
      <c r="GM141" s="21">
        <f>EXP(-LN(2)/25)*GM140+(1-EXP(-LN(2)/25))/(LN(2)/25)*Calculateur!GH141*Calculateur!GJ141*VLOOKUP('Données projet'!$B$17,Paramètres!$A$1:$I$89,3,0)*0.475*44/12</f>
        <v>0</v>
      </c>
      <c r="GN141" s="21">
        <f>EXP(-LN(2)/2)*GN140+(1-EXP(-LN(2)/2))/(LN(2)/2)*GH141*GK141*VLOOKUP('Données projet'!$B$17,Paramètres!$A$1:$I$89,3,0)*0.475*44/12</f>
        <v>0</v>
      </c>
      <c r="GO141" s="21">
        <f t="shared" si="135"/>
        <v>49.819859218036534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367.99999999999972</v>
      </c>
      <c r="GV141" s="17">
        <f>GU141*VLOOKUP('Données projet'!$B$18,Paramètres!$A$1:$I$89,3,0)*VLOOKUP('Données projet'!$B$18,Paramètres!$A$1:$I$89,5,0)</f>
        <v>298.52159999999981</v>
      </c>
      <c r="GW141" s="13">
        <f t="shared" si="159"/>
        <v>70.866444995542437</v>
      </c>
      <c r="GX141" s="20">
        <f t="shared" si="136"/>
        <v>643.35084503390271</v>
      </c>
      <c r="GY141" s="59">
        <f t="shared" si="137"/>
        <v>936.68417836723597</v>
      </c>
      <c r="GZ141" s="59">
        <f ca="1">AVERAGE(OFFSET($GY$3,0,0,'Données projet'!$E$18+1,1))-AVERAGE(OFFSET($H$3,0,0,'Données projet'!$E$18+1,1))</f>
        <v>412.59676769258488</v>
      </c>
      <c r="HA141" s="59">
        <f t="shared" si="160"/>
        <v>399.90063795152133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16.165426363857755</v>
      </c>
      <c r="HH141" s="21">
        <f>EXP(-LN(2)/25)*HH140+(1-EXP(-LN(2)/25))/(LN(2)/25)*Calculateur!HC141*Calculateur!HE141*VLOOKUP('Données projet'!$B$18,Paramètres!$A$1:$I$89,3,0)*0.475*44/12</f>
        <v>0</v>
      </c>
      <c r="HI141" s="21">
        <f>EXP(-LN(2)/2)*HI140+(1-EXP(-LN(2)/2))/(LN(2)/2)*HC141*HF141*VLOOKUP('Données projet'!$B$18,Paramètres!$A$1:$I$89,3,0)*0.475*44/12</f>
        <v>0</v>
      </c>
      <c r="HJ141" s="22">
        <f t="shared" si="138"/>
        <v>16.165426363857755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306.99999999999994</v>
      </c>
      <c r="O142" s="13">
        <f>N142*VLOOKUP('Données projet'!$B$9,Paramètres!$A$1:$I$89,3,0)*VLOOKUP('Données projet'!$B$9,Paramètres!$A$1:$I$89,5,0)</f>
        <v>277.77359999999993</v>
      </c>
      <c r="P142" s="13">
        <f t="shared" si="141"/>
        <v>66.496288176842356</v>
      </c>
      <c r="Q142" s="20">
        <f t="shared" si="108"/>
        <v>599.60338857466706</v>
      </c>
      <c r="R142" s="59">
        <f t="shared" si="109"/>
        <v>892.93672190800044</v>
      </c>
      <c r="S142" s="59">
        <f ca="1">AVERAGE(OFFSET($R$3,0,0,'Données projet'!$E$9+1,1))-AVERAGE(OFFSET($H$3,0,0,'Données projet'!$E$9+1,1))</f>
        <v>439.19854273764042</v>
      </c>
      <c r="T142" s="59">
        <f t="shared" si="142"/>
        <v>278.21741231699929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62.230291038024568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62.230291038024568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306.99999999999994</v>
      </c>
      <c r="AJ142" s="13">
        <f>AI142*VLOOKUP('Données projet'!$B$10,Paramètres!$A$1:$I$89,3,0)*VLOOKUP('Données projet'!$B$10,Paramètres!$A$1:$I$89,5,0)</f>
        <v>311.298</v>
      </c>
      <c r="AK142" s="13">
        <f t="shared" si="143"/>
        <v>73.539838278528748</v>
      </c>
      <c r="AL142" s="20">
        <f t="shared" si="112"/>
        <v>670.25923500177089</v>
      </c>
      <c r="AM142" s="59">
        <f t="shared" si="113"/>
        <v>963.59256833510426</v>
      </c>
      <c r="AN142" s="59">
        <f ca="1">AVERAGE(OFFSET($AM$3,0,0,'Données projet'!$E$10+1,1))-AVERAGE(OFFSET($H$3,0,0,'Données projet'!$E$10+1,1))</f>
        <v>487.18832528146936</v>
      </c>
      <c r="AO142" s="59">
        <f t="shared" si="144"/>
        <v>306.61893266146666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69.740843404682735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69.740843404682735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369.00000000000023</v>
      </c>
      <c r="BE142" s="13">
        <f>BD142*VLOOKUP('Données projet'!$B$11,Paramètres!$A$1:$I$89,3,0)*VLOOKUP('Données projet'!$B$11,Paramètres!$A$1:$I$89,5,0)</f>
        <v>333.87120000000021</v>
      </c>
      <c r="BF142" s="13">
        <f t="shared" si="145"/>
        <v>78.23236011137638</v>
      </c>
      <c r="BG142" s="20">
        <f t="shared" si="115"/>
        <v>717.74703386064755</v>
      </c>
      <c r="BH142" s="59">
        <f t="shared" si="116"/>
        <v>1011.0803671939809</v>
      </c>
      <c r="BI142" s="59">
        <f ca="1">AVERAGE(OFFSET($BH$3,0,0,'Données projet'!$E$11+1,1))-AVERAGE(OFFSET($H$3,0,0,'Données projet'!$E$11+1,1))</f>
        <v>436.23918637269577</v>
      </c>
      <c r="BJ142" s="59">
        <f t="shared" si="146"/>
        <v>611.43967996341894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1.2207604128120748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1.2207604128120748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224.00000000000006</v>
      </c>
      <c r="BZ142" s="13">
        <f>BY142*VLOOKUP('Données projet'!$B$12,Paramètres!$A$1:$I$89,3,0)*VLOOKUP('Données projet'!$B$12,Paramètres!$A$1:$I$89,5,0)</f>
        <v>195.68640000000008</v>
      </c>
      <c r="CA142" s="13">
        <f t="shared" si="147"/>
        <v>48.794969360985156</v>
      </c>
      <c r="CB142" s="20">
        <f t="shared" si="118"/>
        <v>425.8050516370493</v>
      </c>
      <c r="CC142" s="59">
        <f t="shared" si="119"/>
        <v>719.13838497038262</v>
      </c>
      <c r="CD142" s="59">
        <f ca="1">AVERAGE(OFFSET($CC$3,0,0,'Données projet'!$E$12+1,1))-AVERAGE(OFFSET($H$3,0,0,'Données projet'!$E$12+1,1))</f>
        <v>304.32767345253382</v>
      </c>
      <c r="CE142" s="59">
        <f t="shared" si="148"/>
        <v>427.16091343339173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13.182976195995188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13.182976195995188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739.99999999999966</v>
      </c>
      <c r="CU142" s="17">
        <f>CT142*VLOOKUP('Données projet'!$B$13,Paramètres!$A$1:$I$89,3,0)*VLOOKUP('Données projet'!$B$13,Paramètres!$A$1:$I$89,5,0)</f>
        <v>413.65999999999985</v>
      </c>
      <c r="CV142" s="13">
        <f t="shared" si="149"/>
        <v>94.540585122244352</v>
      </c>
      <c r="CW142" s="20">
        <f t="shared" si="121"/>
        <v>885.11601908790863</v>
      </c>
      <c r="CX142" s="59">
        <f t="shared" si="122"/>
        <v>1178.4493524212419</v>
      </c>
      <c r="CY142" s="59">
        <f ca="1">AVERAGE(OFFSET($CX$3,0,0,'Données projet'!$E$13+1,1))-AVERAGE(OFFSET($H$3,0,0,'Données projet'!$E$13+1,1))</f>
        <v>555.15881087162279</v>
      </c>
      <c r="CZ142" s="59">
        <f t="shared" si="150"/>
        <v>668.20427590250733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25.833633132413546</v>
      </c>
      <c r="DG142" s="21">
        <f>EXP(-LN(2)/25)*DG141+(1-EXP(-LN(2)/25))/(LN(2)/25)*Calculateur!DB142*Calculateur!DD142*VLOOKUP('Données projet'!$B$13,Paramètres!$A$1:$I$89,3,0)*0.475*44/12</f>
        <v>2.8138386334396279</v>
      </c>
      <c r="DH142" s="21">
        <f>EXP(-LN(2)/2)*DH141+(1-EXP(-LN(2)/2))/(LN(2)/2)*DB142*DE142*VLOOKUP('Données projet'!$B$13,Paramètres!$A$1:$I$89,3,0)*0.475*44/12</f>
        <v>3.3383438008816988E-17</v>
      </c>
      <c r="DI142" s="22">
        <f t="shared" si="123"/>
        <v>28.647471765853172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911.99999999999898</v>
      </c>
      <c r="DP142" s="17">
        <f>DO142*VLOOKUP('Données projet'!$B$14,Paramètres!$A$1:$I$89,3,0)*VLOOKUP('Données projet'!$B$14,Paramètres!$A$1:$I$89,5,0)</f>
        <v>426.81599999999946</v>
      </c>
      <c r="DQ142" s="13">
        <f t="shared" si="151"/>
        <v>97.192496986872399</v>
      </c>
      <c r="DR142" s="20">
        <f t="shared" si="124"/>
        <v>912.64813225213504</v>
      </c>
      <c r="DS142" s="59">
        <f t="shared" si="125"/>
        <v>1205.9814655854684</v>
      </c>
      <c r="DT142" s="59">
        <f ca="1">AVERAGE(OFFSET($DS$3,0,0,'Données projet'!$E$14+1,1))-AVERAGE(OFFSET($H$3,0,0,'Données projet'!$E$14+1,1))</f>
        <v>523.79180230463714</v>
      </c>
      <c r="DU142" s="59">
        <f t="shared" si="152"/>
        <v>459.3547783500515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46.200115363294209</v>
      </c>
      <c r="EB142" s="21">
        <f>EXP(-LN(2)/25)*EB141+(1-EXP(-LN(2)/25))/(LN(2)/25)*Calculateur!DW142*Calculateur!DY142*VLOOKUP('Données projet'!$B$14,Paramètres!$A$1:$I$89,3,0)*0.475*44/12</f>
        <v>2.6024446292352619</v>
      </c>
      <c r="EC142" s="21">
        <f>EXP(-LN(2)/2)*EC141+(1-EXP(-LN(2)/2))/(LN(2)/2)*DW142*DZ142*VLOOKUP('Données projet'!$B$14,Paramètres!$A$1:$I$89,3,0)*0.475*44/12</f>
        <v>4.6798199739780174E-17</v>
      </c>
      <c r="ED142" s="22">
        <f t="shared" si="126"/>
        <v>48.802559992529474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367.99999999999972</v>
      </c>
      <c r="EK142" s="17">
        <f>EJ142*VLOOKUP('Données projet'!$B$15,Paramètres!$A$1:$I$89,3,0)*VLOOKUP('Données projet'!$B$15,Paramètres!$A$1:$I$89,5,0)</f>
        <v>355.92959999999977</v>
      </c>
      <c r="EL142" s="13">
        <f t="shared" si="153"/>
        <v>82.782281100458206</v>
      </c>
      <c r="EM142" s="20">
        <f t="shared" si="127"/>
        <v>764.08985958329765</v>
      </c>
      <c r="EN142" s="59">
        <f t="shared" si="128"/>
        <v>1057.423192916631</v>
      </c>
      <c r="EO142" s="59">
        <f ca="1">AVERAGE(OFFSET($EN$3,0,0,'Données projet'!$E$15+1,1))-AVERAGE(OFFSET($H$3,0,0,'Données projet'!$E$15+1,1))</f>
        <v>484.41278617935654</v>
      </c>
      <c r="EP142" s="59">
        <f t="shared" si="154"/>
        <v>467.97490540700738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18.896207638337259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18.896207638337259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367.99999999999972</v>
      </c>
      <c r="FF142" s="17">
        <f>FE142*VLOOKUP('Données projet'!$B$16,Paramètres!$A$1:$I$89,3,0)*VLOOKUP('Données projet'!$B$16,Paramètres!$A$1:$I$89,5,0)</f>
        <v>396.11519999999967</v>
      </c>
      <c r="FG142" s="13">
        <f t="shared" si="155"/>
        <v>90.988634849704994</v>
      </c>
      <c r="FH142" s="20">
        <f t="shared" si="130"/>
        <v>848.37251236323561</v>
      </c>
      <c r="FI142" s="59">
        <f t="shared" si="131"/>
        <v>1141.705845696569</v>
      </c>
      <c r="FJ142" s="59">
        <f ca="1">AVERAGE(OFFSET($FI$3,0,0,'Données projet'!$E$16+1,1))-AVERAGE(OFFSET($H$3,0,0,'Données projet'!$E$16+1,1))</f>
        <v>534.54020133239135</v>
      </c>
      <c r="FK142" s="59">
        <f t="shared" si="156"/>
        <v>515.48696069008815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21.029650436214066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21.029650436214066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248.99999999999994</v>
      </c>
      <c r="GA142" s="17">
        <f>FZ142*VLOOKUP('Données projet'!$B$17,Paramètres!$A$1:$I$89,3,0)*VLOOKUP('Données projet'!$B$17,Paramètres!$A$1:$I$89,5,0)</f>
        <v>236.94839999999994</v>
      </c>
      <c r="GB142" s="13">
        <f t="shared" si="157"/>
        <v>57.782475694292401</v>
      </c>
      <c r="GC142" s="20">
        <f t="shared" si="133"/>
        <v>513.32294183422573</v>
      </c>
      <c r="GD142" s="59">
        <f t="shared" si="134"/>
        <v>806.65627516755899</v>
      </c>
      <c r="GE142" s="59">
        <f ca="1">AVERAGE(OFFSET($GD$3,0,0,'Données projet'!$E$17+1,1))-AVERAGE(OFFSET($H$3,0,0,'Données projet'!$E$17+1,1))</f>
        <v>455.71329051283936</v>
      </c>
      <c r="GF142" s="59">
        <f t="shared" si="158"/>
        <v>479.3743231122258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48.842922165884481</v>
      </c>
      <c r="GM142" s="21">
        <f>EXP(-LN(2)/25)*GM141+(1-EXP(-LN(2)/25))/(LN(2)/25)*Calculateur!GH142*Calculateur!GJ142*VLOOKUP('Données projet'!$B$17,Paramètres!$A$1:$I$89,3,0)*0.475*44/12</f>
        <v>0</v>
      </c>
      <c r="GN142" s="21">
        <f>EXP(-LN(2)/2)*GN141+(1-EXP(-LN(2)/2))/(LN(2)/2)*GH142*GK142*VLOOKUP('Données projet'!$B$17,Paramètres!$A$1:$I$89,3,0)*0.475*44/12</f>
        <v>0</v>
      </c>
      <c r="GO142" s="21">
        <f t="shared" si="135"/>
        <v>48.842922165884481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367.99999999999972</v>
      </c>
      <c r="GV142" s="17">
        <f>GU142*VLOOKUP('Données projet'!$B$18,Paramètres!$A$1:$I$89,3,0)*VLOOKUP('Données projet'!$B$18,Paramètres!$A$1:$I$89,5,0)</f>
        <v>298.52159999999981</v>
      </c>
      <c r="GW142" s="13">
        <f t="shared" si="159"/>
        <v>70.866444995542437</v>
      </c>
      <c r="GX142" s="20">
        <f t="shared" si="136"/>
        <v>643.35084503390271</v>
      </c>
      <c r="GY142" s="59">
        <f t="shared" si="137"/>
        <v>936.68417836723597</v>
      </c>
      <c r="GZ142" s="59">
        <f ca="1">AVERAGE(OFFSET($GY$3,0,0,'Données projet'!$E$18+1,1))-AVERAGE(OFFSET($H$3,0,0,'Données projet'!$E$18+1,1))</f>
        <v>412.59676769258488</v>
      </c>
      <c r="HA142" s="59">
        <f t="shared" si="160"/>
        <v>399.90063795152133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15.848432212798999</v>
      </c>
      <c r="HH142" s="21">
        <f>EXP(-LN(2)/25)*HH141+(1-EXP(-LN(2)/25))/(LN(2)/25)*Calculateur!HC142*Calculateur!HE142*VLOOKUP('Données projet'!$B$18,Paramètres!$A$1:$I$89,3,0)*0.475*44/12</f>
        <v>0</v>
      </c>
      <c r="HI142" s="21">
        <f>EXP(-LN(2)/2)*HI141+(1-EXP(-LN(2)/2))/(LN(2)/2)*HC142*HF142*VLOOKUP('Données projet'!$B$18,Paramètres!$A$1:$I$89,3,0)*0.475*44/12</f>
        <v>0</v>
      </c>
      <c r="HJ142" s="22">
        <f t="shared" si="138"/>
        <v>15.848432212798999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306.99999999999994</v>
      </c>
      <c r="O143" s="13">
        <f>N143*VLOOKUP('Données projet'!$B$9,Paramètres!$A$1:$I$89,3,0)*VLOOKUP('Données projet'!$B$9,Paramètres!$A$1:$I$89,5,0)</f>
        <v>277.77359999999993</v>
      </c>
      <c r="P143" s="13">
        <f t="shared" si="141"/>
        <v>66.496288176842356</v>
      </c>
      <c r="Q143" s="20">
        <f t="shared" si="108"/>
        <v>599.60338857466706</v>
      </c>
      <c r="R143" s="59">
        <f t="shared" si="109"/>
        <v>892.93672190800044</v>
      </c>
      <c r="S143" s="59">
        <f ca="1">AVERAGE(OFFSET($R$3,0,0,'Données projet'!$E$9+1,1))-AVERAGE(OFFSET($H$3,0,0,'Données projet'!$E$9+1,1))</f>
        <v>439.19854273764042</v>
      </c>
      <c r="T143" s="59">
        <f t="shared" si="142"/>
        <v>278.21741231699929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61.009992987498521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61.009992987498521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306.99999999999994</v>
      </c>
      <c r="AJ143" s="13">
        <f>AI143*VLOOKUP('Données projet'!$B$10,Paramètres!$A$1:$I$89,3,0)*VLOOKUP('Données projet'!$B$10,Paramètres!$A$1:$I$89,5,0)</f>
        <v>311.298</v>
      </c>
      <c r="AK143" s="13">
        <f t="shared" si="143"/>
        <v>73.539838278528748</v>
      </c>
      <c r="AL143" s="20">
        <f t="shared" si="112"/>
        <v>670.25923500177089</v>
      </c>
      <c r="AM143" s="59">
        <f t="shared" si="113"/>
        <v>963.59256833510426</v>
      </c>
      <c r="AN143" s="59">
        <f ca="1">AVERAGE(OFFSET($AM$3,0,0,'Données projet'!$E$10+1,1))-AVERAGE(OFFSET($H$3,0,0,'Données projet'!$E$10+1,1))</f>
        <v>487.18832528146936</v>
      </c>
      <c r="AO143" s="59">
        <f t="shared" si="144"/>
        <v>306.61893266146666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68.373268003231132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68.373268003231132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369.00000000000023</v>
      </c>
      <c r="BE143" s="13">
        <f>BD143*VLOOKUP('Données projet'!$B$11,Paramètres!$A$1:$I$89,3,0)*VLOOKUP('Données projet'!$B$11,Paramètres!$A$1:$I$89,5,0)</f>
        <v>333.87120000000021</v>
      </c>
      <c r="BF143" s="13">
        <f t="shared" si="145"/>
        <v>78.23236011137638</v>
      </c>
      <c r="BG143" s="20">
        <f t="shared" si="115"/>
        <v>717.74703386064755</v>
      </c>
      <c r="BH143" s="59">
        <f t="shared" si="116"/>
        <v>1011.0803671939809</v>
      </c>
      <c r="BI143" s="59">
        <f ca="1">AVERAGE(OFFSET($BH$3,0,0,'Données projet'!$E$11+1,1))-AVERAGE(OFFSET($H$3,0,0,'Données projet'!$E$11+1,1))</f>
        <v>436.23918637269577</v>
      </c>
      <c r="BJ143" s="59">
        <f t="shared" si="146"/>
        <v>611.43967996341894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1.1968220457071597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1.1968220457071597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224.00000000000006</v>
      </c>
      <c r="BZ143" s="13">
        <f>BY143*VLOOKUP('Données projet'!$B$12,Paramètres!$A$1:$I$89,3,0)*VLOOKUP('Données projet'!$B$12,Paramètres!$A$1:$I$89,5,0)</f>
        <v>195.68640000000008</v>
      </c>
      <c r="CA143" s="13">
        <f t="shared" si="147"/>
        <v>48.794969360985156</v>
      </c>
      <c r="CB143" s="20">
        <f t="shared" si="118"/>
        <v>425.8050516370493</v>
      </c>
      <c r="CC143" s="59">
        <f t="shared" si="119"/>
        <v>719.13838497038262</v>
      </c>
      <c r="CD143" s="59">
        <f ca="1">AVERAGE(OFFSET($CC$3,0,0,'Données projet'!$E$12+1,1))-AVERAGE(OFFSET($H$3,0,0,'Données projet'!$E$12+1,1))</f>
        <v>304.32767345253382</v>
      </c>
      <c r="CE143" s="59">
        <f t="shared" si="148"/>
        <v>427.16091343339173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12.924466073613237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12.924466073613237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739.99999999999966</v>
      </c>
      <c r="CU143" s="17">
        <f>CT143*VLOOKUP('Données projet'!$B$13,Paramètres!$A$1:$I$89,3,0)*VLOOKUP('Données projet'!$B$13,Paramètres!$A$1:$I$89,5,0)</f>
        <v>413.65999999999985</v>
      </c>
      <c r="CV143" s="13">
        <f t="shared" si="149"/>
        <v>94.540585122244352</v>
      </c>
      <c r="CW143" s="20">
        <f t="shared" si="121"/>
        <v>885.11601908790863</v>
      </c>
      <c r="CX143" s="59">
        <f t="shared" si="122"/>
        <v>1178.4493524212419</v>
      </c>
      <c r="CY143" s="59">
        <f ca="1">AVERAGE(OFFSET($CX$3,0,0,'Données projet'!$E$13+1,1))-AVERAGE(OFFSET($H$3,0,0,'Données projet'!$E$13+1,1))</f>
        <v>555.15881087162279</v>
      </c>
      <c r="CZ143" s="59">
        <f t="shared" si="150"/>
        <v>668.20427590250733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25.327051343647256</v>
      </c>
      <c r="DG143" s="21">
        <f>EXP(-LN(2)/25)*DG142+(1-EXP(-LN(2)/25))/(LN(2)/25)*Calculateur!DB143*Calculateur!DD143*VLOOKUP('Données projet'!$B$13,Paramètres!$A$1:$I$89,3,0)*0.475*44/12</f>
        <v>2.7368940680348786</v>
      </c>
      <c r="DH143" s="21">
        <f>EXP(-LN(2)/2)*DH142+(1-EXP(-LN(2)/2))/(LN(2)/2)*DB143*DE143*VLOOKUP('Données projet'!$B$13,Paramètres!$A$1:$I$89,3,0)*0.475*44/12</f>
        <v>2.3605655395355228E-17</v>
      </c>
      <c r="DI143" s="22">
        <f t="shared" si="123"/>
        <v>28.063945411682134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911.99999999999898</v>
      </c>
      <c r="DP143" s="17">
        <f>DO143*VLOOKUP('Données projet'!$B$14,Paramètres!$A$1:$I$89,3,0)*VLOOKUP('Données projet'!$B$14,Paramètres!$A$1:$I$89,5,0)</f>
        <v>426.81599999999946</v>
      </c>
      <c r="DQ143" s="13">
        <f t="shared" si="151"/>
        <v>97.192496986872399</v>
      </c>
      <c r="DR143" s="20">
        <f t="shared" si="124"/>
        <v>912.64813225213504</v>
      </c>
      <c r="DS143" s="59">
        <f t="shared" si="125"/>
        <v>1205.9814655854684</v>
      </c>
      <c r="DT143" s="59">
        <f ca="1">AVERAGE(OFFSET($DS$3,0,0,'Données projet'!$E$14+1,1))-AVERAGE(OFFSET($H$3,0,0,'Données projet'!$E$14+1,1))</f>
        <v>523.79180230463714</v>
      </c>
      <c r="DU143" s="59">
        <f t="shared" si="152"/>
        <v>459.3547783500515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45.294159280307909</v>
      </c>
      <c r="EB143" s="21">
        <f>EXP(-LN(2)/25)*EB142+(1-EXP(-LN(2)/25))/(LN(2)/25)*Calculateur!DW143*Calculateur!DY143*VLOOKUP('Données projet'!$B$14,Paramètres!$A$1:$I$89,3,0)*0.475*44/12</f>
        <v>2.5312806439922086</v>
      </c>
      <c r="EC143" s="21">
        <f>EXP(-LN(2)/2)*EC142+(1-EXP(-LN(2)/2))/(LN(2)/2)*DW143*DZ143*VLOOKUP('Données projet'!$B$14,Paramètres!$A$1:$I$89,3,0)*0.475*44/12</f>
        <v>3.3091324383321084E-17</v>
      </c>
      <c r="ED143" s="22">
        <f t="shared" si="126"/>
        <v>47.82543992430012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367.99999999999972</v>
      </c>
      <c r="EK143" s="17">
        <f>EJ143*VLOOKUP('Données projet'!$B$15,Paramètres!$A$1:$I$89,3,0)*VLOOKUP('Données projet'!$B$15,Paramètres!$A$1:$I$89,5,0)</f>
        <v>355.92959999999977</v>
      </c>
      <c r="EL143" s="13">
        <f t="shared" si="153"/>
        <v>82.782281100458206</v>
      </c>
      <c r="EM143" s="20">
        <f t="shared" si="127"/>
        <v>764.08985958329765</v>
      </c>
      <c r="EN143" s="59">
        <f t="shared" si="128"/>
        <v>1057.423192916631</v>
      </c>
      <c r="EO143" s="59">
        <f ca="1">AVERAGE(OFFSET($EN$3,0,0,'Données projet'!$E$15+1,1))-AVERAGE(OFFSET($H$3,0,0,'Données projet'!$E$15+1,1))</f>
        <v>484.41278617935654</v>
      </c>
      <c r="EP143" s="59">
        <f t="shared" si="154"/>
        <v>467.97490540700738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18.525664532098073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18.525664532098073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367.99999999999972</v>
      </c>
      <c r="FF143" s="17">
        <f>FE143*VLOOKUP('Données projet'!$B$16,Paramètres!$A$1:$I$89,3,0)*VLOOKUP('Données projet'!$B$16,Paramètres!$A$1:$I$89,5,0)</f>
        <v>396.11519999999967</v>
      </c>
      <c r="FG143" s="13">
        <f t="shared" si="155"/>
        <v>90.988634849704994</v>
      </c>
      <c r="FH143" s="20">
        <f t="shared" si="130"/>
        <v>848.37251236323561</v>
      </c>
      <c r="FI143" s="59">
        <f t="shared" si="131"/>
        <v>1141.705845696569</v>
      </c>
      <c r="FJ143" s="59">
        <f ca="1">AVERAGE(OFFSET($FI$3,0,0,'Données projet'!$E$16+1,1))-AVERAGE(OFFSET($H$3,0,0,'Données projet'!$E$16+1,1))</f>
        <v>534.54020133239135</v>
      </c>
      <c r="FK143" s="59">
        <f t="shared" si="156"/>
        <v>515.48696069008815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20.617271817980132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20.617271817980132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248.99999999999994</v>
      </c>
      <c r="GA143" s="17">
        <f>FZ143*VLOOKUP('Données projet'!$B$17,Paramètres!$A$1:$I$89,3,0)*VLOOKUP('Données projet'!$B$17,Paramètres!$A$1:$I$89,5,0)</f>
        <v>236.94839999999994</v>
      </c>
      <c r="GB143" s="13">
        <f t="shared" si="157"/>
        <v>57.782475694292401</v>
      </c>
      <c r="GC143" s="20">
        <f t="shared" si="133"/>
        <v>513.32294183422573</v>
      </c>
      <c r="GD143" s="59">
        <f t="shared" si="134"/>
        <v>806.65627516755899</v>
      </c>
      <c r="GE143" s="59">
        <f ca="1">AVERAGE(OFFSET($GD$3,0,0,'Données projet'!$E$17+1,1))-AVERAGE(OFFSET($H$3,0,0,'Données projet'!$E$17+1,1))</f>
        <v>455.71329051283936</v>
      </c>
      <c r="GF143" s="59">
        <f t="shared" si="158"/>
        <v>479.3743231122258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47.885142253452365</v>
      </c>
      <c r="GM143" s="21">
        <f>EXP(-LN(2)/25)*GM142+(1-EXP(-LN(2)/25))/(LN(2)/25)*Calculateur!GH143*Calculateur!GJ143*VLOOKUP('Données projet'!$B$17,Paramètres!$A$1:$I$89,3,0)*0.475*44/12</f>
        <v>0</v>
      </c>
      <c r="GN143" s="21">
        <f>EXP(-LN(2)/2)*GN142+(1-EXP(-LN(2)/2))/(LN(2)/2)*GH143*GK143*VLOOKUP('Données projet'!$B$17,Paramètres!$A$1:$I$89,3,0)*0.475*44/12</f>
        <v>0</v>
      </c>
      <c r="GO143" s="21">
        <f t="shared" si="135"/>
        <v>47.885142253452365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367.99999999999972</v>
      </c>
      <c r="GV143" s="17">
        <f>GU143*VLOOKUP('Données projet'!$B$18,Paramètres!$A$1:$I$89,3,0)*VLOOKUP('Données projet'!$B$18,Paramètres!$A$1:$I$89,5,0)</f>
        <v>298.52159999999981</v>
      </c>
      <c r="GW143" s="13">
        <f t="shared" si="159"/>
        <v>70.866444995542437</v>
      </c>
      <c r="GX143" s="20">
        <f t="shared" si="136"/>
        <v>643.35084503390271</v>
      </c>
      <c r="GY143" s="59">
        <f t="shared" si="137"/>
        <v>936.68417836723597</v>
      </c>
      <c r="GZ143" s="59">
        <f ca="1">AVERAGE(OFFSET($GY$3,0,0,'Données projet'!$E$18+1,1))-AVERAGE(OFFSET($H$3,0,0,'Données projet'!$E$18+1,1))</f>
        <v>412.59676769258488</v>
      </c>
      <c r="HA143" s="59">
        <f t="shared" si="160"/>
        <v>399.90063795152133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15.537654123695164</v>
      </c>
      <c r="HH143" s="21">
        <f>EXP(-LN(2)/25)*HH142+(1-EXP(-LN(2)/25))/(LN(2)/25)*Calculateur!HC143*Calculateur!HE143*VLOOKUP('Données projet'!$B$18,Paramètres!$A$1:$I$89,3,0)*0.475*44/12</f>
        <v>0</v>
      </c>
      <c r="HI143" s="21">
        <f>EXP(-LN(2)/2)*HI142+(1-EXP(-LN(2)/2))/(LN(2)/2)*HC143*HF143*VLOOKUP('Données projet'!$B$18,Paramètres!$A$1:$I$89,3,0)*0.475*44/12</f>
        <v>0</v>
      </c>
      <c r="HJ143" s="22">
        <f t="shared" si="138"/>
        <v>15.537654123695164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306.99999999999994</v>
      </c>
      <c r="O144" s="13">
        <f>N144*VLOOKUP('Données projet'!$B$9,Paramètres!$A$1:$I$89,3,0)*VLOOKUP('Données projet'!$B$9,Paramètres!$A$1:$I$89,5,0)</f>
        <v>277.77359999999993</v>
      </c>
      <c r="P144" s="13">
        <f t="shared" si="141"/>
        <v>66.496288176842356</v>
      </c>
      <c r="Q144" s="20">
        <f t="shared" si="108"/>
        <v>599.60338857466706</v>
      </c>
      <c r="R144" s="59">
        <f t="shared" si="109"/>
        <v>892.93672190800044</v>
      </c>
      <c r="S144" s="59">
        <f ca="1">AVERAGE(OFFSET($R$3,0,0,'Données projet'!$E$9+1,1))-AVERAGE(OFFSET($H$3,0,0,'Données projet'!$E$9+1,1))</f>
        <v>439.19854273764042</v>
      </c>
      <c r="T144" s="59">
        <f t="shared" si="142"/>
        <v>278.21741231699929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59.813624237434979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59.813624237434979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306.99999999999994</v>
      </c>
      <c r="AJ144" s="13">
        <f>AI144*VLOOKUP('Données projet'!$B$10,Paramètres!$A$1:$I$89,3,0)*VLOOKUP('Données projet'!$B$10,Paramètres!$A$1:$I$89,5,0)</f>
        <v>311.298</v>
      </c>
      <c r="AK144" s="13">
        <f t="shared" si="143"/>
        <v>73.539838278528748</v>
      </c>
      <c r="AL144" s="20">
        <f t="shared" si="112"/>
        <v>670.25923500177089</v>
      </c>
      <c r="AM144" s="59">
        <f t="shared" si="113"/>
        <v>963.59256833510426</v>
      </c>
      <c r="AN144" s="59">
        <f ca="1">AVERAGE(OFFSET($AM$3,0,0,'Données projet'!$E$10+1,1))-AVERAGE(OFFSET($H$3,0,0,'Données projet'!$E$10+1,1))</f>
        <v>487.18832528146936</v>
      </c>
      <c r="AO144" s="59">
        <f t="shared" si="144"/>
        <v>306.61893266146666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67.032509921263369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67.032509921263369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369.00000000000023</v>
      </c>
      <c r="BE144" s="13">
        <f>BD144*VLOOKUP('Données projet'!$B$11,Paramètres!$A$1:$I$89,3,0)*VLOOKUP('Données projet'!$B$11,Paramètres!$A$1:$I$89,5,0)</f>
        <v>333.87120000000021</v>
      </c>
      <c r="BF144" s="13">
        <f t="shared" si="145"/>
        <v>78.23236011137638</v>
      </c>
      <c r="BG144" s="20">
        <f t="shared" si="115"/>
        <v>717.74703386064755</v>
      </c>
      <c r="BH144" s="59">
        <f t="shared" si="116"/>
        <v>1011.0803671939809</v>
      </c>
      <c r="BI144" s="59">
        <f ca="1">AVERAGE(OFFSET($BH$3,0,0,'Données projet'!$E$11+1,1))-AVERAGE(OFFSET($H$3,0,0,'Données projet'!$E$11+1,1))</f>
        <v>436.23918637269577</v>
      </c>
      <c r="BJ144" s="59">
        <f t="shared" si="146"/>
        <v>611.43967996341894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1.1733530953802096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1.1733530953802096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224.00000000000006</v>
      </c>
      <c r="BZ144" s="13">
        <f>BY144*VLOOKUP('Données projet'!$B$12,Paramètres!$A$1:$I$89,3,0)*VLOOKUP('Données projet'!$B$12,Paramètres!$A$1:$I$89,5,0)</f>
        <v>195.68640000000008</v>
      </c>
      <c r="CA144" s="13">
        <f t="shared" si="147"/>
        <v>48.794969360985156</v>
      </c>
      <c r="CB144" s="20">
        <f t="shared" si="118"/>
        <v>425.8050516370493</v>
      </c>
      <c r="CC144" s="59">
        <f t="shared" si="119"/>
        <v>719.13838497038262</v>
      </c>
      <c r="CD144" s="59">
        <f ca="1">AVERAGE(OFFSET($CC$3,0,0,'Données projet'!$E$12+1,1))-AVERAGE(OFFSET($H$3,0,0,'Données projet'!$E$12+1,1))</f>
        <v>304.32767345253382</v>
      </c>
      <c r="CE144" s="59">
        <f t="shared" si="148"/>
        <v>427.16091343339173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12.67102517705559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12.67102517705559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739.99999999999966</v>
      </c>
      <c r="CU144" s="17">
        <f>CT144*VLOOKUP('Données projet'!$B$13,Paramètres!$A$1:$I$89,3,0)*VLOOKUP('Données projet'!$B$13,Paramètres!$A$1:$I$89,5,0)</f>
        <v>413.65999999999985</v>
      </c>
      <c r="CV144" s="13">
        <f t="shared" si="149"/>
        <v>94.540585122244352</v>
      </c>
      <c r="CW144" s="20">
        <f t="shared" si="121"/>
        <v>885.11601908790863</v>
      </c>
      <c r="CX144" s="59">
        <f t="shared" si="122"/>
        <v>1178.4493524212419</v>
      </c>
      <c r="CY144" s="59">
        <f ca="1">AVERAGE(OFFSET($CX$3,0,0,'Données projet'!$E$13+1,1))-AVERAGE(OFFSET($H$3,0,0,'Données projet'!$E$13+1,1))</f>
        <v>555.15881087162279</v>
      </c>
      <c r="CZ144" s="59">
        <f t="shared" si="150"/>
        <v>668.20427590250733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24.830403314774291</v>
      </c>
      <c r="DG144" s="21">
        <f>EXP(-LN(2)/25)*DG143+(1-EXP(-LN(2)/25))/(LN(2)/25)*Calculateur!DB144*Calculateur!DD144*VLOOKUP('Données projet'!$B$13,Paramètres!$A$1:$I$89,3,0)*0.475*44/12</f>
        <v>2.6620535558174612</v>
      </c>
      <c r="DH144" s="21">
        <f>EXP(-LN(2)/2)*DH143+(1-EXP(-LN(2)/2))/(LN(2)/2)*DB144*DE144*VLOOKUP('Données projet'!$B$13,Paramètres!$A$1:$I$89,3,0)*0.475*44/12</f>
        <v>1.6691719004408494E-17</v>
      </c>
      <c r="DI144" s="22">
        <f t="shared" si="123"/>
        <v>27.492456870591752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911.99999999999898</v>
      </c>
      <c r="DP144" s="17">
        <f>DO144*VLOOKUP('Données projet'!$B$14,Paramètres!$A$1:$I$89,3,0)*VLOOKUP('Données projet'!$B$14,Paramètres!$A$1:$I$89,5,0)</f>
        <v>426.81599999999946</v>
      </c>
      <c r="DQ144" s="13">
        <f t="shared" si="151"/>
        <v>97.192496986872399</v>
      </c>
      <c r="DR144" s="20">
        <f t="shared" si="124"/>
        <v>912.64813225213504</v>
      </c>
      <c r="DS144" s="59">
        <f t="shared" si="125"/>
        <v>1205.9814655854684</v>
      </c>
      <c r="DT144" s="59">
        <f ca="1">AVERAGE(OFFSET($DS$3,0,0,'Données projet'!$E$14+1,1))-AVERAGE(OFFSET($H$3,0,0,'Données projet'!$E$14+1,1))</f>
        <v>523.79180230463714</v>
      </c>
      <c r="DU144" s="59">
        <f t="shared" si="152"/>
        <v>459.3547783500515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44.40596844353032</v>
      </c>
      <c r="EB144" s="21">
        <f>EXP(-LN(2)/25)*EB143+(1-EXP(-LN(2)/25))/(LN(2)/25)*Calculateur!DW144*Calculateur!DY144*VLOOKUP('Données projet'!$B$14,Paramètres!$A$1:$I$89,3,0)*0.475*44/12</f>
        <v>2.4620626416679778</v>
      </c>
      <c r="EC144" s="21">
        <f>EXP(-LN(2)/2)*EC143+(1-EXP(-LN(2)/2))/(LN(2)/2)*DW144*DZ144*VLOOKUP('Données projet'!$B$14,Paramètres!$A$1:$I$89,3,0)*0.475*44/12</f>
        <v>2.3399099869890087E-17</v>
      </c>
      <c r="ED144" s="22">
        <f t="shared" si="126"/>
        <v>46.868031085198297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367.99999999999972</v>
      </c>
      <c r="EK144" s="17">
        <f>EJ144*VLOOKUP('Données projet'!$B$15,Paramètres!$A$1:$I$89,3,0)*VLOOKUP('Données projet'!$B$15,Paramètres!$A$1:$I$89,5,0)</f>
        <v>355.92959999999977</v>
      </c>
      <c r="EL144" s="13">
        <f t="shared" si="153"/>
        <v>82.782281100458206</v>
      </c>
      <c r="EM144" s="20">
        <f t="shared" si="127"/>
        <v>764.08985958329765</v>
      </c>
      <c r="EN144" s="59">
        <f t="shared" si="128"/>
        <v>1057.423192916631</v>
      </c>
      <c r="EO144" s="59">
        <f ca="1">AVERAGE(OFFSET($EN$3,0,0,'Données projet'!$E$15+1,1))-AVERAGE(OFFSET($H$3,0,0,'Données projet'!$E$15+1,1))</f>
        <v>484.41278617935654</v>
      </c>
      <c r="EP144" s="59">
        <f t="shared" si="154"/>
        <v>467.97490540700738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18.162387550163256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18.162387550163256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367.99999999999972</v>
      </c>
      <c r="FF144" s="17">
        <f>FE144*VLOOKUP('Données projet'!$B$16,Paramètres!$A$1:$I$89,3,0)*VLOOKUP('Données projet'!$B$16,Paramètres!$A$1:$I$89,5,0)</f>
        <v>396.11519999999967</v>
      </c>
      <c r="FG144" s="13">
        <f t="shared" si="155"/>
        <v>90.988634849704994</v>
      </c>
      <c r="FH144" s="20">
        <f t="shared" si="130"/>
        <v>848.37251236323561</v>
      </c>
      <c r="FI144" s="59">
        <f t="shared" si="131"/>
        <v>1141.705845696569</v>
      </c>
      <c r="FJ144" s="59">
        <f ca="1">AVERAGE(OFFSET($FI$3,0,0,'Données projet'!$E$16+1,1))-AVERAGE(OFFSET($H$3,0,0,'Données projet'!$E$16+1,1))</f>
        <v>534.54020133239135</v>
      </c>
      <c r="FK144" s="59">
        <f t="shared" si="156"/>
        <v>515.48696069008815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20.212979692923643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20.212979692923643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248.99999999999994</v>
      </c>
      <c r="GA144" s="17">
        <f>FZ144*VLOOKUP('Données projet'!$B$17,Paramètres!$A$1:$I$89,3,0)*VLOOKUP('Données projet'!$B$17,Paramètres!$A$1:$I$89,5,0)</f>
        <v>236.94839999999994</v>
      </c>
      <c r="GB144" s="13">
        <f t="shared" si="157"/>
        <v>57.782475694292401</v>
      </c>
      <c r="GC144" s="20">
        <f t="shared" si="133"/>
        <v>513.32294183422573</v>
      </c>
      <c r="GD144" s="59">
        <f t="shared" si="134"/>
        <v>806.65627516755899</v>
      </c>
      <c r="GE144" s="59">
        <f ca="1">AVERAGE(OFFSET($GD$3,0,0,'Données projet'!$E$17+1,1))-AVERAGE(OFFSET($H$3,0,0,'Données projet'!$E$17+1,1))</f>
        <v>455.71329051283936</v>
      </c>
      <c r="GF144" s="59">
        <f t="shared" si="158"/>
        <v>479.3743231122258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46.946143820914983</v>
      </c>
      <c r="GM144" s="21">
        <f>EXP(-LN(2)/25)*GM143+(1-EXP(-LN(2)/25))/(LN(2)/25)*Calculateur!GH144*Calculateur!GJ144*VLOOKUP('Données projet'!$B$17,Paramètres!$A$1:$I$89,3,0)*0.475*44/12</f>
        <v>0</v>
      </c>
      <c r="GN144" s="21">
        <f>EXP(-LN(2)/2)*GN143+(1-EXP(-LN(2)/2))/(LN(2)/2)*GH144*GK144*VLOOKUP('Données projet'!$B$17,Paramètres!$A$1:$I$89,3,0)*0.475*44/12</f>
        <v>0</v>
      </c>
      <c r="GO144" s="21">
        <f t="shared" si="135"/>
        <v>46.946143820914983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367.99999999999972</v>
      </c>
      <c r="GV144" s="17">
        <f>GU144*VLOOKUP('Données projet'!$B$18,Paramètres!$A$1:$I$89,3,0)*VLOOKUP('Données projet'!$B$18,Paramètres!$A$1:$I$89,5,0)</f>
        <v>298.52159999999981</v>
      </c>
      <c r="GW144" s="13">
        <f t="shared" si="159"/>
        <v>70.866444995542437</v>
      </c>
      <c r="GX144" s="20">
        <f t="shared" si="136"/>
        <v>643.35084503390271</v>
      </c>
      <c r="GY144" s="59">
        <f t="shared" si="137"/>
        <v>936.68417836723597</v>
      </c>
      <c r="GZ144" s="59">
        <f ca="1">AVERAGE(OFFSET($GY$3,0,0,'Données projet'!$E$18+1,1))-AVERAGE(OFFSET($H$3,0,0,'Données projet'!$E$18+1,1))</f>
        <v>412.59676769258488</v>
      </c>
      <c r="HA144" s="59">
        <f t="shared" si="160"/>
        <v>399.90063795152133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15.232970203362738</v>
      </c>
      <c r="HH144" s="21">
        <f>EXP(-LN(2)/25)*HH143+(1-EXP(-LN(2)/25))/(LN(2)/25)*Calculateur!HC144*Calculateur!HE144*VLOOKUP('Données projet'!$B$18,Paramètres!$A$1:$I$89,3,0)*0.475*44/12</f>
        <v>0</v>
      </c>
      <c r="HI144" s="21">
        <f>EXP(-LN(2)/2)*HI143+(1-EXP(-LN(2)/2))/(LN(2)/2)*HC144*HF144*VLOOKUP('Données projet'!$B$18,Paramètres!$A$1:$I$89,3,0)*0.475*44/12</f>
        <v>0</v>
      </c>
      <c r="HJ144" s="22">
        <f t="shared" si="138"/>
        <v>15.232970203362738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306.99999999999994</v>
      </c>
      <c r="O145" s="13">
        <f>N145*VLOOKUP('Données projet'!$B$9,Paramètres!$A$1:$I$89,3,0)*VLOOKUP('Données projet'!$B$9,Paramètres!$A$1:$I$89,5,0)</f>
        <v>277.77359999999993</v>
      </c>
      <c r="P145" s="13">
        <f t="shared" si="141"/>
        <v>66.496288176842356</v>
      </c>
      <c r="Q145" s="20">
        <f t="shared" si="108"/>
        <v>599.60338857466706</v>
      </c>
      <c r="R145" s="59">
        <f t="shared" si="109"/>
        <v>892.93672190800044</v>
      </c>
      <c r="S145" s="59">
        <f ca="1">AVERAGE(OFFSET($R$3,0,0,'Données projet'!$E$9+1,1))-AVERAGE(OFFSET($H$3,0,0,'Données projet'!$E$9+1,1))</f>
        <v>439.19854273764042</v>
      </c>
      <c r="T145" s="59">
        <f t="shared" si="142"/>
        <v>278.21741231699929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58.640715548847297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58.640715548847297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306.99999999999994</v>
      </c>
      <c r="AJ145" s="13">
        <f>AI145*VLOOKUP('Données projet'!$B$10,Paramètres!$A$1:$I$89,3,0)*VLOOKUP('Données projet'!$B$10,Paramètres!$A$1:$I$89,5,0)</f>
        <v>311.298</v>
      </c>
      <c r="AK145" s="13">
        <f t="shared" si="143"/>
        <v>73.539838278528748</v>
      </c>
      <c r="AL145" s="20">
        <f t="shared" si="112"/>
        <v>670.25923500177089</v>
      </c>
      <c r="AM145" s="59">
        <f t="shared" si="113"/>
        <v>963.59256833510426</v>
      </c>
      <c r="AN145" s="59">
        <f ca="1">AVERAGE(OFFSET($AM$3,0,0,'Données projet'!$E$10+1,1))-AVERAGE(OFFSET($H$3,0,0,'Données projet'!$E$10+1,1))</f>
        <v>487.18832528146936</v>
      </c>
      <c r="AO145" s="59">
        <f t="shared" si="144"/>
        <v>306.61893266146666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65.718043287501303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65.718043287501303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369.00000000000023</v>
      </c>
      <c r="BE145" s="13">
        <f>BD145*VLOOKUP('Données projet'!$B$11,Paramètres!$A$1:$I$89,3,0)*VLOOKUP('Données projet'!$B$11,Paramètres!$A$1:$I$89,5,0)</f>
        <v>333.87120000000021</v>
      </c>
      <c r="BF145" s="13">
        <f t="shared" si="145"/>
        <v>78.23236011137638</v>
      </c>
      <c r="BG145" s="20">
        <f t="shared" si="115"/>
        <v>717.74703386064755</v>
      </c>
      <c r="BH145" s="59">
        <f t="shared" si="116"/>
        <v>1011.0803671939809</v>
      </c>
      <c r="BI145" s="59">
        <f ca="1">AVERAGE(OFFSET($BH$3,0,0,'Données projet'!$E$11+1,1))-AVERAGE(OFFSET($H$3,0,0,'Données projet'!$E$11+1,1))</f>
        <v>436.23918637269577</v>
      </c>
      <c r="BJ145" s="59">
        <f t="shared" si="146"/>
        <v>611.43967996341894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1.1503443568545249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1.1503443568545249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224.00000000000006</v>
      </c>
      <c r="BZ145" s="13">
        <f>BY145*VLOOKUP('Données projet'!$B$12,Paramètres!$A$1:$I$89,3,0)*VLOOKUP('Données projet'!$B$12,Paramètres!$A$1:$I$89,5,0)</f>
        <v>195.68640000000008</v>
      </c>
      <c r="CA145" s="13">
        <f t="shared" si="147"/>
        <v>48.794969360985156</v>
      </c>
      <c r="CB145" s="20">
        <f t="shared" si="118"/>
        <v>425.8050516370493</v>
      </c>
      <c r="CC145" s="59">
        <f t="shared" si="119"/>
        <v>719.13838497038262</v>
      </c>
      <c r="CD145" s="59">
        <f ca="1">AVERAGE(OFFSET($CC$3,0,0,'Données projet'!$E$12+1,1))-AVERAGE(OFFSET($H$3,0,0,'Données projet'!$E$12+1,1))</f>
        <v>304.32767345253382</v>
      </c>
      <c r="CE145" s="59">
        <f t="shared" si="148"/>
        <v>427.16091343339173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12.422554101895756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12.422554101895756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739.99999999999966</v>
      </c>
      <c r="CU145" s="17">
        <f>CT145*VLOOKUP('Données projet'!$B$13,Paramètres!$A$1:$I$89,3,0)*VLOOKUP('Données projet'!$B$13,Paramètres!$A$1:$I$89,5,0)</f>
        <v>413.65999999999985</v>
      </c>
      <c r="CV145" s="13">
        <f t="shared" si="149"/>
        <v>94.540585122244352</v>
      </c>
      <c r="CW145" s="20">
        <f t="shared" si="121"/>
        <v>885.11601908790863</v>
      </c>
      <c r="CX145" s="59">
        <f t="shared" si="122"/>
        <v>1178.4493524212419</v>
      </c>
      <c r="CY145" s="59">
        <f ca="1">AVERAGE(OFFSET($CX$3,0,0,'Données projet'!$E$13+1,1))-AVERAGE(OFFSET($H$3,0,0,'Données projet'!$E$13+1,1))</f>
        <v>555.15881087162279</v>
      </c>
      <c r="CZ145" s="59">
        <f t="shared" si="150"/>
        <v>668.20427590250733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24.34349425082214</v>
      </c>
      <c r="DG145" s="21">
        <f>EXP(-LN(2)/25)*DG144+(1-EXP(-LN(2)/25))/(LN(2)/25)*Calculateur!DB145*Calculateur!DD145*VLOOKUP('Données projet'!$B$13,Paramètres!$A$1:$I$89,3,0)*0.475*44/12</f>
        <v>2.5892595613423204</v>
      </c>
      <c r="DH145" s="21">
        <f>EXP(-LN(2)/2)*DH144+(1-EXP(-LN(2)/2))/(LN(2)/2)*DB145*DE145*VLOOKUP('Données projet'!$B$13,Paramètres!$A$1:$I$89,3,0)*0.475*44/12</f>
        <v>1.1802827697677614E-17</v>
      </c>
      <c r="DI145" s="22">
        <f t="shared" si="123"/>
        <v>26.93275381216446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911.99999999999898</v>
      </c>
      <c r="DP145" s="17">
        <f>DO145*VLOOKUP('Données projet'!$B$14,Paramètres!$A$1:$I$89,3,0)*VLOOKUP('Données projet'!$B$14,Paramètres!$A$1:$I$89,5,0)</f>
        <v>426.81599999999946</v>
      </c>
      <c r="DQ145" s="13">
        <f t="shared" si="151"/>
        <v>97.192496986872399</v>
      </c>
      <c r="DR145" s="20">
        <f t="shared" si="124"/>
        <v>912.64813225213504</v>
      </c>
      <c r="DS145" s="59">
        <f t="shared" si="125"/>
        <v>1205.9814655854684</v>
      </c>
      <c r="DT145" s="59">
        <f ca="1">AVERAGE(OFFSET($DS$3,0,0,'Données projet'!$E$14+1,1))-AVERAGE(OFFSET($H$3,0,0,'Données projet'!$E$14+1,1))</f>
        <v>523.79180230463714</v>
      </c>
      <c r="DU145" s="59">
        <f t="shared" si="152"/>
        <v>459.3547783500515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43.535194487319025</v>
      </c>
      <c r="EB145" s="21">
        <f>EXP(-LN(2)/25)*EB144+(1-EXP(-LN(2)/25))/(LN(2)/25)*Calculateur!DW145*Calculateur!DY145*VLOOKUP('Données projet'!$B$14,Paramètres!$A$1:$I$89,3,0)*0.475*44/12</f>
        <v>2.3947374092573197</v>
      </c>
      <c r="EC145" s="21">
        <f>EXP(-LN(2)/2)*EC144+(1-EXP(-LN(2)/2))/(LN(2)/2)*DW145*DZ145*VLOOKUP('Données projet'!$B$14,Paramètres!$A$1:$I$89,3,0)*0.475*44/12</f>
        <v>1.6545662191660542E-17</v>
      </c>
      <c r="ED145" s="22">
        <f t="shared" si="126"/>
        <v>45.929931896576342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367.99999999999972</v>
      </c>
      <c r="EK145" s="17">
        <f>EJ145*VLOOKUP('Données projet'!$B$15,Paramètres!$A$1:$I$89,3,0)*VLOOKUP('Données projet'!$B$15,Paramètres!$A$1:$I$89,5,0)</f>
        <v>355.92959999999977</v>
      </c>
      <c r="EL145" s="13">
        <f t="shared" si="153"/>
        <v>82.782281100458206</v>
      </c>
      <c r="EM145" s="20">
        <f t="shared" si="127"/>
        <v>764.08985958329765</v>
      </c>
      <c r="EN145" s="59">
        <f t="shared" si="128"/>
        <v>1057.423192916631</v>
      </c>
      <c r="EO145" s="59">
        <f ca="1">AVERAGE(OFFSET($EN$3,0,0,'Données projet'!$E$15+1,1))-AVERAGE(OFFSET($H$3,0,0,'Données projet'!$E$15+1,1))</f>
        <v>484.41278617935654</v>
      </c>
      <c r="EP145" s="59">
        <f t="shared" si="154"/>
        <v>467.97490540700738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17.806234208267103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17.806234208267103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367.99999999999972</v>
      </c>
      <c r="FF145" s="17">
        <f>FE145*VLOOKUP('Données projet'!$B$16,Paramètres!$A$1:$I$89,3,0)*VLOOKUP('Données projet'!$B$16,Paramètres!$A$1:$I$89,5,0)</f>
        <v>396.11519999999967</v>
      </c>
      <c r="FG145" s="13">
        <f t="shared" si="155"/>
        <v>90.988634849704994</v>
      </c>
      <c r="FH145" s="20">
        <f t="shared" si="130"/>
        <v>848.37251236323561</v>
      </c>
      <c r="FI145" s="59">
        <f t="shared" si="131"/>
        <v>1141.705845696569</v>
      </c>
      <c r="FJ145" s="59">
        <f ca="1">AVERAGE(OFFSET($FI$3,0,0,'Données projet'!$E$16+1,1))-AVERAGE(OFFSET($H$3,0,0,'Données projet'!$E$16+1,1))</f>
        <v>534.54020133239135</v>
      </c>
      <c r="FK145" s="59">
        <f t="shared" si="156"/>
        <v>515.48696069008815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19.816615489845663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19.816615489845663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248.99999999999994</v>
      </c>
      <c r="GA145" s="17">
        <f>FZ145*VLOOKUP('Données projet'!$B$17,Paramètres!$A$1:$I$89,3,0)*VLOOKUP('Données projet'!$B$17,Paramètres!$A$1:$I$89,5,0)</f>
        <v>236.94839999999994</v>
      </c>
      <c r="GB145" s="13">
        <f t="shared" si="157"/>
        <v>57.782475694292401</v>
      </c>
      <c r="GC145" s="20">
        <f t="shared" si="133"/>
        <v>513.32294183422573</v>
      </c>
      <c r="GD145" s="59">
        <f t="shared" si="134"/>
        <v>806.65627516755899</v>
      </c>
      <c r="GE145" s="59">
        <f ca="1">AVERAGE(OFFSET($GD$3,0,0,'Données projet'!$E$17+1,1))-AVERAGE(OFFSET($H$3,0,0,'Données projet'!$E$17+1,1))</f>
        <v>455.71329051283936</v>
      </c>
      <c r="GF145" s="59">
        <f t="shared" si="158"/>
        <v>479.3743231122258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46.025558574907166</v>
      </c>
      <c r="GM145" s="21">
        <f>EXP(-LN(2)/25)*GM144+(1-EXP(-LN(2)/25))/(LN(2)/25)*Calculateur!GH145*Calculateur!GJ145*VLOOKUP('Données projet'!$B$17,Paramètres!$A$1:$I$89,3,0)*0.475*44/12</f>
        <v>0</v>
      </c>
      <c r="GN145" s="21">
        <f>EXP(-LN(2)/2)*GN144+(1-EXP(-LN(2)/2))/(LN(2)/2)*GH145*GK145*VLOOKUP('Données projet'!$B$17,Paramètres!$A$1:$I$89,3,0)*0.475*44/12</f>
        <v>0</v>
      </c>
      <c r="GO145" s="21">
        <f t="shared" si="135"/>
        <v>46.025558574907166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367.99999999999972</v>
      </c>
      <c r="GV145" s="17">
        <f>GU145*VLOOKUP('Données projet'!$B$18,Paramètres!$A$1:$I$89,3,0)*VLOOKUP('Données projet'!$B$18,Paramètres!$A$1:$I$89,5,0)</f>
        <v>298.52159999999981</v>
      </c>
      <c r="GW145" s="13">
        <f t="shared" si="159"/>
        <v>70.866444995542437</v>
      </c>
      <c r="GX145" s="20">
        <f t="shared" si="136"/>
        <v>643.35084503390271</v>
      </c>
      <c r="GY145" s="59">
        <f t="shared" si="137"/>
        <v>936.68417836723597</v>
      </c>
      <c r="GZ145" s="59">
        <f ca="1">AVERAGE(OFFSET($GY$3,0,0,'Données projet'!$E$18+1,1))-AVERAGE(OFFSET($H$3,0,0,'Données projet'!$E$18+1,1))</f>
        <v>412.59676769258488</v>
      </c>
      <c r="HA145" s="59">
        <f t="shared" si="160"/>
        <v>399.90063795152133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14.93426094886919</v>
      </c>
      <c r="HH145" s="21">
        <f>EXP(-LN(2)/25)*HH144+(1-EXP(-LN(2)/25))/(LN(2)/25)*Calculateur!HC145*Calculateur!HE145*VLOOKUP('Données projet'!$B$18,Paramètres!$A$1:$I$89,3,0)*0.475*44/12</f>
        <v>0</v>
      </c>
      <c r="HI145" s="21">
        <f>EXP(-LN(2)/2)*HI144+(1-EXP(-LN(2)/2))/(LN(2)/2)*HC145*HF145*VLOOKUP('Données projet'!$B$18,Paramètres!$A$1:$I$89,3,0)*0.475*44/12</f>
        <v>0</v>
      </c>
      <c r="HJ145" s="22">
        <f t="shared" si="138"/>
        <v>14.93426094886919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306.99999999999994</v>
      </c>
      <c r="O146" s="13">
        <f>N146*VLOOKUP('Données projet'!$B$9,Paramètres!$A$1:$I$89,3,0)*VLOOKUP('Données projet'!$B$9,Paramètres!$A$1:$I$89,5,0)</f>
        <v>277.77359999999993</v>
      </c>
      <c r="P146" s="13">
        <f t="shared" si="141"/>
        <v>66.496288176842356</v>
      </c>
      <c r="Q146" s="20">
        <f t="shared" si="108"/>
        <v>599.60338857466706</v>
      </c>
      <c r="R146" s="59">
        <f t="shared" si="109"/>
        <v>892.93672190800044</v>
      </c>
      <c r="S146" s="59">
        <f ca="1">AVERAGE(OFFSET($R$3,0,0,'Données projet'!$E$9+1,1))-AVERAGE(OFFSET($H$3,0,0,'Données projet'!$E$9+1,1))</f>
        <v>439.19854273764042</v>
      </c>
      <c r="T146" s="59">
        <f t="shared" si="142"/>
        <v>278.21741231699929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57.490806884239156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57.490806884239156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306.99999999999994</v>
      </c>
      <c r="AJ146" s="13">
        <f>AI146*VLOOKUP('Données projet'!$B$10,Paramètres!$A$1:$I$89,3,0)*VLOOKUP('Données projet'!$B$10,Paramètres!$A$1:$I$89,5,0)</f>
        <v>311.298</v>
      </c>
      <c r="AK146" s="13">
        <f t="shared" si="143"/>
        <v>73.539838278528748</v>
      </c>
      <c r="AL146" s="20">
        <f t="shared" si="112"/>
        <v>670.25923500177089</v>
      </c>
      <c r="AM146" s="59">
        <f t="shared" si="113"/>
        <v>963.59256833510426</v>
      </c>
      <c r="AN146" s="59">
        <f ca="1">AVERAGE(OFFSET($AM$3,0,0,'Données projet'!$E$10+1,1))-AVERAGE(OFFSET($H$3,0,0,'Données projet'!$E$10+1,1))</f>
        <v>487.18832528146936</v>
      </c>
      <c r="AO146" s="59">
        <f t="shared" si="144"/>
        <v>306.61893266146666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64.429352542681841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64.429352542681841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369.00000000000023</v>
      </c>
      <c r="BE146" s="13">
        <f>BD146*VLOOKUP('Données projet'!$B$11,Paramètres!$A$1:$I$89,3,0)*VLOOKUP('Données projet'!$B$11,Paramètres!$A$1:$I$89,5,0)</f>
        <v>333.87120000000021</v>
      </c>
      <c r="BF146" s="13">
        <f t="shared" si="145"/>
        <v>78.23236011137638</v>
      </c>
      <c r="BG146" s="20">
        <f t="shared" si="115"/>
        <v>717.74703386064755</v>
      </c>
      <c r="BH146" s="59">
        <f t="shared" si="116"/>
        <v>1011.0803671939809</v>
      </c>
      <c r="BI146" s="59">
        <f ca="1">AVERAGE(OFFSET($BH$3,0,0,'Données projet'!$E$11+1,1))-AVERAGE(OFFSET($H$3,0,0,'Données projet'!$E$11+1,1))</f>
        <v>436.23918637269577</v>
      </c>
      <c r="BJ146" s="59">
        <f t="shared" si="146"/>
        <v>611.43967996341894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1.1277868056573841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1.1277868056573841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224.00000000000006</v>
      </c>
      <c r="BZ146" s="13">
        <f>BY146*VLOOKUP('Données projet'!$B$12,Paramètres!$A$1:$I$89,3,0)*VLOOKUP('Données projet'!$B$12,Paramètres!$A$1:$I$89,5,0)</f>
        <v>195.68640000000008</v>
      </c>
      <c r="CA146" s="13">
        <f t="shared" si="147"/>
        <v>48.794969360985156</v>
      </c>
      <c r="CB146" s="20">
        <f t="shared" si="118"/>
        <v>425.8050516370493</v>
      </c>
      <c r="CC146" s="59">
        <f t="shared" si="119"/>
        <v>719.13838497038262</v>
      </c>
      <c r="CD146" s="59">
        <f ca="1">AVERAGE(OFFSET($CC$3,0,0,'Données projet'!$E$12+1,1))-AVERAGE(OFFSET($H$3,0,0,'Données projet'!$E$12+1,1))</f>
        <v>304.32767345253382</v>
      </c>
      <c r="CE146" s="59">
        <f t="shared" si="148"/>
        <v>427.16091343339173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12.178955392967415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12.178955392967415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739.99999999999966</v>
      </c>
      <c r="CU146" s="17">
        <f>CT146*VLOOKUP('Données projet'!$B$13,Paramètres!$A$1:$I$89,3,0)*VLOOKUP('Données projet'!$B$13,Paramètres!$A$1:$I$89,5,0)</f>
        <v>413.65999999999985</v>
      </c>
      <c r="CV146" s="13">
        <f t="shared" si="149"/>
        <v>94.540585122244352</v>
      </c>
      <c r="CW146" s="20">
        <f t="shared" si="121"/>
        <v>885.11601908790863</v>
      </c>
      <c r="CX146" s="59">
        <f t="shared" si="122"/>
        <v>1178.4493524212419</v>
      </c>
      <c r="CY146" s="59">
        <f ca="1">AVERAGE(OFFSET($CX$3,0,0,'Données projet'!$E$13+1,1))-AVERAGE(OFFSET($H$3,0,0,'Données projet'!$E$13+1,1))</f>
        <v>555.15881087162279</v>
      </c>
      <c r="CZ146" s="59">
        <f t="shared" si="150"/>
        <v>668.20427590250733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23.866133176628885</v>
      </c>
      <c r="DG146" s="21">
        <f>EXP(-LN(2)/25)*DG145+(1-EXP(-LN(2)/25))/(LN(2)/25)*Calculateur!DB146*Calculateur!DD146*VLOOKUP('Données projet'!$B$13,Paramètres!$A$1:$I$89,3,0)*0.475*44/12</f>
        <v>2.5184561224741722</v>
      </c>
      <c r="DH146" s="21">
        <f>EXP(-LN(2)/2)*DH145+(1-EXP(-LN(2)/2))/(LN(2)/2)*DB146*DE146*VLOOKUP('Données projet'!$B$13,Paramètres!$A$1:$I$89,3,0)*0.475*44/12</f>
        <v>8.345859502204247E-18</v>
      </c>
      <c r="DI146" s="22">
        <f t="shared" si="123"/>
        <v>26.384589299103059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911.99999999999898</v>
      </c>
      <c r="DP146" s="17">
        <f>DO146*VLOOKUP('Données projet'!$B$14,Paramètres!$A$1:$I$89,3,0)*VLOOKUP('Données projet'!$B$14,Paramètres!$A$1:$I$89,5,0)</f>
        <v>426.81599999999946</v>
      </c>
      <c r="DQ146" s="13">
        <f t="shared" si="151"/>
        <v>97.192496986872399</v>
      </c>
      <c r="DR146" s="20">
        <f t="shared" si="124"/>
        <v>912.64813225213504</v>
      </c>
      <c r="DS146" s="59">
        <f t="shared" si="125"/>
        <v>1205.9814655854684</v>
      </c>
      <c r="DT146" s="59">
        <f ca="1">AVERAGE(OFFSET($DS$3,0,0,'Données projet'!$E$14+1,1))-AVERAGE(OFFSET($H$3,0,0,'Données projet'!$E$14+1,1))</f>
        <v>523.79180230463714</v>
      </c>
      <c r="DU146" s="59">
        <f t="shared" si="152"/>
        <v>459.3547783500515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42.681495877269363</v>
      </c>
      <c r="EB146" s="21">
        <f>EXP(-LN(2)/25)*EB145+(1-EXP(-LN(2)/25))/(LN(2)/25)*Calculateur!DW146*Calculateur!DY146*VLOOKUP('Données projet'!$B$14,Paramètres!$A$1:$I$89,3,0)*0.475*44/12</f>
        <v>2.3292531888674111</v>
      </c>
      <c r="EC146" s="21">
        <f>EXP(-LN(2)/2)*EC145+(1-EXP(-LN(2)/2))/(LN(2)/2)*DW146*DZ146*VLOOKUP('Données projet'!$B$14,Paramètres!$A$1:$I$89,3,0)*0.475*44/12</f>
        <v>1.1699549934945043E-17</v>
      </c>
      <c r="ED146" s="22">
        <f t="shared" si="126"/>
        <v>45.010749066136775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367.99999999999972</v>
      </c>
      <c r="EK146" s="17">
        <f>EJ146*VLOOKUP('Données projet'!$B$15,Paramètres!$A$1:$I$89,3,0)*VLOOKUP('Données projet'!$B$15,Paramètres!$A$1:$I$89,5,0)</f>
        <v>355.92959999999977</v>
      </c>
      <c r="EL146" s="13">
        <f t="shared" si="153"/>
        <v>82.782281100458206</v>
      </c>
      <c r="EM146" s="20">
        <f t="shared" si="127"/>
        <v>764.08985958329765</v>
      </c>
      <c r="EN146" s="59">
        <f t="shared" si="128"/>
        <v>1057.423192916631</v>
      </c>
      <c r="EO146" s="59">
        <f ca="1">AVERAGE(OFFSET($EN$3,0,0,'Données projet'!$E$15+1,1))-AVERAGE(OFFSET($H$3,0,0,'Données projet'!$E$15+1,1))</f>
        <v>484.41278617935654</v>
      </c>
      <c r="EP146" s="59">
        <f t="shared" si="154"/>
        <v>467.97490540700738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17.457064816173443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17.457064816173443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367.99999999999972</v>
      </c>
      <c r="FF146" s="17">
        <f>FE146*VLOOKUP('Données projet'!$B$16,Paramètres!$A$1:$I$89,3,0)*VLOOKUP('Données projet'!$B$16,Paramètres!$A$1:$I$89,5,0)</f>
        <v>396.11519999999967</v>
      </c>
      <c r="FG146" s="13">
        <f t="shared" si="155"/>
        <v>90.988634849704994</v>
      </c>
      <c r="FH146" s="20">
        <f t="shared" si="130"/>
        <v>848.37251236323561</v>
      </c>
      <c r="FI146" s="59">
        <f t="shared" si="131"/>
        <v>1141.705845696569</v>
      </c>
      <c r="FJ146" s="59">
        <f ca="1">AVERAGE(OFFSET($FI$3,0,0,'Données projet'!$E$16+1,1))-AVERAGE(OFFSET($H$3,0,0,'Données projet'!$E$16+1,1))</f>
        <v>534.54020133239135</v>
      </c>
      <c r="FK146" s="59">
        <f t="shared" si="156"/>
        <v>515.48696069008815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19.428023747031752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19.428023747031752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248.99999999999994</v>
      </c>
      <c r="GA146" s="17">
        <f>FZ146*VLOOKUP('Données projet'!$B$17,Paramètres!$A$1:$I$89,3,0)*VLOOKUP('Données projet'!$B$17,Paramètres!$A$1:$I$89,5,0)</f>
        <v>236.94839999999994</v>
      </c>
      <c r="GB146" s="13">
        <f t="shared" si="157"/>
        <v>57.782475694292401</v>
      </c>
      <c r="GC146" s="20">
        <f t="shared" si="133"/>
        <v>513.32294183422573</v>
      </c>
      <c r="GD146" s="59">
        <f t="shared" si="134"/>
        <v>806.65627516755899</v>
      </c>
      <c r="GE146" s="59">
        <f ca="1">AVERAGE(OFFSET($GD$3,0,0,'Données projet'!$E$17+1,1))-AVERAGE(OFFSET($H$3,0,0,'Données projet'!$E$17+1,1))</f>
        <v>455.71329051283936</v>
      </c>
      <c r="GF146" s="59">
        <f t="shared" si="158"/>
        <v>479.3743231122258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45.123025444072006</v>
      </c>
      <c r="GM146" s="21">
        <f>EXP(-LN(2)/25)*GM145+(1-EXP(-LN(2)/25))/(LN(2)/25)*Calculateur!GH146*Calculateur!GJ146*VLOOKUP('Données projet'!$B$17,Paramètres!$A$1:$I$89,3,0)*0.475*44/12</f>
        <v>0</v>
      </c>
      <c r="GN146" s="21">
        <f>EXP(-LN(2)/2)*GN145+(1-EXP(-LN(2)/2))/(LN(2)/2)*GH146*GK146*VLOOKUP('Données projet'!$B$17,Paramètres!$A$1:$I$89,3,0)*0.475*44/12</f>
        <v>0</v>
      </c>
      <c r="GO146" s="21">
        <f t="shared" si="135"/>
        <v>45.123025444072006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367.99999999999972</v>
      </c>
      <c r="GV146" s="17">
        <f>GU146*VLOOKUP('Données projet'!$B$18,Paramètres!$A$1:$I$89,3,0)*VLOOKUP('Données projet'!$B$18,Paramètres!$A$1:$I$89,5,0)</f>
        <v>298.52159999999981</v>
      </c>
      <c r="GW146" s="13">
        <f t="shared" si="159"/>
        <v>70.866444995542437</v>
      </c>
      <c r="GX146" s="20">
        <f t="shared" si="136"/>
        <v>643.35084503390271</v>
      </c>
      <c r="GY146" s="59">
        <f t="shared" si="137"/>
        <v>936.68417836723597</v>
      </c>
      <c r="GZ146" s="59">
        <f ca="1">AVERAGE(OFFSET($GY$3,0,0,'Données projet'!$E$18+1,1))-AVERAGE(OFFSET($H$3,0,0,'Données projet'!$E$18+1,1))</f>
        <v>412.59676769258488</v>
      </c>
      <c r="HA146" s="59">
        <f t="shared" si="160"/>
        <v>399.90063795152133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14.641409200661604</v>
      </c>
      <c r="HH146" s="21">
        <f>EXP(-LN(2)/25)*HH145+(1-EXP(-LN(2)/25))/(LN(2)/25)*Calculateur!HC146*Calculateur!HE146*VLOOKUP('Données projet'!$B$18,Paramètres!$A$1:$I$89,3,0)*0.475*44/12</f>
        <v>0</v>
      </c>
      <c r="HI146" s="21">
        <f>EXP(-LN(2)/2)*HI145+(1-EXP(-LN(2)/2))/(LN(2)/2)*HC146*HF146*VLOOKUP('Données projet'!$B$18,Paramètres!$A$1:$I$89,3,0)*0.475*44/12</f>
        <v>0</v>
      </c>
      <c r="HJ146" s="22">
        <f t="shared" si="138"/>
        <v>14.641409200661604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306.99999999999994</v>
      </c>
      <c r="O147" s="13">
        <f>N147*VLOOKUP('Données projet'!$B$9,Paramètres!$A$1:$I$89,3,0)*VLOOKUP('Données projet'!$B$9,Paramètres!$A$1:$I$89,5,0)</f>
        <v>277.77359999999993</v>
      </c>
      <c r="P147" s="13">
        <f t="shared" si="141"/>
        <v>66.496288176842356</v>
      </c>
      <c r="Q147" s="20">
        <f t="shared" si="108"/>
        <v>599.60338857466706</v>
      </c>
      <c r="R147" s="59">
        <f t="shared" si="109"/>
        <v>892.93672190800044</v>
      </c>
      <c r="S147" s="59">
        <f ca="1">AVERAGE(OFFSET($R$3,0,0,'Données projet'!$E$9+1,1))-AVERAGE(OFFSET($H$3,0,0,'Données projet'!$E$9+1,1))</f>
        <v>439.19854273764042</v>
      </c>
      <c r="T147" s="59">
        <f t="shared" si="142"/>
        <v>278.21741231699929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56.363447227168955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56.363447227168955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306.99999999999994</v>
      </c>
      <c r="AJ147" s="13">
        <f>AI147*VLOOKUP('Données projet'!$B$10,Paramètres!$A$1:$I$89,3,0)*VLOOKUP('Données projet'!$B$10,Paramètres!$A$1:$I$89,5,0)</f>
        <v>311.298</v>
      </c>
      <c r="AK147" s="13">
        <f t="shared" si="143"/>
        <v>73.539838278528748</v>
      </c>
      <c r="AL147" s="20">
        <f t="shared" si="112"/>
        <v>670.25923500177089</v>
      </c>
      <c r="AM147" s="59">
        <f t="shared" si="113"/>
        <v>963.59256833510426</v>
      </c>
      <c r="AN147" s="59">
        <f ca="1">AVERAGE(OFFSET($AM$3,0,0,'Données projet'!$E$10+1,1))-AVERAGE(OFFSET($H$3,0,0,'Données projet'!$E$10+1,1))</f>
        <v>487.18832528146936</v>
      </c>
      <c r="AO147" s="59">
        <f t="shared" si="144"/>
        <v>306.61893266146666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63.165932237344542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63.165932237344542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369.00000000000023</v>
      </c>
      <c r="BE147" s="13">
        <f>BD147*VLOOKUP('Données projet'!$B$11,Paramètres!$A$1:$I$89,3,0)*VLOOKUP('Données projet'!$B$11,Paramètres!$A$1:$I$89,5,0)</f>
        <v>333.87120000000021</v>
      </c>
      <c r="BF147" s="13">
        <f t="shared" si="145"/>
        <v>78.23236011137638</v>
      </c>
      <c r="BG147" s="20">
        <f t="shared" si="115"/>
        <v>717.74703386064755</v>
      </c>
      <c r="BH147" s="59">
        <f t="shared" si="116"/>
        <v>1011.0803671939809</v>
      </c>
      <c r="BI147" s="59">
        <f ca="1">AVERAGE(OFFSET($BH$3,0,0,'Données projet'!$E$11+1,1))-AVERAGE(OFFSET($H$3,0,0,'Données projet'!$E$11+1,1))</f>
        <v>436.23918637269577</v>
      </c>
      <c r="BJ147" s="59">
        <f t="shared" si="146"/>
        <v>611.43967996341894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1.1056715942804716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1.1056715942804716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224.00000000000006</v>
      </c>
      <c r="BZ147" s="13">
        <f>BY147*VLOOKUP('Données projet'!$B$12,Paramètres!$A$1:$I$89,3,0)*VLOOKUP('Données projet'!$B$12,Paramètres!$A$1:$I$89,5,0)</f>
        <v>195.68640000000008</v>
      </c>
      <c r="CA147" s="13">
        <f t="shared" si="147"/>
        <v>48.794969360985156</v>
      </c>
      <c r="CB147" s="20">
        <f t="shared" si="118"/>
        <v>425.8050516370493</v>
      </c>
      <c r="CC147" s="59">
        <f t="shared" si="119"/>
        <v>719.13838497038262</v>
      </c>
      <c r="CD147" s="59">
        <f ca="1">AVERAGE(OFFSET($CC$3,0,0,'Données projet'!$E$12+1,1))-AVERAGE(OFFSET($H$3,0,0,'Données projet'!$E$12+1,1))</f>
        <v>304.32767345253382</v>
      </c>
      <c r="CE147" s="59">
        <f t="shared" si="148"/>
        <v>427.16091343339173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11.940133506140617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11.940133506140617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739.99999999999966</v>
      </c>
      <c r="CU147" s="17">
        <f>CT147*VLOOKUP('Données projet'!$B$13,Paramètres!$A$1:$I$89,3,0)*VLOOKUP('Données projet'!$B$13,Paramètres!$A$1:$I$89,5,0)</f>
        <v>413.65999999999985</v>
      </c>
      <c r="CV147" s="13">
        <f t="shared" si="149"/>
        <v>94.540585122244352</v>
      </c>
      <c r="CW147" s="20">
        <f t="shared" si="121"/>
        <v>885.11601908790863</v>
      </c>
      <c r="CX147" s="59">
        <f t="shared" si="122"/>
        <v>1178.4493524212419</v>
      </c>
      <c r="CY147" s="59">
        <f ca="1">AVERAGE(OFFSET($CX$3,0,0,'Données projet'!$E$13+1,1))-AVERAGE(OFFSET($H$3,0,0,'Données projet'!$E$13+1,1))</f>
        <v>555.15881087162279</v>
      </c>
      <c r="CZ147" s="59">
        <f t="shared" si="150"/>
        <v>668.20427590250733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23.398132861939057</v>
      </c>
      <c r="DG147" s="21">
        <f>EXP(-LN(2)/25)*DG146+(1-EXP(-LN(2)/25))/(LN(2)/25)*Calculateur!DB147*Calculateur!DD147*VLOOKUP('Données projet'!$B$13,Paramètres!$A$1:$I$89,3,0)*0.475*44/12</f>
        <v>2.4495888073652643</v>
      </c>
      <c r="DH147" s="21">
        <f>EXP(-LN(2)/2)*DH146+(1-EXP(-LN(2)/2))/(LN(2)/2)*DB147*DE147*VLOOKUP('Données projet'!$B$13,Paramètres!$A$1:$I$89,3,0)*0.475*44/12</f>
        <v>5.9014138488388071E-18</v>
      </c>
      <c r="DI147" s="22">
        <f t="shared" si="123"/>
        <v>25.84772166930432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911.99999999999898</v>
      </c>
      <c r="DP147" s="17">
        <f>DO147*VLOOKUP('Données projet'!$B$14,Paramètres!$A$1:$I$89,3,0)*VLOOKUP('Données projet'!$B$14,Paramètres!$A$1:$I$89,5,0)</f>
        <v>426.81599999999946</v>
      </c>
      <c r="DQ147" s="13">
        <f t="shared" si="151"/>
        <v>97.192496986872399</v>
      </c>
      <c r="DR147" s="20">
        <f t="shared" si="124"/>
        <v>912.64813225213504</v>
      </c>
      <c r="DS147" s="59">
        <f t="shared" si="125"/>
        <v>1205.9814655854684</v>
      </c>
      <c r="DT147" s="59">
        <f ca="1">AVERAGE(OFFSET($DS$3,0,0,'Données projet'!$E$14+1,1))-AVERAGE(OFFSET($H$3,0,0,'Données projet'!$E$14+1,1))</f>
        <v>523.79180230463714</v>
      </c>
      <c r="DU147" s="59">
        <f t="shared" si="152"/>
        <v>459.3547783500515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41.844537776258036</v>
      </c>
      <c r="EB147" s="21">
        <f>EXP(-LN(2)/25)*EB146+(1-EXP(-LN(2)/25))/(LN(2)/25)*Calculateur!DW147*Calculateur!DY147*VLOOKUP('Données projet'!$B$14,Paramètres!$A$1:$I$89,3,0)*0.475*44/12</f>
        <v>2.2655596379277303</v>
      </c>
      <c r="EC147" s="21">
        <f>EXP(-LN(2)/2)*EC146+(1-EXP(-LN(2)/2))/(LN(2)/2)*DW147*DZ147*VLOOKUP('Données projet'!$B$14,Paramètres!$A$1:$I$89,3,0)*0.475*44/12</f>
        <v>8.2728310958302711E-18</v>
      </c>
      <c r="ED147" s="22">
        <f t="shared" si="126"/>
        <v>44.110097414185766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367.99999999999972</v>
      </c>
      <c r="EK147" s="17">
        <f>EJ147*VLOOKUP('Données projet'!$B$15,Paramètres!$A$1:$I$89,3,0)*VLOOKUP('Données projet'!$B$15,Paramètres!$A$1:$I$89,5,0)</f>
        <v>355.92959999999977</v>
      </c>
      <c r="EL147" s="13">
        <f t="shared" si="153"/>
        <v>82.782281100458206</v>
      </c>
      <c r="EM147" s="20">
        <f t="shared" si="127"/>
        <v>764.08985958329765</v>
      </c>
      <c r="EN147" s="59">
        <f t="shared" si="128"/>
        <v>1057.423192916631</v>
      </c>
      <c r="EO147" s="59">
        <f ca="1">AVERAGE(OFFSET($EN$3,0,0,'Données projet'!$E$15+1,1))-AVERAGE(OFFSET($H$3,0,0,'Données projet'!$E$15+1,1))</f>
        <v>484.41278617935654</v>
      </c>
      <c r="EP147" s="59">
        <f t="shared" si="154"/>
        <v>467.97490540700738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17.11474242288644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17.11474242288644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367.99999999999972</v>
      </c>
      <c r="FF147" s="17">
        <f>FE147*VLOOKUP('Données projet'!$B$16,Paramètres!$A$1:$I$89,3,0)*VLOOKUP('Données projet'!$B$16,Paramètres!$A$1:$I$89,5,0)</f>
        <v>396.11519999999967</v>
      </c>
      <c r="FG147" s="13">
        <f t="shared" si="155"/>
        <v>90.988634849704994</v>
      </c>
      <c r="FH147" s="20">
        <f t="shared" si="130"/>
        <v>848.37251236323561</v>
      </c>
      <c r="FI147" s="59">
        <f t="shared" si="131"/>
        <v>1141.705845696569</v>
      </c>
      <c r="FJ147" s="59">
        <f ca="1">AVERAGE(OFFSET($FI$3,0,0,'Données projet'!$E$16+1,1))-AVERAGE(OFFSET($H$3,0,0,'Données projet'!$E$16+1,1))</f>
        <v>534.54020133239135</v>
      </c>
      <c r="FK147" s="59">
        <f t="shared" si="156"/>
        <v>515.48696069008815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19.047052051276861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19.047052051276861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248.99999999999994</v>
      </c>
      <c r="GA147" s="17">
        <f>FZ147*VLOOKUP('Données projet'!$B$17,Paramètres!$A$1:$I$89,3,0)*VLOOKUP('Données projet'!$B$17,Paramètres!$A$1:$I$89,5,0)</f>
        <v>236.94839999999994</v>
      </c>
      <c r="GB147" s="13">
        <f t="shared" si="157"/>
        <v>57.782475694292401</v>
      </c>
      <c r="GC147" s="20">
        <f t="shared" si="133"/>
        <v>513.32294183422573</v>
      </c>
      <c r="GD147" s="59">
        <f t="shared" si="134"/>
        <v>806.65627516755899</v>
      </c>
      <c r="GE147" s="59">
        <f ca="1">AVERAGE(OFFSET($GD$3,0,0,'Données projet'!$E$17+1,1))-AVERAGE(OFFSET($H$3,0,0,'Données projet'!$E$17+1,1))</f>
        <v>455.71329051283936</v>
      </c>
      <c r="GF147" s="59">
        <f t="shared" si="158"/>
        <v>479.3743231122258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44.238190437441673</v>
      </c>
      <c r="GM147" s="21">
        <f>EXP(-LN(2)/25)*GM146+(1-EXP(-LN(2)/25))/(LN(2)/25)*Calculateur!GH147*Calculateur!GJ147*VLOOKUP('Données projet'!$B$17,Paramètres!$A$1:$I$89,3,0)*0.475*44/12</f>
        <v>0</v>
      </c>
      <c r="GN147" s="21">
        <f>EXP(-LN(2)/2)*GN146+(1-EXP(-LN(2)/2))/(LN(2)/2)*GH147*GK147*VLOOKUP('Données projet'!$B$17,Paramètres!$A$1:$I$89,3,0)*0.475*44/12</f>
        <v>0</v>
      </c>
      <c r="GO147" s="21">
        <f t="shared" si="135"/>
        <v>44.238190437441673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367.99999999999972</v>
      </c>
      <c r="GV147" s="17">
        <f>GU147*VLOOKUP('Données projet'!$B$18,Paramètres!$A$1:$I$89,3,0)*VLOOKUP('Données projet'!$B$18,Paramètres!$A$1:$I$89,5,0)</f>
        <v>298.52159999999981</v>
      </c>
      <c r="GW147" s="13">
        <f t="shared" si="159"/>
        <v>70.866444995542437</v>
      </c>
      <c r="GX147" s="20">
        <f t="shared" si="136"/>
        <v>643.35084503390271</v>
      </c>
      <c r="GY147" s="59">
        <f t="shared" si="137"/>
        <v>936.68417836723597</v>
      </c>
      <c r="GZ147" s="59">
        <f ca="1">AVERAGE(OFFSET($GY$3,0,0,'Données projet'!$E$18+1,1))-AVERAGE(OFFSET($H$3,0,0,'Données projet'!$E$18+1,1))</f>
        <v>412.59676769258488</v>
      </c>
      <c r="HA147" s="59">
        <f t="shared" si="160"/>
        <v>399.90063795152133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14.354300096614441</v>
      </c>
      <c r="HH147" s="21">
        <f>EXP(-LN(2)/25)*HH146+(1-EXP(-LN(2)/25))/(LN(2)/25)*Calculateur!HC147*Calculateur!HE147*VLOOKUP('Données projet'!$B$18,Paramètres!$A$1:$I$89,3,0)*0.475*44/12</f>
        <v>0</v>
      </c>
      <c r="HI147" s="21">
        <f>EXP(-LN(2)/2)*HI146+(1-EXP(-LN(2)/2))/(LN(2)/2)*HC147*HF147*VLOOKUP('Données projet'!$B$18,Paramètres!$A$1:$I$89,3,0)*0.475*44/12</f>
        <v>0</v>
      </c>
      <c r="HJ147" s="22">
        <f t="shared" si="138"/>
        <v>14.354300096614441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306.99999999999994</v>
      </c>
      <c r="O148" s="13">
        <f>N148*VLOOKUP('Données projet'!$B$9,Paramètres!$A$1:$I$89,3,0)*VLOOKUP('Données projet'!$B$9,Paramètres!$A$1:$I$89,5,0)</f>
        <v>277.77359999999993</v>
      </c>
      <c r="P148" s="13">
        <f t="shared" si="141"/>
        <v>66.496288176842356</v>
      </c>
      <c r="Q148" s="20">
        <f t="shared" si="108"/>
        <v>599.60338857466706</v>
      </c>
      <c r="R148" s="59">
        <f t="shared" si="109"/>
        <v>892.93672190800044</v>
      </c>
      <c r="S148" s="59">
        <f ca="1">AVERAGE(OFFSET($R$3,0,0,'Données projet'!$E$9+1,1))-AVERAGE(OFFSET($H$3,0,0,'Données projet'!$E$9+1,1))</f>
        <v>439.19854273764042</v>
      </c>
      <c r="T148" s="59">
        <f t="shared" si="142"/>
        <v>278.21741231699929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55.258194405352405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55.258194405352405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306.99999999999994</v>
      </c>
      <c r="AJ148" s="13">
        <f>AI148*VLOOKUP('Données projet'!$B$10,Paramètres!$A$1:$I$89,3,0)*VLOOKUP('Données projet'!$B$10,Paramètres!$A$1:$I$89,5,0)</f>
        <v>311.298</v>
      </c>
      <c r="AK148" s="13">
        <f t="shared" si="143"/>
        <v>73.539838278528748</v>
      </c>
      <c r="AL148" s="20">
        <f t="shared" si="112"/>
        <v>670.25923500177089</v>
      </c>
      <c r="AM148" s="59">
        <f t="shared" si="113"/>
        <v>963.59256833510426</v>
      </c>
      <c r="AN148" s="59">
        <f ca="1">AVERAGE(OFFSET($AM$3,0,0,'Données projet'!$E$10+1,1))-AVERAGE(OFFSET($H$3,0,0,'Données projet'!$E$10+1,1))</f>
        <v>487.18832528146936</v>
      </c>
      <c r="AO148" s="59">
        <f t="shared" si="144"/>
        <v>306.61893266146666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61.927286833584617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61.927286833584617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369.00000000000023</v>
      </c>
      <c r="BE148" s="13">
        <f>BD148*VLOOKUP('Données projet'!$B$11,Paramètres!$A$1:$I$89,3,0)*VLOOKUP('Données projet'!$B$11,Paramètres!$A$1:$I$89,5,0)</f>
        <v>333.87120000000021</v>
      </c>
      <c r="BF148" s="13">
        <f t="shared" si="145"/>
        <v>78.23236011137638</v>
      </c>
      <c r="BG148" s="20">
        <f t="shared" si="115"/>
        <v>717.74703386064755</v>
      </c>
      <c r="BH148" s="59">
        <f t="shared" si="116"/>
        <v>1011.0803671939809</v>
      </c>
      <c r="BI148" s="59">
        <f ca="1">AVERAGE(OFFSET($BH$3,0,0,'Données projet'!$E$11+1,1))-AVERAGE(OFFSET($H$3,0,0,'Données projet'!$E$11+1,1))</f>
        <v>436.23918637269577</v>
      </c>
      <c r="BJ148" s="59">
        <f t="shared" si="146"/>
        <v>611.43967996341894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1.0839900487097132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1.0839900487097132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224.00000000000006</v>
      </c>
      <c r="BZ148" s="13">
        <f>BY148*VLOOKUP('Données projet'!$B$12,Paramètres!$A$1:$I$89,3,0)*VLOOKUP('Données projet'!$B$12,Paramètres!$A$1:$I$89,5,0)</f>
        <v>195.68640000000008</v>
      </c>
      <c r="CA148" s="13">
        <f t="shared" si="147"/>
        <v>48.794969360985156</v>
      </c>
      <c r="CB148" s="20">
        <f t="shared" si="118"/>
        <v>425.8050516370493</v>
      </c>
      <c r="CC148" s="59">
        <f t="shared" si="119"/>
        <v>719.13838497038262</v>
      </c>
      <c r="CD148" s="59">
        <f ca="1">AVERAGE(OFFSET($CC$3,0,0,'Données projet'!$E$12+1,1))-AVERAGE(OFFSET($H$3,0,0,'Données projet'!$E$12+1,1))</f>
        <v>304.32767345253382</v>
      </c>
      <c r="CE148" s="59">
        <f t="shared" si="148"/>
        <v>427.16091343339173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11.705994770847525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11.705994770847525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739.99999999999966</v>
      </c>
      <c r="CU148" s="17">
        <f>CT148*VLOOKUP('Données projet'!$B$13,Paramètres!$A$1:$I$89,3,0)*VLOOKUP('Données projet'!$B$13,Paramètres!$A$1:$I$89,5,0)</f>
        <v>413.65999999999985</v>
      </c>
      <c r="CV148" s="13">
        <f t="shared" si="149"/>
        <v>94.540585122244352</v>
      </c>
      <c r="CW148" s="20">
        <f t="shared" si="121"/>
        <v>885.11601908790863</v>
      </c>
      <c r="CX148" s="59">
        <f t="shared" si="122"/>
        <v>1178.4493524212419</v>
      </c>
      <c r="CY148" s="59">
        <f ca="1">AVERAGE(OFFSET($CX$3,0,0,'Données projet'!$E$13+1,1))-AVERAGE(OFFSET($H$3,0,0,'Données projet'!$E$13+1,1))</f>
        <v>555.15881087162279</v>
      </c>
      <c r="CZ148" s="59">
        <f t="shared" si="150"/>
        <v>668.20427590250733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22.939309747968288</v>
      </c>
      <c r="DG148" s="21">
        <f>EXP(-LN(2)/25)*DG147+(1-EXP(-LN(2)/25))/(LN(2)/25)*Calculateur!DB148*Calculateur!DD148*VLOOKUP('Données projet'!$B$13,Paramètres!$A$1:$I$89,3,0)*0.475*44/12</f>
        <v>2.3826046726095842</v>
      </c>
      <c r="DH148" s="21">
        <f>EXP(-LN(2)/2)*DH147+(1-EXP(-LN(2)/2))/(LN(2)/2)*DB148*DE148*VLOOKUP('Données projet'!$B$13,Paramètres!$A$1:$I$89,3,0)*0.475*44/12</f>
        <v>4.1729297511021235E-18</v>
      </c>
      <c r="DI148" s="22">
        <f t="shared" si="123"/>
        <v>25.321914420577873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911.99999999999898</v>
      </c>
      <c r="DP148" s="17">
        <f>DO148*VLOOKUP('Données projet'!$B$14,Paramètres!$A$1:$I$89,3,0)*VLOOKUP('Données projet'!$B$14,Paramètres!$A$1:$I$89,5,0)</f>
        <v>426.81599999999946</v>
      </c>
      <c r="DQ148" s="13">
        <f t="shared" si="151"/>
        <v>97.192496986872399</v>
      </c>
      <c r="DR148" s="20">
        <f t="shared" si="124"/>
        <v>912.64813225213504</v>
      </c>
      <c r="DS148" s="59">
        <f t="shared" si="125"/>
        <v>1205.9814655854684</v>
      </c>
      <c r="DT148" s="59">
        <f ca="1">AVERAGE(OFFSET($DS$3,0,0,'Données projet'!$E$14+1,1))-AVERAGE(OFFSET($H$3,0,0,'Données projet'!$E$14+1,1))</f>
        <v>523.79180230463714</v>
      </c>
      <c r="DU148" s="59">
        <f t="shared" si="152"/>
        <v>459.3547783500515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41.023991913113505</v>
      </c>
      <c r="EB148" s="21">
        <f>EXP(-LN(2)/25)*EB147+(1-EXP(-LN(2)/25))/(LN(2)/25)*Calculateur!DW148*Calculateur!DY148*VLOOKUP('Données projet'!$B$14,Paramètres!$A$1:$I$89,3,0)*0.475*44/12</f>
        <v>2.2036077904879932</v>
      </c>
      <c r="EC148" s="21">
        <f>EXP(-LN(2)/2)*EC147+(1-EXP(-LN(2)/2))/(LN(2)/2)*DW148*DZ148*VLOOKUP('Données projet'!$B$14,Paramètres!$A$1:$I$89,3,0)*0.475*44/12</f>
        <v>5.8497749674725217E-18</v>
      </c>
      <c r="ED148" s="22">
        <f t="shared" si="126"/>
        <v>43.227599703601499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367.99999999999972</v>
      </c>
      <c r="EK148" s="17">
        <f>EJ148*VLOOKUP('Données projet'!$B$15,Paramètres!$A$1:$I$89,3,0)*VLOOKUP('Données projet'!$B$15,Paramètres!$A$1:$I$89,5,0)</f>
        <v>355.92959999999977</v>
      </c>
      <c r="EL148" s="13">
        <f t="shared" si="153"/>
        <v>82.782281100458206</v>
      </c>
      <c r="EM148" s="20">
        <f t="shared" si="127"/>
        <v>764.08985958329765</v>
      </c>
      <c r="EN148" s="59">
        <f t="shared" si="128"/>
        <v>1057.423192916631</v>
      </c>
      <c r="EO148" s="59">
        <f ca="1">AVERAGE(OFFSET($EN$3,0,0,'Données projet'!$E$15+1,1))-AVERAGE(OFFSET($H$3,0,0,'Données projet'!$E$15+1,1))</f>
        <v>484.41278617935654</v>
      </c>
      <c r="EP148" s="59">
        <f t="shared" si="154"/>
        <v>467.97490540700738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16.779132762935753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16.779132762935753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367.99999999999972</v>
      </c>
      <c r="FF148" s="17">
        <f>FE148*VLOOKUP('Données projet'!$B$16,Paramètres!$A$1:$I$89,3,0)*VLOOKUP('Données projet'!$B$16,Paramètres!$A$1:$I$89,5,0)</f>
        <v>396.11519999999967</v>
      </c>
      <c r="FG148" s="13">
        <f t="shared" si="155"/>
        <v>90.988634849704994</v>
      </c>
      <c r="FH148" s="20">
        <f t="shared" si="130"/>
        <v>848.37251236323561</v>
      </c>
      <c r="FI148" s="59">
        <f t="shared" si="131"/>
        <v>1141.705845696569</v>
      </c>
      <c r="FJ148" s="59">
        <f ca="1">AVERAGE(OFFSET($FI$3,0,0,'Données projet'!$E$16+1,1))-AVERAGE(OFFSET($H$3,0,0,'Données projet'!$E$16+1,1))</f>
        <v>534.54020133239135</v>
      </c>
      <c r="FK148" s="59">
        <f t="shared" si="156"/>
        <v>515.48696069008815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18.673550978105936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18.673550978105936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248.99999999999994</v>
      </c>
      <c r="GA148" s="17">
        <f>FZ148*VLOOKUP('Données projet'!$B$17,Paramètres!$A$1:$I$89,3,0)*VLOOKUP('Données projet'!$B$17,Paramètres!$A$1:$I$89,5,0)</f>
        <v>236.94839999999994</v>
      </c>
      <c r="GB148" s="13">
        <f t="shared" si="157"/>
        <v>57.782475694292401</v>
      </c>
      <c r="GC148" s="20">
        <f t="shared" si="133"/>
        <v>513.32294183422573</v>
      </c>
      <c r="GD148" s="59">
        <f t="shared" si="134"/>
        <v>806.65627516755899</v>
      </c>
      <c r="GE148" s="59">
        <f ca="1">AVERAGE(OFFSET($GD$3,0,0,'Données projet'!$E$17+1,1))-AVERAGE(OFFSET($H$3,0,0,'Données projet'!$E$17+1,1))</f>
        <v>455.71329051283936</v>
      </c>
      <c r="GF148" s="59">
        <f t="shared" si="158"/>
        <v>479.3743231122258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43.370706505595294</v>
      </c>
      <c r="GM148" s="21">
        <f>EXP(-LN(2)/25)*GM147+(1-EXP(-LN(2)/25))/(LN(2)/25)*Calculateur!GH148*Calculateur!GJ148*VLOOKUP('Données projet'!$B$17,Paramètres!$A$1:$I$89,3,0)*0.475*44/12</f>
        <v>0</v>
      </c>
      <c r="GN148" s="21">
        <f>EXP(-LN(2)/2)*GN147+(1-EXP(-LN(2)/2))/(LN(2)/2)*GH148*GK148*VLOOKUP('Données projet'!$B$17,Paramètres!$A$1:$I$89,3,0)*0.475*44/12</f>
        <v>0</v>
      </c>
      <c r="GO148" s="21">
        <f t="shared" si="135"/>
        <v>43.370706505595294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367.99999999999972</v>
      </c>
      <c r="GV148" s="17">
        <f>GU148*VLOOKUP('Données projet'!$B$18,Paramètres!$A$1:$I$89,3,0)*VLOOKUP('Données projet'!$B$18,Paramètres!$A$1:$I$89,5,0)</f>
        <v>298.52159999999981</v>
      </c>
      <c r="GW148" s="13">
        <f t="shared" si="159"/>
        <v>70.866444995542437</v>
      </c>
      <c r="GX148" s="20">
        <f t="shared" si="136"/>
        <v>643.35084503390271</v>
      </c>
      <c r="GY148" s="59">
        <f t="shared" si="137"/>
        <v>936.68417836723597</v>
      </c>
      <c r="GZ148" s="59">
        <f ca="1">AVERAGE(OFFSET($GY$3,0,0,'Données projet'!$E$18+1,1))-AVERAGE(OFFSET($H$3,0,0,'Données projet'!$E$18+1,1))</f>
        <v>412.59676769258488</v>
      </c>
      <c r="HA148" s="59">
        <f t="shared" si="160"/>
        <v>399.90063795152133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14.072821026978382</v>
      </c>
      <c r="HH148" s="21">
        <f>EXP(-LN(2)/25)*HH147+(1-EXP(-LN(2)/25))/(LN(2)/25)*Calculateur!HC148*Calculateur!HE148*VLOOKUP('Données projet'!$B$18,Paramètres!$A$1:$I$89,3,0)*0.475*44/12</f>
        <v>0</v>
      </c>
      <c r="HI148" s="21">
        <f>EXP(-LN(2)/2)*HI147+(1-EXP(-LN(2)/2))/(LN(2)/2)*HC148*HF148*VLOOKUP('Données projet'!$B$18,Paramètres!$A$1:$I$89,3,0)*0.475*44/12</f>
        <v>0</v>
      </c>
      <c r="HJ148" s="22">
        <f t="shared" si="138"/>
        <v>14.072821026978382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306.99999999999994</v>
      </c>
      <c r="O149" s="13">
        <f>N149*VLOOKUP('Données projet'!$B$9,Paramètres!$A$1:$I$89,3,0)*VLOOKUP('Données projet'!$B$9,Paramètres!$A$1:$I$89,5,0)</f>
        <v>277.77359999999993</v>
      </c>
      <c r="P149" s="13">
        <f t="shared" si="141"/>
        <v>66.496288176842356</v>
      </c>
      <c r="Q149" s="20">
        <f t="shared" si="108"/>
        <v>599.60338857466706</v>
      </c>
      <c r="R149" s="59">
        <f t="shared" si="109"/>
        <v>892.93672190800044</v>
      </c>
      <c r="S149" s="59">
        <f ca="1">AVERAGE(OFFSET($R$3,0,0,'Données projet'!$E$9+1,1))-AVERAGE(OFFSET($H$3,0,0,'Données projet'!$E$9+1,1))</f>
        <v>439.19854273764042</v>
      </c>
      <c r="T149" s="59">
        <f t="shared" si="142"/>
        <v>278.21741231699929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54.174614917234024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54.174614917234024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306.99999999999994</v>
      </c>
      <c r="AJ149" s="13">
        <f>AI149*VLOOKUP('Données projet'!$B$10,Paramètres!$A$1:$I$89,3,0)*VLOOKUP('Données projet'!$B$10,Paramètres!$A$1:$I$89,5,0)</f>
        <v>311.298</v>
      </c>
      <c r="AK149" s="13">
        <f t="shared" si="143"/>
        <v>73.539838278528748</v>
      </c>
      <c r="AL149" s="20">
        <f t="shared" si="112"/>
        <v>670.25923500177089</v>
      </c>
      <c r="AM149" s="59">
        <f t="shared" si="113"/>
        <v>963.59256833510426</v>
      </c>
      <c r="AN149" s="59">
        <f ca="1">AVERAGE(OFFSET($AM$3,0,0,'Données projet'!$E$10+1,1))-AVERAGE(OFFSET($H$3,0,0,'Données projet'!$E$10+1,1))</f>
        <v>487.18832528146936</v>
      </c>
      <c r="AO149" s="59">
        <f t="shared" si="144"/>
        <v>306.61893266146666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60.712930510693326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60.712930510693326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369.00000000000023</v>
      </c>
      <c r="BE149" s="13">
        <f>BD149*VLOOKUP('Données projet'!$B$11,Paramètres!$A$1:$I$89,3,0)*VLOOKUP('Données projet'!$B$11,Paramètres!$A$1:$I$89,5,0)</f>
        <v>333.87120000000021</v>
      </c>
      <c r="BF149" s="13">
        <f t="shared" si="145"/>
        <v>78.23236011137638</v>
      </c>
      <c r="BG149" s="20">
        <f t="shared" si="115"/>
        <v>717.74703386064755</v>
      </c>
      <c r="BH149" s="59">
        <f t="shared" si="116"/>
        <v>1011.0803671939809</v>
      </c>
      <c r="BI149" s="59">
        <f ca="1">AVERAGE(OFFSET($BH$3,0,0,'Données projet'!$E$11+1,1))-AVERAGE(OFFSET($H$3,0,0,'Données projet'!$E$11+1,1))</f>
        <v>436.23918637269577</v>
      </c>
      <c r="BJ149" s="59">
        <f t="shared" si="146"/>
        <v>611.43967996341894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1.0627336650231605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1.0627336650231605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224.00000000000006</v>
      </c>
      <c r="BZ149" s="13">
        <f>BY149*VLOOKUP('Données projet'!$B$12,Paramètres!$A$1:$I$89,3,0)*VLOOKUP('Données projet'!$B$12,Paramètres!$A$1:$I$89,5,0)</f>
        <v>195.68640000000008</v>
      </c>
      <c r="CA149" s="13">
        <f t="shared" si="147"/>
        <v>48.794969360985156</v>
      </c>
      <c r="CB149" s="20">
        <f t="shared" si="118"/>
        <v>425.8050516370493</v>
      </c>
      <c r="CC149" s="59">
        <f t="shared" si="119"/>
        <v>719.13838497038262</v>
      </c>
      <c r="CD149" s="59">
        <f ca="1">AVERAGE(OFFSET($CC$3,0,0,'Données projet'!$E$12+1,1))-AVERAGE(OFFSET($H$3,0,0,'Données projet'!$E$12+1,1))</f>
        <v>304.32767345253382</v>
      </c>
      <c r="CE149" s="59">
        <f t="shared" si="148"/>
        <v>427.16091343339173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11.476447353343003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11.476447353343003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739.99999999999966</v>
      </c>
      <c r="CU149" s="17">
        <f>CT149*VLOOKUP('Données projet'!$B$13,Paramètres!$A$1:$I$89,3,0)*VLOOKUP('Données projet'!$B$13,Paramètres!$A$1:$I$89,5,0)</f>
        <v>413.65999999999985</v>
      </c>
      <c r="CV149" s="13">
        <f t="shared" si="149"/>
        <v>94.540585122244352</v>
      </c>
      <c r="CW149" s="20">
        <f t="shared" si="121"/>
        <v>885.11601908790863</v>
      </c>
      <c r="CX149" s="59">
        <f t="shared" si="122"/>
        <v>1178.4493524212419</v>
      </c>
      <c r="CY149" s="59">
        <f ca="1">AVERAGE(OFFSET($CX$3,0,0,'Données projet'!$E$13+1,1))-AVERAGE(OFFSET($H$3,0,0,'Données projet'!$E$13+1,1))</f>
        <v>555.15881087162279</v>
      </c>
      <c r="CZ149" s="59">
        <f t="shared" si="150"/>
        <v>668.20427590250733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22.48948387540802</v>
      </c>
      <c r="DG149" s="21">
        <f>EXP(-LN(2)/25)*DG148+(1-EXP(-LN(2)/25))/(LN(2)/25)*Calculateur!DB149*Calculateur!DD149*VLOOKUP('Données projet'!$B$13,Paramètres!$A$1:$I$89,3,0)*0.475*44/12</f>
        <v>2.3174522225413408</v>
      </c>
      <c r="DH149" s="21">
        <f>EXP(-LN(2)/2)*DH148+(1-EXP(-LN(2)/2))/(LN(2)/2)*DB149*DE149*VLOOKUP('Données projet'!$B$13,Paramètres!$A$1:$I$89,3,0)*0.475*44/12</f>
        <v>2.9507069244194035E-18</v>
      </c>
      <c r="DI149" s="22">
        <f t="shared" si="123"/>
        <v>24.806936097949361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911.99999999999898</v>
      </c>
      <c r="DP149" s="17">
        <f>DO149*VLOOKUP('Données projet'!$B$14,Paramètres!$A$1:$I$89,3,0)*VLOOKUP('Données projet'!$B$14,Paramètres!$A$1:$I$89,5,0)</f>
        <v>426.81599999999946</v>
      </c>
      <c r="DQ149" s="13">
        <f t="shared" si="151"/>
        <v>97.192496986872399</v>
      </c>
      <c r="DR149" s="20">
        <f t="shared" si="124"/>
        <v>912.64813225213504</v>
      </c>
      <c r="DS149" s="59">
        <f t="shared" si="125"/>
        <v>1205.9814655854684</v>
      </c>
      <c r="DT149" s="59">
        <f ca="1">AVERAGE(OFFSET($DS$3,0,0,'Données projet'!$E$14+1,1))-AVERAGE(OFFSET($H$3,0,0,'Données projet'!$E$14+1,1))</f>
        <v>523.79180230463714</v>
      </c>
      <c r="DU149" s="59">
        <f t="shared" si="152"/>
        <v>459.3547783500515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40.219536453861686</v>
      </c>
      <c r="EB149" s="21">
        <f>EXP(-LN(2)/25)*EB148+(1-EXP(-LN(2)/25))/(LN(2)/25)*Calculateur!DW149*Calculateur!DY149*VLOOKUP('Données projet'!$B$14,Paramètres!$A$1:$I$89,3,0)*0.475*44/12</f>
        <v>2.1433500195744015</v>
      </c>
      <c r="EC149" s="21">
        <f>EXP(-LN(2)/2)*EC148+(1-EXP(-LN(2)/2))/(LN(2)/2)*DW149*DZ149*VLOOKUP('Données projet'!$B$14,Paramètres!$A$1:$I$89,3,0)*0.475*44/12</f>
        <v>4.1364155479151355E-18</v>
      </c>
      <c r="ED149" s="22">
        <f t="shared" si="126"/>
        <v>42.362886473436085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367.99999999999972</v>
      </c>
      <c r="EK149" s="17">
        <f>EJ149*VLOOKUP('Données projet'!$B$15,Paramètres!$A$1:$I$89,3,0)*VLOOKUP('Données projet'!$B$15,Paramètres!$A$1:$I$89,5,0)</f>
        <v>355.92959999999977</v>
      </c>
      <c r="EL149" s="13">
        <f t="shared" si="153"/>
        <v>82.782281100458206</v>
      </c>
      <c r="EM149" s="20">
        <f t="shared" si="127"/>
        <v>764.08985958329765</v>
      </c>
      <c r="EN149" s="59">
        <f t="shared" si="128"/>
        <v>1057.423192916631</v>
      </c>
      <c r="EO149" s="59">
        <f ca="1">AVERAGE(OFFSET($EN$3,0,0,'Données projet'!$E$15+1,1))-AVERAGE(OFFSET($H$3,0,0,'Données projet'!$E$15+1,1))</f>
        <v>484.41278617935654</v>
      </c>
      <c r="EP149" s="59">
        <f t="shared" si="154"/>
        <v>467.97490540700738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16.450104203715018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16.450104203715018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367.99999999999972</v>
      </c>
      <c r="FF149" s="17">
        <f>FE149*VLOOKUP('Données projet'!$B$16,Paramètres!$A$1:$I$89,3,0)*VLOOKUP('Données projet'!$B$16,Paramètres!$A$1:$I$89,5,0)</f>
        <v>396.11519999999967</v>
      </c>
      <c r="FG149" s="13">
        <f t="shared" si="155"/>
        <v>90.988634849704994</v>
      </c>
      <c r="FH149" s="20">
        <f t="shared" si="130"/>
        <v>848.37251236323561</v>
      </c>
      <c r="FI149" s="59">
        <f t="shared" si="131"/>
        <v>1141.705845696569</v>
      </c>
      <c r="FJ149" s="59">
        <f ca="1">AVERAGE(OFFSET($FI$3,0,0,'Données projet'!$E$16+1,1))-AVERAGE(OFFSET($H$3,0,0,'Données projet'!$E$16+1,1))</f>
        <v>534.54020133239135</v>
      </c>
      <c r="FK149" s="59">
        <f t="shared" si="156"/>
        <v>515.48696069008815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18.307374033166731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18.307374033166731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248.99999999999994</v>
      </c>
      <c r="GA149" s="17">
        <f>FZ149*VLOOKUP('Données projet'!$B$17,Paramètres!$A$1:$I$89,3,0)*VLOOKUP('Données projet'!$B$17,Paramètres!$A$1:$I$89,5,0)</f>
        <v>236.94839999999994</v>
      </c>
      <c r="GB149" s="13">
        <f t="shared" si="157"/>
        <v>57.782475694292401</v>
      </c>
      <c r="GC149" s="20">
        <f t="shared" si="133"/>
        <v>513.32294183422573</v>
      </c>
      <c r="GD149" s="59">
        <f t="shared" si="134"/>
        <v>806.65627516755899</v>
      </c>
      <c r="GE149" s="59">
        <f ca="1">AVERAGE(OFFSET($GD$3,0,0,'Données projet'!$E$17+1,1))-AVERAGE(OFFSET($H$3,0,0,'Données projet'!$E$17+1,1))</f>
        <v>455.71329051283936</v>
      </c>
      <c r="GF149" s="59">
        <f t="shared" si="158"/>
        <v>479.3743231122258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42.520233404539468</v>
      </c>
      <c r="GM149" s="21">
        <f>EXP(-LN(2)/25)*GM148+(1-EXP(-LN(2)/25))/(LN(2)/25)*Calculateur!GH149*Calculateur!GJ149*VLOOKUP('Données projet'!$B$17,Paramètres!$A$1:$I$89,3,0)*0.475*44/12</f>
        <v>0</v>
      </c>
      <c r="GN149" s="21">
        <f>EXP(-LN(2)/2)*GN148+(1-EXP(-LN(2)/2))/(LN(2)/2)*GH149*GK149*VLOOKUP('Données projet'!$B$17,Paramètres!$A$1:$I$89,3,0)*0.475*44/12</f>
        <v>0</v>
      </c>
      <c r="GO149" s="21">
        <f t="shared" si="135"/>
        <v>42.520233404539468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367.99999999999972</v>
      </c>
      <c r="GV149" s="17">
        <f>GU149*VLOOKUP('Données projet'!$B$18,Paramètres!$A$1:$I$89,3,0)*VLOOKUP('Données projet'!$B$18,Paramètres!$A$1:$I$89,5,0)</f>
        <v>298.52159999999981</v>
      </c>
      <c r="GW149" s="13">
        <f t="shared" si="159"/>
        <v>70.866444995542437</v>
      </c>
      <c r="GX149" s="20">
        <f t="shared" si="136"/>
        <v>643.35084503390271</v>
      </c>
      <c r="GY149" s="59">
        <f t="shared" si="137"/>
        <v>936.68417836723597</v>
      </c>
      <c r="GZ149" s="59">
        <f ca="1">AVERAGE(OFFSET($GY$3,0,0,'Données projet'!$E$18+1,1))-AVERAGE(OFFSET($H$3,0,0,'Données projet'!$E$18+1,1))</f>
        <v>412.59676769258488</v>
      </c>
      <c r="HA149" s="59">
        <f t="shared" si="160"/>
        <v>399.90063795152133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13.796861590212604</v>
      </c>
      <c r="HH149" s="21">
        <f>EXP(-LN(2)/25)*HH148+(1-EXP(-LN(2)/25))/(LN(2)/25)*Calculateur!HC149*Calculateur!HE149*VLOOKUP('Données projet'!$B$18,Paramètres!$A$1:$I$89,3,0)*0.475*44/12</f>
        <v>0</v>
      </c>
      <c r="HI149" s="21">
        <f>EXP(-LN(2)/2)*HI148+(1-EXP(-LN(2)/2))/(LN(2)/2)*HC149*HF149*VLOOKUP('Données projet'!$B$18,Paramètres!$A$1:$I$89,3,0)*0.475*44/12</f>
        <v>0</v>
      </c>
      <c r="HJ149" s="22">
        <f t="shared" si="138"/>
        <v>13.796861590212604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306.99999999999994</v>
      </c>
      <c r="O150" s="13">
        <f>N150*VLOOKUP('Données projet'!$B$9,Paramètres!$A$1:$I$89,3,0)*VLOOKUP('Données projet'!$B$9,Paramètres!$A$1:$I$89,5,0)</f>
        <v>277.77359999999993</v>
      </c>
      <c r="P150" s="13">
        <f t="shared" si="141"/>
        <v>66.496288176842356</v>
      </c>
      <c r="Q150" s="20">
        <f t="shared" si="108"/>
        <v>599.60338857466706</v>
      </c>
      <c r="R150" s="59">
        <f t="shared" si="109"/>
        <v>892.93672190800044</v>
      </c>
      <c r="S150" s="59">
        <f ca="1">AVERAGE(OFFSET($R$3,0,0,'Données projet'!$E$9+1,1))-AVERAGE(OFFSET($H$3,0,0,'Données projet'!$E$9+1,1))</f>
        <v>439.19854273764042</v>
      </c>
      <c r="T150" s="59">
        <f t="shared" si="142"/>
        <v>278.21741231699929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53.112283761959411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53.112283761959411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306.99999999999994</v>
      </c>
      <c r="AJ150" s="13">
        <f>AI150*VLOOKUP('Données projet'!$B$10,Paramètres!$A$1:$I$89,3,0)*VLOOKUP('Données projet'!$B$10,Paramètres!$A$1:$I$89,5,0)</f>
        <v>311.298</v>
      </c>
      <c r="AK150" s="13">
        <f t="shared" si="143"/>
        <v>73.539838278528748</v>
      </c>
      <c r="AL150" s="20">
        <f t="shared" si="112"/>
        <v>670.25923500177089</v>
      </c>
      <c r="AM150" s="59">
        <f t="shared" si="113"/>
        <v>963.59256833510426</v>
      </c>
      <c r="AN150" s="59">
        <f ca="1">AVERAGE(OFFSET($AM$3,0,0,'Données projet'!$E$10+1,1))-AVERAGE(OFFSET($H$3,0,0,'Données projet'!$E$10+1,1))</f>
        <v>487.18832528146936</v>
      </c>
      <c r="AO150" s="59">
        <f t="shared" si="144"/>
        <v>306.61893266146666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59.522386974609709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59.522386974609709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369.00000000000023</v>
      </c>
      <c r="BE150" s="13">
        <f>BD150*VLOOKUP('Données projet'!$B$11,Paramètres!$A$1:$I$89,3,0)*VLOOKUP('Données projet'!$B$11,Paramètres!$A$1:$I$89,5,0)</f>
        <v>333.87120000000021</v>
      </c>
      <c r="BF150" s="13">
        <f t="shared" si="145"/>
        <v>78.23236011137638</v>
      </c>
      <c r="BG150" s="20">
        <f t="shared" si="115"/>
        <v>717.74703386064755</v>
      </c>
      <c r="BH150" s="59">
        <f t="shared" si="116"/>
        <v>1011.0803671939809</v>
      </c>
      <c r="BI150" s="59">
        <f ca="1">AVERAGE(OFFSET($BH$3,0,0,'Données projet'!$E$11+1,1))-AVERAGE(OFFSET($H$3,0,0,'Données projet'!$E$11+1,1))</f>
        <v>436.23918637269577</v>
      </c>
      <c r="BJ150" s="59">
        <f t="shared" si="146"/>
        <v>611.43967996341894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1.0418941060555871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1.0418941060555871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224.00000000000006</v>
      </c>
      <c r="BZ150" s="13">
        <f>BY150*VLOOKUP('Données projet'!$B$12,Paramètres!$A$1:$I$89,3,0)*VLOOKUP('Données projet'!$B$12,Paramètres!$A$1:$I$89,5,0)</f>
        <v>195.68640000000008</v>
      </c>
      <c r="CA150" s="13">
        <f t="shared" si="147"/>
        <v>48.794969360985156</v>
      </c>
      <c r="CB150" s="20">
        <f t="shared" si="118"/>
        <v>425.8050516370493</v>
      </c>
      <c r="CC150" s="59">
        <f t="shared" si="119"/>
        <v>719.13838497038262</v>
      </c>
      <c r="CD150" s="59">
        <f ca="1">AVERAGE(OFFSET($CC$3,0,0,'Données projet'!$E$12+1,1))-AVERAGE(OFFSET($H$3,0,0,'Données projet'!$E$12+1,1))</f>
        <v>304.32767345253382</v>
      </c>
      <c r="CE150" s="59">
        <f t="shared" si="148"/>
        <v>427.16091343339173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11.251401220685645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11.251401220685645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739.99999999999966</v>
      </c>
      <c r="CU150" s="17">
        <f>CT150*VLOOKUP('Données projet'!$B$13,Paramètres!$A$1:$I$89,3,0)*VLOOKUP('Données projet'!$B$13,Paramètres!$A$1:$I$89,5,0)</f>
        <v>413.65999999999985</v>
      </c>
      <c r="CV150" s="13">
        <f t="shared" si="149"/>
        <v>94.540585122244352</v>
      </c>
      <c r="CW150" s="20">
        <f t="shared" si="121"/>
        <v>885.11601908790863</v>
      </c>
      <c r="CX150" s="59">
        <f t="shared" si="122"/>
        <v>1178.4493524212419</v>
      </c>
      <c r="CY150" s="59">
        <f ca="1">AVERAGE(OFFSET($CX$3,0,0,'Données projet'!$E$13+1,1))-AVERAGE(OFFSET($H$3,0,0,'Données projet'!$E$13+1,1))</f>
        <v>555.15881087162279</v>
      </c>
      <c r="CZ150" s="59">
        <f t="shared" si="150"/>
        <v>668.20427590250733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22.048478813841967</v>
      </c>
      <c r="DG150" s="21">
        <f>EXP(-LN(2)/25)*DG149+(1-EXP(-LN(2)/25))/(LN(2)/25)*Calculateur!DB150*Calculateur!DD150*VLOOKUP('Données projet'!$B$13,Paramètres!$A$1:$I$89,3,0)*0.475*44/12</f>
        <v>2.2540813696464319</v>
      </c>
      <c r="DH150" s="21">
        <f>EXP(-LN(2)/2)*DH149+(1-EXP(-LN(2)/2))/(LN(2)/2)*DB150*DE150*VLOOKUP('Données projet'!$B$13,Paramètres!$A$1:$I$89,3,0)*0.475*44/12</f>
        <v>2.0864648755510617E-18</v>
      </c>
      <c r="DI150" s="22">
        <f t="shared" si="123"/>
        <v>24.302560183488399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911.99999999999898</v>
      </c>
      <c r="DP150" s="17">
        <f>DO150*VLOOKUP('Données projet'!$B$14,Paramètres!$A$1:$I$89,3,0)*VLOOKUP('Données projet'!$B$14,Paramètres!$A$1:$I$89,5,0)</f>
        <v>426.81599999999946</v>
      </c>
      <c r="DQ150" s="13">
        <f t="shared" si="151"/>
        <v>97.192496986872399</v>
      </c>
      <c r="DR150" s="20">
        <f t="shared" si="124"/>
        <v>912.64813225213504</v>
      </c>
      <c r="DS150" s="59">
        <f t="shared" si="125"/>
        <v>1205.9814655854684</v>
      </c>
      <c r="DT150" s="59">
        <f ca="1">AVERAGE(OFFSET($DS$3,0,0,'Données projet'!$E$14+1,1))-AVERAGE(OFFSET($H$3,0,0,'Données projet'!$E$14+1,1))</f>
        <v>523.79180230463714</v>
      </c>
      <c r="DU150" s="59">
        <f t="shared" si="152"/>
        <v>459.3547783500515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39.430855875496412</v>
      </c>
      <c r="EB150" s="21">
        <f>EXP(-LN(2)/25)*EB149+(1-EXP(-LN(2)/25))/(LN(2)/25)*Calculateur!DW150*Calculateur!DY150*VLOOKUP('Données projet'!$B$14,Paramètres!$A$1:$I$89,3,0)*0.475*44/12</f>
        <v>2.0847400005752608</v>
      </c>
      <c r="EC150" s="21">
        <f>EXP(-LN(2)/2)*EC149+(1-EXP(-LN(2)/2))/(LN(2)/2)*DW150*DZ150*VLOOKUP('Données projet'!$B$14,Paramètres!$A$1:$I$89,3,0)*0.475*44/12</f>
        <v>2.9248874837362609E-18</v>
      </c>
      <c r="ED150" s="22">
        <f t="shared" si="126"/>
        <v>41.515595876071671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367.99999999999972</v>
      </c>
      <c r="EK150" s="17">
        <f>EJ150*VLOOKUP('Données projet'!$B$15,Paramètres!$A$1:$I$89,3,0)*VLOOKUP('Données projet'!$B$15,Paramètres!$A$1:$I$89,5,0)</f>
        <v>355.92959999999977</v>
      </c>
      <c r="EL150" s="13">
        <f t="shared" si="153"/>
        <v>82.782281100458206</v>
      </c>
      <c r="EM150" s="20">
        <f t="shared" si="127"/>
        <v>764.08985958329765</v>
      </c>
      <c r="EN150" s="59">
        <f t="shared" si="128"/>
        <v>1057.423192916631</v>
      </c>
      <c r="EO150" s="59">
        <f ca="1">AVERAGE(OFFSET($EN$3,0,0,'Données projet'!$E$15+1,1))-AVERAGE(OFFSET($H$3,0,0,'Données projet'!$E$15+1,1))</f>
        <v>484.41278617935654</v>
      </c>
      <c r="EP150" s="59">
        <f t="shared" si="154"/>
        <v>467.97490540700738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16.127527693852997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16.127527693852997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367.99999999999972</v>
      </c>
      <c r="FF150" s="17">
        <f>FE150*VLOOKUP('Données projet'!$B$16,Paramètres!$A$1:$I$89,3,0)*VLOOKUP('Données projet'!$B$16,Paramètres!$A$1:$I$89,5,0)</f>
        <v>396.11519999999967</v>
      </c>
      <c r="FG150" s="13">
        <f t="shared" si="155"/>
        <v>90.988634849704994</v>
      </c>
      <c r="FH150" s="20">
        <f t="shared" si="130"/>
        <v>848.37251236323561</v>
      </c>
      <c r="FI150" s="59">
        <f t="shared" si="131"/>
        <v>1141.705845696569</v>
      </c>
      <c r="FJ150" s="59">
        <f ca="1">AVERAGE(OFFSET($FI$3,0,0,'Données projet'!$E$16+1,1))-AVERAGE(OFFSET($H$3,0,0,'Données projet'!$E$16+1,1))</f>
        <v>534.54020133239135</v>
      </c>
      <c r="FK150" s="59">
        <f t="shared" si="156"/>
        <v>515.48696069008815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17.948377594771902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17.948377594771902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248.99999999999994</v>
      </c>
      <c r="GA150" s="17">
        <f>FZ150*VLOOKUP('Données projet'!$B$17,Paramètres!$A$1:$I$89,3,0)*VLOOKUP('Données projet'!$B$17,Paramètres!$A$1:$I$89,5,0)</f>
        <v>236.94839999999994</v>
      </c>
      <c r="GB150" s="13">
        <f t="shared" si="157"/>
        <v>57.782475694292401</v>
      </c>
      <c r="GC150" s="20">
        <f t="shared" si="133"/>
        <v>513.32294183422573</v>
      </c>
      <c r="GD150" s="59">
        <f t="shared" si="134"/>
        <v>806.65627516755899</v>
      </c>
      <c r="GE150" s="59">
        <f ca="1">AVERAGE(OFFSET($GD$3,0,0,'Données projet'!$E$17+1,1))-AVERAGE(OFFSET($H$3,0,0,'Données projet'!$E$17+1,1))</f>
        <v>455.71329051283936</v>
      </c>
      <c r="GF150" s="59">
        <f t="shared" si="158"/>
        <v>479.3743231122258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41.686437562257979</v>
      </c>
      <c r="GM150" s="21">
        <f>EXP(-LN(2)/25)*GM149+(1-EXP(-LN(2)/25))/(LN(2)/25)*Calculateur!GH150*Calculateur!GJ150*VLOOKUP('Données projet'!$B$17,Paramètres!$A$1:$I$89,3,0)*0.475*44/12</f>
        <v>0</v>
      </c>
      <c r="GN150" s="21">
        <f>EXP(-LN(2)/2)*GN149+(1-EXP(-LN(2)/2))/(LN(2)/2)*GH150*GK150*VLOOKUP('Données projet'!$B$17,Paramètres!$A$1:$I$89,3,0)*0.475*44/12</f>
        <v>0</v>
      </c>
      <c r="GO150" s="21">
        <f t="shared" si="135"/>
        <v>41.686437562257979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367.99999999999972</v>
      </c>
      <c r="GV150" s="17">
        <f>GU150*VLOOKUP('Données projet'!$B$18,Paramètres!$A$1:$I$89,3,0)*VLOOKUP('Données projet'!$B$18,Paramètres!$A$1:$I$89,5,0)</f>
        <v>298.52159999999981</v>
      </c>
      <c r="GW150" s="13">
        <f t="shared" si="159"/>
        <v>70.866444995542437</v>
      </c>
      <c r="GX150" s="20">
        <f t="shared" si="136"/>
        <v>643.35084503390271</v>
      </c>
      <c r="GY150" s="59">
        <f t="shared" si="137"/>
        <v>936.68417836723597</v>
      </c>
      <c r="GZ150" s="59">
        <f ca="1">AVERAGE(OFFSET($GY$3,0,0,'Données projet'!$E$18+1,1))-AVERAGE(OFFSET($H$3,0,0,'Données projet'!$E$18+1,1))</f>
        <v>412.59676769258488</v>
      </c>
      <c r="HA150" s="59">
        <f t="shared" si="160"/>
        <v>399.90063795152133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13.526313549683167</v>
      </c>
      <c r="HH150" s="21">
        <f>EXP(-LN(2)/25)*HH149+(1-EXP(-LN(2)/25))/(LN(2)/25)*Calculateur!HC150*Calculateur!HE150*VLOOKUP('Données projet'!$B$18,Paramètres!$A$1:$I$89,3,0)*0.475*44/12</f>
        <v>0</v>
      </c>
      <c r="HI150" s="21">
        <f>EXP(-LN(2)/2)*HI149+(1-EXP(-LN(2)/2))/(LN(2)/2)*HC150*HF150*VLOOKUP('Données projet'!$B$18,Paramètres!$A$1:$I$89,3,0)*0.475*44/12</f>
        <v>0</v>
      </c>
      <c r="HJ150" s="22">
        <f t="shared" si="138"/>
        <v>13.526313549683167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306.99999999999994</v>
      </c>
      <c r="O151" s="13">
        <f>N151*VLOOKUP('Données projet'!$B$9,Paramètres!$A$1:$I$89,3,0)*VLOOKUP('Données projet'!$B$9,Paramètres!$A$1:$I$89,5,0)</f>
        <v>277.77359999999993</v>
      </c>
      <c r="P151" s="13">
        <f t="shared" si="141"/>
        <v>66.496288176842356</v>
      </c>
      <c r="Q151" s="20">
        <f t="shared" si="108"/>
        <v>599.60338857466706</v>
      </c>
      <c r="R151" s="59">
        <f t="shared" si="109"/>
        <v>892.93672190800044</v>
      </c>
      <c r="S151" s="59">
        <f ca="1">AVERAGE(OFFSET($R$3,0,0,'Données projet'!$E$9+1,1))-AVERAGE(OFFSET($H$3,0,0,'Données projet'!$E$9+1,1))</f>
        <v>439.19854273764042</v>
      </c>
      <c r="T151" s="59">
        <f t="shared" si="142"/>
        <v>278.21741231699929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52.070784272681713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52.070784272681713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306.99999999999994</v>
      </c>
      <c r="AJ151" s="13">
        <f>AI151*VLOOKUP('Données projet'!$B$10,Paramètres!$A$1:$I$89,3,0)*VLOOKUP('Données projet'!$B$10,Paramètres!$A$1:$I$89,5,0)</f>
        <v>311.298</v>
      </c>
      <c r="AK151" s="13">
        <f t="shared" si="143"/>
        <v>73.539838278528748</v>
      </c>
      <c r="AL151" s="20">
        <f t="shared" si="112"/>
        <v>670.25923500177089</v>
      </c>
      <c r="AM151" s="59">
        <f t="shared" si="113"/>
        <v>963.59256833510426</v>
      </c>
      <c r="AN151" s="59">
        <f ca="1">AVERAGE(OFFSET($AM$3,0,0,'Données projet'!$E$10+1,1))-AVERAGE(OFFSET($H$3,0,0,'Données projet'!$E$10+1,1))</f>
        <v>487.18832528146936</v>
      </c>
      <c r="AO151" s="59">
        <f t="shared" si="144"/>
        <v>306.61893266146666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58.355189271108841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58.355189271108841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369.00000000000023</v>
      </c>
      <c r="BE151" s="13">
        <f>BD151*VLOOKUP('Données projet'!$B$11,Paramètres!$A$1:$I$89,3,0)*VLOOKUP('Données projet'!$B$11,Paramètres!$A$1:$I$89,5,0)</f>
        <v>333.87120000000021</v>
      </c>
      <c r="BF151" s="13">
        <f t="shared" si="145"/>
        <v>78.23236011137638</v>
      </c>
      <c r="BG151" s="20">
        <f t="shared" si="115"/>
        <v>717.74703386064755</v>
      </c>
      <c r="BH151" s="59">
        <f t="shared" si="116"/>
        <v>1011.0803671939809</v>
      </c>
      <c r="BI151" s="59">
        <f ca="1">AVERAGE(OFFSET($BH$3,0,0,'Données projet'!$E$11+1,1))-AVERAGE(OFFSET($H$3,0,0,'Données projet'!$E$11+1,1))</f>
        <v>436.23918637269577</v>
      </c>
      <c r="BJ151" s="59">
        <f t="shared" si="146"/>
        <v>611.43967996341894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1.0214631981284921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1.0214631981284921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224.00000000000006</v>
      </c>
      <c r="BZ151" s="13">
        <f>BY151*VLOOKUP('Données projet'!$B$12,Paramètres!$A$1:$I$89,3,0)*VLOOKUP('Données projet'!$B$12,Paramètres!$A$1:$I$89,5,0)</f>
        <v>195.68640000000008</v>
      </c>
      <c r="CA151" s="13">
        <f t="shared" si="147"/>
        <v>48.794969360985156</v>
      </c>
      <c r="CB151" s="20">
        <f t="shared" si="118"/>
        <v>425.8050516370493</v>
      </c>
      <c r="CC151" s="59">
        <f t="shared" si="119"/>
        <v>719.13838497038262</v>
      </c>
      <c r="CD151" s="59">
        <f ca="1">AVERAGE(OFFSET($CC$3,0,0,'Données projet'!$E$12+1,1))-AVERAGE(OFFSET($H$3,0,0,'Données projet'!$E$12+1,1))</f>
        <v>304.32767345253382</v>
      </c>
      <c r="CE151" s="59">
        <f t="shared" si="148"/>
        <v>427.16091343339173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11.030768105425111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11.030768105425111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739.99999999999966</v>
      </c>
      <c r="CU151" s="17">
        <f>CT151*VLOOKUP('Données projet'!$B$13,Paramètres!$A$1:$I$89,3,0)*VLOOKUP('Données projet'!$B$13,Paramètres!$A$1:$I$89,5,0)</f>
        <v>413.65999999999985</v>
      </c>
      <c r="CV151" s="13">
        <f t="shared" si="149"/>
        <v>94.540585122244352</v>
      </c>
      <c r="CW151" s="20">
        <f t="shared" si="121"/>
        <v>885.11601908790863</v>
      </c>
      <c r="CX151" s="59">
        <f t="shared" si="122"/>
        <v>1178.4493524212419</v>
      </c>
      <c r="CY151" s="59">
        <f ca="1">AVERAGE(OFFSET($CX$3,0,0,'Données projet'!$E$13+1,1))-AVERAGE(OFFSET($H$3,0,0,'Données projet'!$E$13+1,1))</f>
        <v>555.15881087162279</v>
      </c>
      <c r="CZ151" s="59">
        <f t="shared" si="150"/>
        <v>668.20427590250733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21.616121592546698</v>
      </c>
      <c r="DG151" s="21">
        <f>EXP(-LN(2)/25)*DG150+(1-EXP(-LN(2)/25))/(LN(2)/25)*Calculateur!DB151*Calculateur!DD151*VLOOKUP('Données projet'!$B$13,Paramètres!$A$1:$I$89,3,0)*0.475*44/12</f>
        <v>2.1924433960564627</v>
      </c>
      <c r="DH151" s="21">
        <f>EXP(-LN(2)/2)*DH150+(1-EXP(-LN(2)/2))/(LN(2)/2)*DB151*DE151*VLOOKUP('Données projet'!$B$13,Paramètres!$A$1:$I$89,3,0)*0.475*44/12</f>
        <v>1.4753534622097018E-18</v>
      </c>
      <c r="DI151" s="22">
        <f t="shared" si="123"/>
        <v>23.808564988603159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911.99999999999898</v>
      </c>
      <c r="DP151" s="17">
        <f>DO151*VLOOKUP('Données projet'!$B$14,Paramètres!$A$1:$I$89,3,0)*VLOOKUP('Données projet'!$B$14,Paramètres!$A$1:$I$89,5,0)</f>
        <v>426.81599999999946</v>
      </c>
      <c r="DQ151" s="13">
        <f t="shared" si="151"/>
        <v>97.192496986872399</v>
      </c>
      <c r="DR151" s="20">
        <f t="shared" si="124"/>
        <v>912.64813225213504</v>
      </c>
      <c r="DS151" s="59">
        <f t="shared" si="125"/>
        <v>1205.9814655854684</v>
      </c>
      <c r="DT151" s="59">
        <f ca="1">AVERAGE(OFFSET($DS$3,0,0,'Données projet'!$E$14+1,1))-AVERAGE(OFFSET($H$3,0,0,'Données projet'!$E$14+1,1))</f>
        <v>523.79180230463714</v>
      </c>
      <c r="DU151" s="59">
        <f t="shared" si="152"/>
        <v>459.3547783500515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38.657640842225227</v>
      </c>
      <c r="EB151" s="21">
        <f>EXP(-LN(2)/25)*EB150+(1-EXP(-LN(2)/25))/(LN(2)/25)*Calculateur!DW151*Calculateur!DY151*VLOOKUP('Données projet'!$B$14,Paramètres!$A$1:$I$89,3,0)*0.475*44/12</f>
        <v>2.0277326756278184</v>
      </c>
      <c r="EC151" s="21">
        <f>EXP(-LN(2)/2)*EC150+(1-EXP(-LN(2)/2))/(LN(2)/2)*DW151*DZ151*VLOOKUP('Données projet'!$B$14,Paramètres!$A$1:$I$89,3,0)*0.475*44/12</f>
        <v>2.0682077739575678E-18</v>
      </c>
      <c r="ED151" s="22">
        <f t="shared" si="126"/>
        <v>40.685373517853044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367.99999999999972</v>
      </c>
      <c r="EK151" s="17">
        <f>EJ151*VLOOKUP('Données projet'!$B$15,Paramètres!$A$1:$I$89,3,0)*VLOOKUP('Données projet'!$B$15,Paramètres!$A$1:$I$89,5,0)</f>
        <v>355.92959999999977</v>
      </c>
      <c r="EL151" s="13">
        <f t="shared" si="153"/>
        <v>82.782281100458206</v>
      </c>
      <c r="EM151" s="20">
        <f t="shared" si="127"/>
        <v>764.08985958329765</v>
      </c>
      <c r="EN151" s="59">
        <f t="shared" si="128"/>
        <v>1057.423192916631</v>
      </c>
      <c r="EO151" s="59">
        <f ca="1">AVERAGE(OFFSET($EN$3,0,0,'Données projet'!$E$15+1,1))-AVERAGE(OFFSET($H$3,0,0,'Données projet'!$E$15+1,1))</f>
        <v>484.41278617935654</v>
      </c>
      <c r="EP151" s="59">
        <f t="shared" si="154"/>
        <v>467.97490540700738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15.811276712597127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15.811276712597127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367.99999999999972</v>
      </c>
      <c r="FF151" s="17">
        <f>FE151*VLOOKUP('Données projet'!$B$16,Paramètres!$A$1:$I$89,3,0)*VLOOKUP('Données projet'!$B$16,Paramètres!$A$1:$I$89,5,0)</f>
        <v>396.11519999999967</v>
      </c>
      <c r="FG151" s="13">
        <f t="shared" si="155"/>
        <v>90.988634849704994</v>
      </c>
      <c r="FH151" s="20">
        <f t="shared" si="130"/>
        <v>848.37251236323561</v>
      </c>
      <c r="FI151" s="59">
        <f t="shared" si="131"/>
        <v>1141.705845696569</v>
      </c>
      <c r="FJ151" s="59">
        <f ca="1">AVERAGE(OFFSET($FI$3,0,0,'Données projet'!$E$16+1,1))-AVERAGE(OFFSET($H$3,0,0,'Données projet'!$E$16+1,1))</f>
        <v>534.54020133239135</v>
      </c>
      <c r="FK151" s="59">
        <f t="shared" si="156"/>
        <v>515.48696069008815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17.596420857567789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17.596420857567789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248.99999999999994</v>
      </c>
      <c r="GA151" s="17">
        <f>FZ151*VLOOKUP('Données projet'!$B$17,Paramètres!$A$1:$I$89,3,0)*VLOOKUP('Données projet'!$B$17,Paramètres!$A$1:$I$89,5,0)</f>
        <v>236.94839999999994</v>
      </c>
      <c r="GB151" s="13">
        <f t="shared" si="157"/>
        <v>57.782475694292401</v>
      </c>
      <c r="GC151" s="20">
        <f t="shared" si="133"/>
        <v>513.32294183422573</v>
      </c>
      <c r="GD151" s="59">
        <f t="shared" si="134"/>
        <v>806.65627516755899</v>
      </c>
      <c r="GE151" s="59">
        <f ca="1">AVERAGE(OFFSET($GD$3,0,0,'Données projet'!$E$17+1,1))-AVERAGE(OFFSET($H$3,0,0,'Données projet'!$E$17+1,1))</f>
        <v>455.71329051283936</v>
      </c>
      <c r="GF151" s="59">
        <f t="shared" si="158"/>
        <v>479.3743231122258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40.868991947878385</v>
      </c>
      <c r="GM151" s="21">
        <f>EXP(-LN(2)/25)*GM150+(1-EXP(-LN(2)/25))/(LN(2)/25)*Calculateur!GH151*Calculateur!GJ151*VLOOKUP('Données projet'!$B$17,Paramètres!$A$1:$I$89,3,0)*0.475*44/12</f>
        <v>0</v>
      </c>
      <c r="GN151" s="21">
        <f>EXP(-LN(2)/2)*GN150+(1-EXP(-LN(2)/2))/(LN(2)/2)*GH151*GK151*VLOOKUP('Données projet'!$B$17,Paramètres!$A$1:$I$89,3,0)*0.475*44/12</f>
        <v>0</v>
      </c>
      <c r="GO151" s="21">
        <f t="shared" si="135"/>
        <v>40.868991947878385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367.99999999999972</v>
      </c>
      <c r="GV151" s="17">
        <f>GU151*VLOOKUP('Données projet'!$B$18,Paramètres!$A$1:$I$89,3,0)*VLOOKUP('Données projet'!$B$18,Paramètres!$A$1:$I$89,5,0)</f>
        <v>298.52159999999981</v>
      </c>
      <c r="GW151" s="13">
        <f t="shared" si="159"/>
        <v>70.866444995542437</v>
      </c>
      <c r="GX151" s="20">
        <f t="shared" si="136"/>
        <v>643.35084503390271</v>
      </c>
      <c r="GY151" s="59">
        <f t="shared" si="137"/>
        <v>936.68417836723597</v>
      </c>
      <c r="GZ151" s="59">
        <f ca="1">AVERAGE(OFFSET($GY$3,0,0,'Données projet'!$E$18+1,1))-AVERAGE(OFFSET($H$3,0,0,'Données projet'!$E$18+1,1))</f>
        <v>412.59676769258488</v>
      </c>
      <c r="HA151" s="59">
        <f t="shared" si="160"/>
        <v>399.90063795152133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13.261070791210502</v>
      </c>
      <c r="HH151" s="21">
        <f>EXP(-LN(2)/25)*HH150+(1-EXP(-LN(2)/25))/(LN(2)/25)*Calculateur!HC151*Calculateur!HE151*VLOOKUP('Données projet'!$B$18,Paramètres!$A$1:$I$89,3,0)*0.475*44/12</f>
        <v>0</v>
      </c>
      <c r="HI151" s="21">
        <f>EXP(-LN(2)/2)*HI150+(1-EXP(-LN(2)/2))/(LN(2)/2)*HC151*HF151*VLOOKUP('Données projet'!$B$18,Paramètres!$A$1:$I$89,3,0)*0.475*44/12</f>
        <v>0</v>
      </c>
      <c r="HJ151" s="22">
        <f t="shared" si="138"/>
        <v>13.261070791210502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306.99999999999994</v>
      </c>
      <c r="O152" s="13">
        <f>N152*VLOOKUP('Données projet'!$B$9,Paramètres!$A$1:$I$89,3,0)*VLOOKUP('Données projet'!$B$9,Paramètres!$A$1:$I$89,5,0)</f>
        <v>277.77359999999993</v>
      </c>
      <c r="P152" s="13">
        <f t="shared" si="141"/>
        <v>66.496288176842356</v>
      </c>
      <c r="Q152" s="20">
        <f t="shared" si="108"/>
        <v>599.60338857466706</v>
      </c>
      <c r="R152" s="59">
        <f t="shared" si="109"/>
        <v>892.93672190800044</v>
      </c>
      <c r="S152" s="59">
        <f ca="1">AVERAGE(OFFSET($R$3,0,0,'Données projet'!$E$9+1,1))-AVERAGE(OFFSET($H$3,0,0,'Données projet'!$E$9+1,1))</f>
        <v>439.19854273764042</v>
      </c>
      <c r="T152" s="59">
        <f t="shared" si="142"/>
        <v>278.21741231699929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51.049707953136789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51.049707953136789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306.99999999999994</v>
      </c>
      <c r="AJ152" s="13">
        <f>AI152*VLOOKUP('Données projet'!$B$10,Paramètres!$A$1:$I$89,3,0)*VLOOKUP('Données projet'!$B$10,Paramètres!$A$1:$I$89,5,0)</f>
        <v>311.298</v>
      </c>
      <c r="AK152" s="13">
        <f t="shared" si="143"/>
        <v>73.539838278528748</v>
      </c>
      <c r="AL152" s="20">
        <f t="shared" si="112"/>
        <v>670.25923500177089</v>
      </c>
      <c r="AM152" s="59">
        <f t="shared" si="113"/>
        <v>963.59256833510426</v>
      </c>
      <c r="AN152" s="59">
        <f ca="1">AVERAGE(OFFSET($AM$3,0,0,'Données projet'!$E$10+1,1))-AVERAGE(OFFSET($H$3,0,0,'Données projet'!$E$10+1,1))</f>
        <v>487.18832528146936</v>
      </c>
      <c r="AO152" s="59">
        <f t="shared" si="144"/>
        <v>306.61893266146666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57.210879602653321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57.210879602653321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369.00000000000023</v>
      </c>
      <c r="BE152" s="13">
        <f>BD152*VLOOKUP('Données projet'!$B$11,Paramètres!$A$1:$I$89,3,0)*VLOOKUP('Données projet'!$B$11,Paramètres!$A$1:$I$89,5,0)</f>
        <v>333.87120000000021</v>
      </c>
      <c r="BF152" s="13">
        <f t="shared" si="145"/>
        <v>78.23236011137638</v>
      </c>
      <c r="BG152" s="20">
        <f t="shared" si="115"/>
        <v>717.74703386064755</v>
      </c>
      <c r="BH152" s="59">
        <f t="shared" si="116"/>
        <v>1011.0803671939809</v>
      </c>
      <c r="BI152" s="59">
        <f ca="1">AVERAGE(OFFSET($BH$3,0,0,'Données projet'!$E$11+1,1))-AVERAGE(OFFSET($H$3,0,0,'Données projet'!$E$11+1,1))</f>
        <v>436.23918637269577</v>
      </c>
      <c r="BJ152" s="59">
        <f t="shared" si="146"/>
        <v>611.43967996341894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1.001432927844224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1.001432927844224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224.00000000000006</v>
      </c>
      <c r="BZ152" s="13">
        <f>BY152*VLOOKUP('Données projet'!$B$12,Paramètres!$A$1:$I$89,3,0)*VLOOKUP('Données projet'!$B$12,Paramètres!$A$1:$I$89,5,0)</f>
        <v>195.68640000000008</v>
      </c>
      <c r="CA152" s="13">
        <f t="shared" si="147"/>
        <v>48.794969360985156</v>
      </c>
      <c r="CB152" s="20">
        <f t="shared" si="118"/>
        <v>425.8050516370493</v>
      </c>
      <c r="CC152" s="59">
        <f t="shared" si="119"/>
        <v>719.13838497038262</v>
      </c>
      <c r="CD152" s="59">
        <f ca="1">AVERAGE(OFFSET($CC$3,0,0,'Données projet'!$E$12+1,1))-AVERAGE(OFFSET($H$3,0,0,'Données projet'!$E$12+1,1))</f>
        <v>304.32767345253382</v>
      </c>
      <c r="CE152" s="59">
        <f t="shared" si="148"/>
        <v>427.16091343339173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10.814461470981923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10.814461470981923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739.99999999999966</v>
      </c>
      <c r="CU152" s="17">
        <f>CT152*VLOOKUP('Données projet'!$B$13,Paramètres!$A$1:$I$89,3,0)*VLOOKUP('Données projet'!$B$13,Paramètres!$A$1:$I$89,5,0)</f>
        <v>413.65999999999985</v>
      </c>
      <c r="CV152" s="13">
        <f t="shared" si="149"/>
        <v>94.540585122244352</v>
      </c>
      <c r="CW152" s="20">
        <f t="shared" si="121"/>
        <v>885.11601908790863</v>
      </c>
      <c r="CX152" s="59">
        <f t="shared" si="122"/>
        <v>1178.4493524212419</v>
      </c>
      <c r="CY152" s="59">
        <f ca="1">AVERAGE(OFFSET($CX$3,0,0,'Données projet'!$E$13+1,1))-AVERAGE(OFFSET($H$3,0,0,'Données projet'!$E$13+1,1))</f>
        <v>555.15881087162279</v>
      </c>
      <c r="CZ152" s="59">
        <f t="shared" si="150"/>
        <v>668.20427590250733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21.192242632649165</v>
      </c>
      <c r="DG152" s="21">
        <f>EXP(-LN(2)/25)*DG151+(1-EXP(-LN(2)/25))/(LN(2)/25)*Calculateur!DB152*Calculateur!DD152*VLOOKUP('Données projet'!$B$13,Paramètres!$A$1:$I$89,3,0)*0.475*44/12</f>
        <v>2.1324909160957115</v>
      </c>
      <c r="DH152" s="21">
        <f>EXP(-LN(2)/2)*DH151+(1-EXP(-LN(2)/2))/(LN(2)/2)*DB152*DE152*VLOOKUP('Données projet'!$B$13,Paramètres!$A$1:$I$89,3,0)*0.475*44/12</f>
        <v>1.0432324377755309E-18</v>
      </c>
      <c r="DI152" s="22">
        <f t="shared" si="123"/>
        <v>23.324733548744877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911.99999999999898</v>
      </c>
      <c r="DP152" s="17">
        <f>DO152*VLOOKUP('Données projet'!$B$14,Paramètres!$A$1:$I$89,3,0)*VLOOKUP('Données projet'!$B$14,Paramètres!$A$1:$I$89,5,0)</f>
        <v>426.81599999999946</v>
      </c>
      <c r="DQ152" s="13">
        <f t="shared" si="151"/>
        <v>97.192496986872399</v>
      </c>
      <c r="DR152" s="20">
        <f t="shared" si="124"/>
        <v>912.64813225213504</v>
      </c>
      <c r="DS152" s="59">
        <f t="shared" si="125"/>
        <v>1205.9814655854684</v>
      </c>
      <c r="DT152" s="59">
        <f ca="1">AVERAGE(OFFSET($DS$3,0,0,'Données projet'!$E$14+1,1))-AVERAGE(OFFSET($H$3,0,0,'Données projet'!$E$14+1,1))</f>
        <v>523.79180230463714</v>
      </c>
      <c r="DU152" s="59">
        <f t="shared" si="152"/>
        <v>459.3547783500515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37.89958808414189</v>
      </c>
      <c r="EB152" s="21">
        <f>EXP(-LN(2)/25)*EB151+(1-EXP(-LN(2)/25))/(LN(2)/25)*Calculateur!DW152*Calculateur!DY152*VLOOKUP('Données projet'!$B$14,Paramètres!$A$1:$I$89,3,0)*0.475*44/12</f>
        <v>1.9722842189789487</v>
      </c>
      <c r="EC152" s="21">
        <f>EXP(-LN(2)/2)*EC151+(1-EXP(-LN(2)/2))/(LN(2)/2)*DW152*DZ152*VLOOKUP('Données projet'!$B$14,Paramètres!$A$1:$I$89,3,0)*0.475*44/12</f>
        <v>1.4624437418681304E-18</v>
      </c>
      <c r="ED152" s="22">
        <f t="shared" si="126"/>
        <v>39.871872303120838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367.99999999999972</v>
      </c>
      <c r="EK152" s="17">
        <f>EJ152*VLOOKUP('Données projet'!$B$15,Paramètres!$A$1:$I$89,3,0)*VLOOKUP('Données projet'!$B$15,Paramètres!$A$1:$I$89,5,0)</f>
        <v>355.92959999999977</v>
      </c>
      <c r="EL152" s="13">
        <f t="shared" si="153"/>
        <v>82.782281100458206</v>
      </c>
      <c r="EM152" s="20">
        <f t="shared" si="127"/>
        <v>764.08985958329765</v>
      </c>
      <c r="EN152" s="59">
        <f t="shared" si="128"/>
        <v>1057.423192916631</v>
      </c>
      <c r="EO152" s="59">
        <f ca="1">AVERAGE(OFFSET($EN$3,0,0,'Données projet'!$E$15+1,1))-AVERAGE(OFFSET($H$3,0,0,'Données projet'!$E$15+1,1))</f>
        <v>484.41278617935654</v>
      </c>
      <c r="EP152" s="59">
        <f t="shared" si="154"/>
        <v>467.97490540700738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15.501227220189634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15.501227220189634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367.99999999999972</v>
      </c>
      <c r="FF152" s="17">
        <f>FE152*VLOOKUP('Données projet'!$B$16,Paramètres!$A$1:$I$89,3,0)*VLOOKUP('Données projet'!$B$16,Paramètres!$A$1:$I$89,5,0)</f>
        <v>396.11519999999967</v>
      </c>
      <c r="FG152" s="13">
        <f t="shared" si="155"/>
        <v>90.988634849704994</v>
      </c>
      <c r="FH152" s="20">
        <f t="shared" si="130"/>
        <v>848.37251236323561</v>
      </c>
      <c r="FI152" s="59">
        <f t="shared" si="131"/>
        <v>1141.705845696569</v>
      </c>
      <c r="FJ152" s="59">
        <f ca="1">AVERAGE(OFFSET($FI$3,0,0,'Données projet'!$E$16+1,1))-AVERAGE(OFFSET($H$3,0,0,'Données projet'!$E$16+1,1))</f>
        <v>534.54020133239135</v>
      </c>
      <c r="FK152" s="59">
        <f t="shared" si="156"/>
        <v>515.48696069008815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17.251365777307836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17.251365777307836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248.99999999999994</v>
      </c>
      <c r="GA152" s="17">
        <f>FZ152*VLOOKUP('Données projet'!$B$17,Paramètres!$A$1:$I$89,3,0)*VLOOKUP('Données projet'!$B$17,Paramètres!$A$1:$I$89,5,0)</f>
        <v>236.94839999999994</v>
      </c>
      <c r="GB152" s="13">
        <f t="shared" si="157"/>
        <v>57.782475694292401</v>
      </c>
      <c r="GC152" s="20">
        <f t="shared" si="133"/>
        <v>513.32294183422573</v>
      </c>
      <c r="GD152" s="59">
        <f t="shared" si="134"/>
        <v>806.65627516755899</v>
      </c>
      <c r="GE152" s="59">
        <f ca="1">AVERAGE(OFFSET($GD$3,0,0,'Données projet'!$E$17+1,1))-AVERAGE(OFFSET($H$3,0,0,'Données projet'!$E$17+1,1))</f>
        <v>455.71329051283936</v>
      </c>
      <c r="GF152" s="59">
        <f t="shared" si="158"/>
        <v>479.3743231122258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40.067575943404179</v>
      </c>
      <c r="GM152" s="21">
        <f>EXP(-LN(2)/25)*GM151+(1-EXP(-LN(2)/25))/(LN(2)/25)*Calculateur!GH152*Calculateur!GJ152*VLOOKUP('Données projet'!$B$17,Paramètres!$A$1:$I$89,3,0)*0.475*44/12</f>
        <v>0</v>
      </c>
      <c r="GN152" s="21">
        <f>EXP(-LN(2)/2)*GN151+(1-EXP(-LN(2)/2))/(LN(2)/2)*GH152*GK152*VLOOKUP('Données projet'!$B$17,Paramètres!$A$1:$I$89,3,0)*0.475*44/12</f>
        <v>0</v>
      </c>
      <c r="GO152" s="21">
        <f t="shared" si="135"/>
        <v>40.067575943404179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367.99999999999972</v>
      </c>
      <c r="GV152" s="17">
        <f>GU152*VLOOKUP('Données projet'!$B$18,Paramètres!$A$1:$I$89,3,0)*VLOOKUP('Données projet'!$B$18,Paramètres!$A$1:$I$89,5,0)</f>
        <v>298.52159999999981</v>
      </c>
      <c r="GW152" s="13">
        <f t="shared" si="159"/>
        <v>70.866444995542437</v>
      </c>
      <c r="GX152" s="20">
        <f t="shared" si="136"/>
        <v>643.35084503390271</v>
      </c>
      <c r="GY152" s="59">
        <f t="shared" si="137"/>
        <v>936.68417836723597</v>
      </c>
      <c r="GZ152" s="59">
        <f ca="1">AVERAGE(OFFSET($GY$3,0,0,'Données projet'!$E$18+1,1))-AVERAGE(OFFSET($H$3,0,0,'Données projet'!$E$18+1,1))</f>
        <v>412.59676769258488</v>
      </c>
      <c r="HA152" s="59">
        <f t="shared" si="160"/>
        <v>399.90063795152133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13.001029281449378</v>
      </c>
      <c r="HH152" s="21">
        <f>EXP(-LN(2)/25)*HH151+(1-EXP(-LN(2)/25))/(LN(2)/25)*Calculateur!HC152*Calculateur!HE152*VLOOKUP('Données projet'!$B$18,Paramètres!$A$1:$I$89,3,0)*0.475*44/12</f>
        <v>0</v>
      </c>
      <c r="HI152" s="21">
        <f>EXP(-LN(2)/2)*HI151+(1-EXP(-LN(2)/2))/(LN(2)/2)*HC152*HF152*VLOOKUP('Données projet'!$B$18,Paramètres!$A$1:$I$89,3,0)*0.475*44/12</f>
        <v>0</v>
      </c>
      <c r="HJ152" s="22">
        <f t="shared" si="138"/>
        <v>13.001029281449378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306.99999999999994</v>
      </c>
      <c r="O153" s="13">
        <f>N153*VLOOKUP('Données projet'!$B$9,Paramètres!$A$1:$I$89,3,0)*VLOOKUP('Données projet'!$B$9,Paramètres!$A$1:$I$89,5,0)</f>
        <v>277.77359999999993</v>
      </c>
      <c r="P153" s="13">
        <f t="shared" si="141"/>
        <v>66.496288176842356</v>
      </c>
      <c r="Q153" s="20">
        <f t="shared" si="108"/>
        <v>599.60338857466706</v>
      </c>
      <c r="R153" s="59">
        <f t="shared" si="109"/>
        <v>892.93672190800044</v>
      </c>
      <c r="S153" s="59">
        <f ca="1">AVERAGE(OFFSET($R$3,0,0,'Données projet'!$E$9+1,1))-AVERAGE(OFFSET($H$3,0,0,'Données projet'!$E$9+1,1))</f>
        <v>439.19854273764042</v>
      </c>
      <c r="T153" s="59">
        <f t="shared" si="142"/>
        <v>278.21741231699929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50.048654317423079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50.048654317423079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306.99999999999994</v>
      </c>
      <c r="AJ153" s="13">
        <f>AI153*VLOOKUP('Données projet'!$B$10,Paramètres!$A$1:$I$89,3,0)*VLOOKUP('Données projet'!$B$10,Paramètres!$A$1:$I$89,5,0)</f>
        <v>311.298</v>
      </c>
      <c r="AK153" s="13">
        <f t="shared" si="143"/>
        <v>73.539838278528748</v>
      </c>
      <c r="AL153" s="20">
        <f t="shared" si="112"/>
        <v>670.25923500177089</v>
      </c>
      <c r="AM153" s="59">
        <f t="shared" si="113"/>
        <v>963.59256833510426</v>
      </c>
      <c r="AN153" s="59">
        <f ca="1">AVERAGE(OFFSET($AM$3,0,0,'Données projet'!$E$10+1,1))-AVERAGE(OFFSET($H$3,0,0,'Données projet'!$E$10+1,1))</f>
        <v>487.18832528146936</v>
      </c>
      <c r="AO153" s="59">
        <f t="shared" si="144"/>
        <v>306.61893266146666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56.089009148836233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56.089009148836233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369.00000000000023</v>
      </c>
      <c r="BE153" s="13">
        <f>BD153*VLOOKUP('Données projet'!$B$11,Paramètres!$A$1:$I$89,3,0)*VLOOKUP('Données projet'!$B$11,Paramètres!$A$1:$I$89,5,0)</f>
        <v>333.87120000000021</v>
      </c>
      <c r="BF153" s="13">
        <f t="shared" si="145"/>
        <v>78.23236011137638</v>
      </c>
      <c r="BG153" s="20">
        <f t="shared" si="115"/>
        <v>717.74703386064755</v>
      </c>
      <c r="BH153" s="59">
        <f t="shared" si="116"/>
        <v>1011.0803671939809</v>
      </c>
      <c r="BI153" s="59">
        <f ca="1">AVERAGE(OFFSET($BH$3,0,0,'Données projet'!$E$11+1,1))-AVERAGE(OFFSET($H$3,0,0,'Données projet'!$E$11+1,1))</f>
        <v>436.23918637269577</v>
      </c>
      <c r="BJ153" s="59">
        <f t="shared" si="146"/>
        <v>611.43967996341894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0.98179543894297194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0.98179543894297194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224.00000000000006</v>
      </c>
      <c r="BZ153" s="13">
        <f>BY153*VLOOKUP('Données projet'!$B$12,Paramètres!$A$1:$I$89,3,0)*VLOOKUP('Données projet'!$B$12,Paramètres!$A$1:$I$89,5,0)</f>
        <v>195.68640000000008</v>
      </c>
      <c r="CA153" s="13">
        <f t="shared" si="147"/>
        <v>48.794969360985156</v>
      </c>
      <c r="CB153" s="20">
        <f t="shared" si="118"/>
        <v>425.8050516370493</v>
      </c>
      <c r="CC153" s="59">
        <f t="shared" si="119"/>
        <v>719.13838497038262</v>
      </c>
      <c r="CD153" s="59">
        <f ca="1">AVERAGE(OFFSET($CC$3,0,0,'Données projet'!$E$12+1,1))-AVERAGE(OFFSET($H$3,0,0,'Données projet'!$E$12+1,1))</f>
        <v>304.32767345253382</v>
      </c>
      <c r="CE153" s="59">
        <f t="shared" si="148"/>
        <v>427.16091343339173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10.602396477706147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10.602396477706147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739.99999999999966</v>
      </c>
      <c r="CU153" s="17">
        <f>CT153*VLOOKUP('Données projet'!$B$13,Paramètres!$A$1:$I$89,3,0)*VLOOKUP('Données projet'!$B$13,Paramètres!$A$1:$I$89,5,0)</f>
        <v>413.65999999999985</v>
      </c>
      <c r="CV153" s="13">
        <f t="shared" si="149"/>
        <v>94.540585122244352</v>
      </c>
      <c r="CW153" s="20">
        <f t="shared" si="121"/>
        <v>885.11601908790863</v>
      </c>
      <c r="CX153" s="59">
        <f t="shared" si="122"/>
        <v>1178.4493524212419</v>
      </c>
      <c r="CY153" s="59">
        <f ca="1">AVERAGE(OFFSET($CX$3,0,0,'Données projet'!$E$13+1,1))-AVERAGE(OFFSET($H$3,0,0,'Données projet'!$E$13+1,1))</f>
        <v>555.15881087162279</v>
      </c>
      <c r="CZ153" s="59">
        <f t="shared" si="150"/>
        <v>668.20427590250733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20.776675680614584</v>
      </c>
      <c r="DG153" s="21">
        <f>EXP(-LN(2)/25)*DG152+(1-EXP(-LN(2)/25))/(LN(2)/25)*Calculateur!DB153*Calculateur!DD153*VLOOKUP('Données projet'!$B$13,Paramètres!$A$1:$I$89,3,0)*0.475*44/12</f>
        <v>2.074177839852251</v>
      </c>
      <c r="DH153" s="21">
        <f>EXP(-LN(2)/2)*DH152+(1-EXP(-LN(2)/2))/(LN(2)/2)*DB153*DE153*VLOOKUP('Données projet'!$B$13,Paramètres!$A$1:$I$89,3,0)*0.475*44/12</f>
        <v>7.3767673110485088E-19</v>
      </c>
      <c r="DI153" s="22">
        <f t="shared" si="123"/>
        <v>22.850853520466835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911.99999999999898</v>
      </c>
      <c r="DP153" s="17">
        <f>DO153*VLOOKUP('Données projet'!$B$14,Paramètres!$A$1:$I$89,3,0)*VLOOKUP('Données projet'!$B$14,Paramètres!$A$1:$I$89,5,0)</f>
        <v>426.81599999999946</v>
      </c>
      <c r="DQ153" s="13">
        <f t="shared" si="151"/>
        <v>97.192496986872399</v>
      </c>
      <c r="DR153" s="20">
        <f t="shared" si="124"/>
        <v>912.64813225213504</v>
      </c>
      <c r="DS153" s="59">
        <f t="shared" si="125"/>
        <v>1205.9814655854684</v>
      </c>
      <c r="DT153" s="59">
        <f ca="1">AVERAGE(OFFSET($DS$3,0,0,'Données projet'!$E$14+1,1))-AVERAGE(OFFSET($H$3,0,0,'Données projet'!$E$14+1,1))</f>
        <v>523.79180230463714</v>
      </c>
      <c r="DU153" s="59">
        <f t="shared" si="152"/>
        <v>459.3547783500515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37.156400278278035</v>
      </c>
      <c r="EB153" s="21">
        <f>EXP(-LN(2)/25)*EB152+(1-EXP(-LN(2)/25))/(LN(2)/25)*Calculateur!DW153*Calculateur!DY153*VLOOKUP('Données projet'!$B$14,Paramètres!$A$1:$I$89,3,0)*0.475*44/12</f>
        <v>1.9183520032930499</v>
      </c>
      <c r="EC153" s="21">
        <f>EXP(-LN(2)/2)*EC152+(1-EXP(-LN(2)/2))/(LN(2)/2)*DW153*DZ153*VLOOKUP('Données projet'!$B$14,Paramètres!$A$1:$I$89,3,0)*0.475*44/12</f>
        <v>1.0341038869787839E-18</v>
      </c>
      <c r="ED153" s="22">
        <f t="shared" si="126"/>
        <v>39.074752281571087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367.99999999999972</v>
      </c>
      <c r="EK153" s="17">
        <f>EJ153*VLOOKUP('Données projet'!$B$15,Paramètres!$A$1:$I$89,3,0)*VLOOKUP('Données projet'!$B$15,Paramètres!$A$1:$I$89,5,0)</f>
        <v>355.92959999999977</v>
      </c>
      <c r="EL153" s="13">
        <f t="shared" si="153"/>
        <v>82.782281100458206</v>
      </c>
      <c r="EM153" s="20">
        <f t="shared" si="127"/>
        <v>764.08985958329765</v>
      </c>
      <c r="EN153" s="59">
        <f t="shared" si="128"/>
        <v>1057.423192916631</v>
      </c>
      <c r="EO153" s="59">
        <f ca="1">AVERAGE(OFFSET($EN$3,0,0,'Données projet'!$E$15+1,1))-AVERAGE(OFFSET($H$3,0,0,'Données projet'!$E$15+1,1))</f>
        <v>484.41278617935654</v>
      </c>
      <c r="EP153" s="59">
        <f t="shared" si="154"/>
        <v>467.97490540700738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15.197257609216734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15.197257609216734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367.99999999999972</v>
      </c>
      <c r="FF153" s="17">
        <f>FE153*VLOOKUP('Données projet'!$B$16,Paramètres!$A$1:$I$89,3,0)*VLOOKUP('Données projet'!$B$16,Paramètres!$A$1:$I$89,5,0)</f>
        <v>396.11519999999967</v>
      </c>
      <c r="FG153" s="13">
        <f t="shared" si="155"/>
        <v>90.988634849704994</v>
      </c>
      <c r="FH153" s="20">
        <f t="shared" si="130"/>
        <v>848.37251236323561</v>
      </c>
      <c r="FI153" s="59">
        <f t="shared" si="131"/>
        <v>1141.705845696569</v>
      </c>
      <c r="FJ153" s="59">
        <f ca="1">AVERAGE(OFFSET($FI$3,0,0,'Données projet'!$E$16+1,1))-AVERAGE(OFFSET($H$3,0,0,'Données projet'!$E$16+1,1))</f>
        <v>534.54020133239135</v>
      </c>
      <c r="FK153" s="59">
        <f t="shared" si="156"/>
        <v>515.48696069008815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16.913077016708964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16.913077016708964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248.99999999999994</v>
      </c>
      <c r="GA153" s="17">
        <f>FZ153*VLOOKUP('Données projet'!$B$17,Paramètres!$A$1:$I$89,3,0)*VLOOKUP('Données projet'!$B$17,Paramètres!$A$1:$I$89,5,0)</f>
        <v>236.94839999999994</v>
      </c>
      <c r="GB153" s="13">
        <f t="shared" si="157"/>
        <v>57.782475694292401</v>
      </c>
      <c r="GC153" s="20">
        <f t="shared" si="133"/>
        <v>513.32294183422573</v>
      </c>
      <c r="GD153" s="59">
        <f t="shared" si="134"/>
        <v>806.65627516755899</v>
      </c>
      <c r="GE153" s="59">
        <f ca="1">AVERAGE(OFFSET($GD$3,0,0,'Données projet'!$E$17+1,1))-AVERAGE(OFFSET($H$3,0,0,'Données projet'!$E$17+1,1))</f>
        <v>455.71329051283936</v>
      </c>
      <c r="GF153" s="59">
        <f t="shared" si="158"/>
        <v>479.3743231122258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39.281875217962217</v>
      </c>
      <c r="GM153" s="21">
        <f>EXP(-LN(2)/25)*GM152+(1-EXP(-LN(2)/25))/(LN(2)/25)*Calculateur!GH153*Calculateur!GJ153*VLOOKUP('Données projet'!$B$17,Paramètres!$A$1:$I$89,3,0)*0.475*44/12</f>
        <v>0</v>
      </c>
      <c r="GN153" s="21">
        <f>EXP(-LN(2)/2)*GN152+(1-EXP(-LN(2)/2))/(LN(2)/2)*GH153*GK153*VLOOKUP('Données projet'!$B$17,Paramètres!$A$1:$I$89,3,0)*0.475*44/12</f>
        <v>0</v>
      </c>
      <c r="GO153" s="21">
        <f t="shared" si="135"/>
        <v>39.281875217962217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367.99999999999972</v>
      </c>
      <c r="GV153" s="17">
        <f>GU153*VLOOKUP('Données projet'!$B$18,Paramètres!$A$1:$I$89,3,0)*VLOOKUP('Données projet'!$B$18,Paramètres!$A$1:$I$89,5,0)</f>
        <v>298.52159999999981</v>
      </c>
      <c r="GW153" s="13">
        <f t="shared" si="159"/>
        <v>70.866444995542437</v>
      </c>
      <c r="GX153" s="20">
        <f t="shared" si="136"/>
        <v>643.35084503390271</v>
      </c>
      <c r="GY153" s="59">
        <f t="shared" si="137"/>
        <v>936.68417836723597</v>
      </c>
      <c r="GZ153" s="59">
        <f ca="1">AVERAGE(OFFSET($GY$3,0,0,'Données projet'!$E$18+1,1))-AVERAGE(OFFSET($H$3,0,0,'Données projet'!$E$18+1,1))</f>
        <v>412.59676769258488</v>
      </c>
      <c r="HA153" s="59">
        <f t="shared" si="160"/>
        <v>399.90063795152133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12.746087027085011</v>
      </c>
      <c r="HH153" s="21">
        <f>EXP(-LN(2)/25)*HH152+(1-EXP(-LN(2)/25))/(LN(2)/25)*Calculateur!HC153*Calculateur!HE153*VLOOKUP('Données projet'!$B$18,Paramètres!$A$1:$I$89,3,0)*0.475*44/12</f>
        <v>0</v>
      </c>
      <c r="HI153" s="21">
        <f>EXP(-LN(2)/2)*HI152+(1-EXP(-LN(2)/2))/(LN(2)/2)*HC153*HF153*VLOOKUP('Données projet'!$B$18,Paramètres!$A$1:$I$89,3,0)*0.475*44/12</f>
        <v>0</v>
      </c>
      <c r="HJ153" s="22">
        <f t="shared" si="138"/>
        <v>12.746087027085011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306.99999999999994</v>
      </c>
      <c r="O154" s="13">
        <f>N154*VLOOKUP('Données projet'!$B$9,Paramètres!$A$1:$I$89,3,0)*VLOOKUP('Données projet'!$B$9,Paramètres!$A$1:$I$89,5,0)</f>
        <v>277.77359999999993</v>
      </c>
      <c r="P154" s="13">
        <f t="shared" si="141"/>
        <v>66.496288176842356</v>
      </c>
      <c r="Q154" s="20">
        <f t="shared" ref="Q154:Q203" si="162">(O154+P154)*0.475*44/12</f>
        <v>599.60338857466706</v>
      </c>
      <c r="R154" s="59">
        <f t="shared" si="109"/>
        <v>892.93672190800044</v>
      </c>
      <c r="S154" s="59">
        <f ca="1">AVERAGE(OFFSET($R$3,0,0,'Données projet'!$E$9+1,1))-AVERAGE(OFFSET($H$3,0,0,'Données projet'!$E$9+1,1))</f>
        <v>439.19854273764042</v>
      </c>
      <c r="T154" s="59">
        <f t="shared" si="142"/>
        <v>278.21741231699929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49.067230732923285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49.067230732923285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306.99999999999994</v>
      </c>
      <c r="AJ154" s="13">
        <f>AI154*VLOOKUP('Données projet'!$B$10,Paramètres!$A$1:$I$89,3,0)*VLOOKUP('Données projet'!$B$10,Paramètres!$A$1:$I$89,5,0)</f>
        <v>311.298</v>
      </c>
      <c r="AK154" s="13">
        <f t="shared" ref="AK154:AK203" si="164">EXP(-1.0587+0.8836*LN(AJ154)+0.284)</f>
        <v>73.539838278528748</v>
      </c>
      <c r="AL154" s="20">
        <f t="shared" ref="AL154:AL203" si="165">(AJ154+AK154)*0.475*44/12</f>
        <v>670.25923500177089</v>
      </c>
      <c r="AM154" s="59">
        <f t="shared" si="113"/>
        <v>963.59256833510426</v>
      </c>
      <c r="AN154" s="59">
        <f ca="1">AVERAGE(OFFSET($AM$3,0,0,'Données projet'!$E$10+1,1))-AVERAGE(OFFSET($H$3,0,0,'Données projet'!$E$10+1,1))</f>
        <v>487.18832528146936</v>
      </c>
      <c r="AO154" s="59">
        <f t="shared" si="144"/>
        <v>306.61893266146666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54.989137890345084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54.989137890345084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369.00000000000023</v>
      </c>
      <c r="BE154" s="13">
        <f>BD154*VLOOKUP('Données projet'!$B$11,Paramètres!$A$1:$I$89,3,0)*VLOOKUP('Données projet'!$B$11,Paramètres!$A$1:$I$89,5,0)</f>
        <v>333.87120000000021</v>
      </c>
      <c r="BF154" s="13">
        <f t="shared" ref="BF154:BF203" si="167">EXP(-1.0587+0.8836*LN(BE154)+0.284)</f>
        <v>78.23236011137638</v>
      </c>
      <c r="BG154" s="20">
        <f t="shared" ref="BG154:BG203" si="168">(BE154+BF154)*0.475*44/12</f>
        <v>717.74703386064755</v>
      </c>
      <c r="BH154" s="59">
        <f t="shared" si="116"/>
        <v>1011.0803671939809</v>
      </c>
      <c r="BI154" s="59">
        <f ca="1">AVERAGE(OFFSET($BH$3,0,0,'Données projet'!$E$11+1,1))-AVERAGE(OFFSET($H$3,0,0,'Données projet'!$E$11+1,1))</f>
        <v>436.23918637269577</v>
      </c>
      <c r="BJ154" s="59">
        <f t="shared" si="146"/>
        <v>611.43967996341894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0.9625430292213879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0.9625430292213879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224.00000000000006</v>
      </c>
      <c r="BZ154" s="13">
        <f>BY154*VLOOKUP('Données projet'!$B$12,Paramètres!$A$1:$I$89,3,0)*VLOOKUP('Données projet'!$B$12,Paramètres!$A$1:$I$89,5,0)</f>
        <v>195.68640000000008</v>
      </c>
      <c r="CA154" s="13">
        <f t="shared" ref="CA154:CA203" si="170">EXP(-1.0587+0.8836*LN(BZ154)+0.284)</f>
        <v>48.794969360985156</v>
      </c>
      <c r="CB154" s="20">
        <f t="shared" ref="CB154:CB203" si="171">(BZ154+CA154)*0.475*44/12</f>
        <v>425.8050516370493</v>
      </c>
      <c r="CC154" s="59">
        <f t="shared" si="119"/>
        <v>719.13838497038262</v>
      </c>
      <c r="CD154" s="59">
        <f ca="1">AVERAGE(OFFSET($CC$3,0,0,'Données projet'!$E$12+1,1))-AVERAGE(OFFSET($H$3,0,0,'Données projet'!$E$12+1,1))</f>
        <v>304.32767345253382</v>
      </c>
      <c r="CE154" s="59">
        <f t="shared" si="148"/>
        <v>427.16091343339173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10.394489949601635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10.394489949601635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739.99999999999966</v>
      </c>
      <c r="CU154" s="17">
        <f>CT154*VLOOKUP('Données projet'!$B$13,Paramètres!$A$1:$I$89,3,0)*VLOOKUP('Données projet'!$B$13,Paramètres!$A$1:$I$89,5,0)</f>
        <v>413.65999999999985</v>
      </c>
      <c r="CV154" s="13">
        <f t="shared" ref="CV154:CV203" si="173">EXP(-1.0587+0.8836*LN(CU154)+0.284)</f>
        <v>94.540585122244352</v>
      </c>
      <c r="CW154" s="20">
        <f t="shared" ref="CW154:CW203" si="174">(CU154+CV154)*0.475*44/12</f>
        <v>885.11601908790863</v>
      </c>
      <c r="CX154" s="59">
        <f t="shared" si="122"/>
        <v>1178.4493524212419</v>
      </c>
      <c r="CY154" s="59">
        <f ca="1">AVERAGE(OFFSET($CX$3,0,0,'Données projet'!$E$13+1,1))-AVERAGE(OFFSET($H$3,0,0,'Données projet'!$E$13+1,1))</f>
        <v>555.15881087162279</v>
      </c>
      <c r="CZ154" s="59">
        <f t="shared" si="150"/>
        <v>668.20427590250733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20.369257743038588</v>
      </c>
      <c r="DG154" s="21">
        <f>EXP(-LN(2)/25)*DG153+(1-EXP(-LN(2)/25))/(LN(2)/25)*Calculateur!DB154*Calculateur!DD154*VLOOKUP('Données projet'!$B$13,Paramètres!$A$1:$I$89,3,0)*0.475*44/12</f>
        <v>2.017459337745219</v>
      </c>
      <c r="DH154" s="21">
        <f>EXP(-LN(2)/2)*DH153+(1-EXP(-LN(2)/2))/(LN(2)/2)*DB154*DE154*VLOOKUP('Données projet'!$B$13,Paramètres!$A$1:$I$89,3,0)*0.475*44/12</f>
        <v>5.2161621888776544E-19</v>
      </c>
      <c r="DI154" s="22">
        <f t="shared" ref="DI154:DI203" si="175">SUM(DF154:DH154)</f>
        <v>22.386717080783807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911.99999999999898</v>
      </c>
      <c r="DP154" s="17">
        <f>DO154*VLOOKUP('Données projet'!$B$14,Paramètres!$A$1:$I$89,3,0)*VLOOKUP('Données projet'!$B$14,Paramètres!$A$1:$I$89,5,0)</f>
        <v>426.81599999999946</v>
      </c>
      <c r="DQ154" s="13">
        <f t="shared" ref="DQ154:DQ203" si="176">EXP(-1.0587+0.8836*LN(DP154)+0.284)</f>
        <v>97.192496986872399</v>
      </c>
      <c r="DR154" s="20">
        <f t="shared" ref="DR154:DR203" si="177">(DP154+DQ154)*0.475*44/12</f>
        <v>912.64813225213504</v>
      </c>
      <c r="DS154" s="59">
        <f t="shared" si="125"/>
        <v>1205.9814655854684</v>
      </c>
      <c r="DT154" s="59">
        <f ca="1">AVERAGE(OFFSET($DS$3,0,0,'Données projet'!$E$14+1,1))-AVERAGE(OFFSET($H$3,0,0,'Données projet'!$E$14+1,1))</f>
        <v>523.79180230463714</v>
      </c>
      <c r="DU154" s="59">
        <f t="shared" si="152"/>
        <v>459.3547783500515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36.427785931987373</v>
      </c>
      <c r="EB154" s="21">
        <f>EXP(-LN(2)/25)*EB153+(1-EXP(-LN(2)/25))/(LN(2)/25)*Calculateur!DW154*Calculateur!DY154*VLOOKUP('Données projet'!$B$14,Paramètres!$A$1:$I$89,3,0)*0.475*44/12</f>
        <v>1.8658945668812541</v>
      </c>
      <c r="EC154" s="21">
        <f>EXP(-LN(2)/2)*EC153+(1-EXP(-LN(2)/2))/(LN(2)/2)*DW154*DZ154*VLOOKUP('Données projet'!$B$14,Paramètres!$A$1:$I$89,3,0)*0.475*44/12</f>
        <v>7.3122187093406521E-19</v>
      </c>
      <c r="ED154" s="22">
        <f t="shared" ref="ED154:ED203" si="178">SUM(EA154:EC154)</f>
        <v>38.293680498868625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367.99999999999972</v>
      </c>
      <c r="EK154" s="17">
        <f>EJ154*VLOOKUP('Données projet'!$B$15,Paramètres!$A$1:$I$89,3,0)*VLOOKUP('Données projet'!$B$15,Paramètres!$A$1:$I$89,5,0)</f>
        <v>355.92959999999977</v>
      </c>
      <c r="EL154" s="13">
        <f t="shared" ref="EL154:EL203" si="179">EXP(-1.0587+0.8836*LN(EK154)+0.284)</f>
        <v>82.782281100458206</v>
      </c>
      <c r="EM154" s="20">
        <f t="shared" ref="EM154:EM203" si="180">(EK154+EL154)*0.475*44/12</f>
        <v>764.08985958329765</v>
      </c>
      <c r="EN154" s="59">
        <f t="shared" si="128"/>
        <v>1057.423192916631</v>
      </c>
      <c r="EO154" s="59">
        <f ca="1">AVERAGE(OFFSET($EN$3,0,0,'Données projet'!$E$15+1,1))-AVERAGE(OFFSET($H$3,0,0,'Données projet'!$E$15+1,1))</f>
        <v>484.41278617935654</v>
      </c>
      <c r="EP154" s="59">
        <f t="shared" si="154"/>
        <v>467.97490540700738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14.899248656911858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14.899248656911858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367.99999999999972</v>
      </c>
      <c r="FF154" s="17">
        <f>FE154*VLOOKUP('Données projet'!$B$16,Paramètres!$A$1:$I$89,3,0)*VLOOKUP('Données projet'!$B$16,Paramètres!$A$1:$I$89,5,0)</f>
        <v>396.11519999999967</v>
      </c>
      <c r="FG154" s="13">
        <f t="shared" ref="FG154:FG203" si="182">EXP(-1.0587+0.8836*LN(FF154)+0.284)</f>
        <v>90.988634849704994</v>
      </c>
      <c r="FH154" s="20">
        <f t="shared" ref="FH154:FH203" si="183">(FF154+FG154)*0.475*44/12</f>
        <v>848.37251236323561</v>
      </c>
      <c r="FI154" s="59">
        <f t="shared" si="131"/>
        <v>1141.705845696569</v>
      </c>
      <c r="FJ154" s="59">
        <f ca="1">AVERAGE(OFFSET($FI$3,0,0,'Données projet'!$E$16+1,1))-AVERAGE(OFFSET($H$3,0,0,'Données projet'!$E$16+1,1))</f>
        <v>534.54020133239135</v>
      </c>
      <c r="FK154" s="59">
        <f t="shared" si="156"/>
        <v>515.48696069008815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16.581421892369665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16.581421892369665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248.99999999999994</v>
      </c>
      <c r="GA154" s="17">
        <f>FZ154*VLOOKUP('Données projet'!$B$17,Paramètres!$A$1:$I$89,3,0)*VLOOKUP('Données projet'!$B$17,Paramètres!$A$1:$I$89,5,0)</f>
        <v>236.94839999999994</v>
      </c>
      <c r="GB154" s="13">
        <f t="shared" ref="GB154:GB203" si="185">EXP(-1.0587+0.8836*LN(GA154)+0.284)</f>
        <v>57.782475694292401</v>
      </c>
      <c r="GC154" s="20">
        <f t="shared" ref="GC154:GC203" si="186">(GA154+GB154)*0.475*44/12</f>
        <v>513.32294183422573</v>
      </c>
      <c r="GD154" s="59">
        <f t="shared" si="134"/>
        <v>806.65627516755899</v>
      </c>
      <c r="GE154" s="59">
        <f ca="1">AVERAGE(OFFSET($GD$3,0,0,'Données projet'!$E$17+1,1))-AVERAGE(OFFSET($H$3,0,0,'Données projet'!$E$17+1,1))</f>
        <v>455.71329051283936</v>
      </c>
      <c r="GF154" s="59">
        <f t="shared" si="158"/>
        <v>479.3743231122258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38.511581604516046</v>
      </c>
      <c r="GM154" s="21">
        <f>EXP(-LN(2)/25)*GM153+(1-EXP(-LN(2)/25))/(LN(2)/25)*Calculateur!GH154*Calculateur!GJ154*VLOOKUP('Données projet'!$B$17,Paramètres!$A$1:$I$89,3,0)*0.475*44/12</f>
        <v>0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187">SUM(GL154:GN154)</f>
        <v>38.511581604516046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367.99999999999972</v>
      </c>
      <c r="GV154" s="17">
        <f>GU154*VLOOKUP('Données projet'!$B$18,Paramètres!$A$1:$I$89,3,0)*VLOOKUP('Données projet'!$B$18,Paramètres!$A$1:$I$89,5,0)</f>
        <v>298.52159999999981</v>
      </c>
      <c r="GW154" s="13">
        <f t="shared" ref="GW154:GW203" si="188">EXP(-1.0587+0.8836*LN(GV154)+0.284)</f>
        <v>70.866444995542437</v>
      </c>
      <c r="GX154" s="20">
        <f t="shared" ref="GX154:GX203" si="189">(GV154+GW154)*0.475*44/12</f>
        <v>643.35084503390271</v>
      </c>
      <c r="GY154" s="59">
        <f t="shared" si="137"/>
        <v>936.68417836723597</v>
      </c>
      <c r="GZ154" s="59">
        <f ca="1">AVERAGE(OFFSET($GY$3,0,0,'Données projet'!$E$18+1,1))-AVERAGE(OFFSET($H$3,0,0,'Données projet'!$E$18+1,1))</f>
        <v>412.59676769258488</v>
      </c>
      <c r="HA154" s="59">
        <f t="shared" si="160"/>
        <v>399.90063795152133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12.496144034829307</v>
      </c>
      <c r="HH154" s="21">
        <f>EXP(-LN(2)/25)*HH153+(1-EXP(-LN(2)/25))/(LN(2)/25)*Calculateur!HC154*Calculateur!HE154*VLOOKUP('Données projet'!$B$18,Paramètres!$A$1:$I$89,3,0)*0.475*44/12</f>
        <v>0</v>
      </c>
      <c r="HI154" s="21">
        <f>EXP(-LN(2)/2)*HI153+(1-EXP(-LN(2)/2))/(LN(2)/2)*HC154*HF154*VLOOKUP('Données projet'!$B$18,Paramètres!$A$1:$I$89,3,0)*0.475*44/12</f>
        <v>0</v>
      </c>
      <c r="HJ154" s="22">
        <f t="shared" ref="HJ154:HJ203" si="190">SUM(HG154:HI154)</f>
        <v>12.496144034829307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306.99999999999994</v>
      </c>
      <c r="O155" s="13">
        <f>N155*VLOOKUP('Données projet'!$B$9,Paramètres!$A$1:$I$89,3,0)*VLOOKUP('Données projet'!$B$9,Paramètres!$A$1:$I$89,5,0)</f>
        <v>277.77359999999993</v>
      </c>
      <c r="P155" s="13">
        <f t="shared" si="141"/>
        <v>66.496288176842356</v>
      </c>
      <c r="Q155" s="20">
        <f t="shared" si="162"/>
        <v>599.60338857466706</v>
      </c>
      <c r="R155" s="59">
        <f t="shared" si="109"/>
        <v>892.93672190800044</v>
      </c>
      <c r="S155" s="59">
        <f ca="1">AVERAGE(OFFSET($R$3,0,0,'Données projet'!$E$9+1,1))-AVERAGE(OFFSET($H$3,0,0,'Données projet'!$E$9+1,1))</f>
        <v>439.19854273764042</v>
      </c>
      <c r="T155" s="59">
        <f t="shared" si="142"/>
        <v>278.21741231699929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48.105052266306259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48.105052266306259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306.99999999999994</v>
      </c>
      <c r="AJ155" s="13">
        <f>AI155*VLOOKUP('Données projet'!$B$10,Paramètres!$A$1:$I$89,3,0)*VLOOKUP('Données projet'!$B$10,Paramètres!$A$1:$I$89,5,0)</f>
        <v>311.298</v>
      </c>
      <c r="AK155" s="13">
        <f t="shared" si="164"/>
        <v>73.539838278528748</v>
      </c>
      <c r="AL155" s="20">
        <f t="shared" si="165"/>
        <v>670.25923500177089</v>
      </c>
      <c r="AM155" s="59">
        <f t="shared" si="113"/>
        <v>963.59256833510426</v>
      </c>
      <c r="AN155" s="59">
        <f ca="1">AVERAGE(OFFSET($AM$3,0,0,'Données projet'!$E$10+1,1))-AVERAGE(OFFSET($H$3,0,0,'Données projet'!$E$10+1,1))</f>
        <v>487.18832528146936</v>
      </c>
      <c r="AO155" s="59">
        <f t="shared" si="144"/>
        <v>306.61893266146666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53.910834436377726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53.910834436377726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369.00000000000023</v>
      </c>
      <c r="BE155" s="13">
        <f>BD155*VLOOKUP('Données projet'!$B$11,Paramètres!$A$1:$I$89,3,0)*VLOOKUP('Données projet'!$B$11,Paramètres!$A$1:$I$89,5,0)</f>
        <v>333.87120000000021</v>
      </c>
      <c r="BF155" s="13">
        <f t="shared" si="167"/>
        <v>78.23236011137638</v>
      </c>
      <c r="BG155" s="20">
        <f t="shared" si="168"/>
        <v>717.74703386064755</v>
      </c>
      <c r="BH155" s="59">
        <f t="shared" si="116"/>
        <v>1011.0803671939809</v>
      </c>
      <c r="BI155" s="59">
        <f ca="1">AVERAGE(OFFSET($BH$3,0,0,'Données projet'!$E$11+1,1))-AVERAGE(OFFSET($H$3,0,0,'Données projet'!$E$11+1,1))</f>
        <v>436.23918637269577</v>
      </c>
      <c r="BJ155" s="59">
        <f t="shared" si="146"/>
        <v>611.43967996341894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0.94366814751163364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0.94366814751163364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224.00000000000006</v>
      </c>
      <c r="BZ155" s="13">
        <f>BY155*VLOOKUP('Données projet'!$B$12,Paramètres!$A$1:$I$89,3,0)*VLOOKUP('Données projet'!$B$12,Paramètres!$A$1:$I$89,5,0)</f>
        <v>195.68640000000008</v>
      </c>
      <c r="CA155" s="13">
        <f t="shared" si="170"/>
        <v>48.794969360985156</v>
      </c>
      <c r="CB155" s="20">
        <f t="shared" si="171"/>
        <v>425.8050516370493</v>
      </c>
      <c r="CC155" s="59">
        <f t="shared" si="119"/>
        <v>719.13838497038262</v>
      </c>
      <c r="CD155" s="59">
        <f ca="1">AVERAGE(OFFSET($CC$3,0,0,'Données projet'!$E$12+1,1))-AVERAGE(OFFSET($H$3,0,0,'Données projet'!$E$12+1,1))</f>
        <v>304.32767345253382</v>
      </c>
      <c r="CE155" s="59">
        <f t="shared" si="148"/>
        <v>427.16091343339173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10.190660341702792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10.190660341702792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739.99999999999966</v>
      </c>
      <c r="CU155" s="17">
        <f>CT155*VLOOKUP('Données projet'!$B$13,Paramètres!$A$1:$I$89,3,0)*VLOOKUP('Données projet'!$B$13,Paramètres!$A$1:$I$89,5,0)</f>
        <v>413.65999999999985</v>
      </c>
      <c r="CV155" s="13">
        <f t="shared" si="173"/>
        <v>94.540585122244352</v>
      </c>
      <c r="CW155" s="20">
        <f t="shared" si="174"/>
        <v>885.11601908790863</v>
      </c>
      <c r="CX155" s="59">
        <f t="shared" si="122"/>
        <v>1178.4493524212419</v>
      </c>
      <c r="CY155" s="59">
        <f ca="1">AVERAGE(OFFSET($CX$3,0,0,'Données projet'!$E$13+1,1))-AVERAGE(OFFSET($H$3,0,0,'Données projet'!$E$13+1,1))</f>
        <v>555.15881087162279</v>
      </c>
      <c r="CZ155" s="59">
        <f t="shared" si="150"/>
        <v>668.20427590250733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19.969829022718056</v>
      </c>
      <c r="DG155" s="21">
        <f>EXP(-LN(2)/25)*DG154+(1-EXP(-LN(2)/25))/(LN(2)/25)*Calculateur!DB155*Calculateur!DD155*VLOOKUP('Données projet'!$B$13,Paramètres!$A$1:$I$89,3,0)*0.475*44/12</f>
        <v>1.9622918060610004</v>
      </c>
      <c r="DH155" s="21">
        <f>EXP(-LN(2)/2)*DH154+(1-EXP(-LN(2)/2))/(LN(2)/2)*DB155*DE155*VLOOKUP('Données projet'!$B$13,Paramètres!$A$1:$I$89,3,0)*0.475*44/12</f>
        <v>3.6883836555242544E-19</v>
      </c>
      <c r="DI155" s="22">
        <f t="shared" si="175"/>
        <v>21.932120828779055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911.99999999999898</v>
      </c>
      <c r="DP155" s="17">
        <f>DO155*VLOOKUP('Données projet'!$B$14,Paramètres!$A$1:$I$89,3,0)*VLOOKUP('Données projet'!$B$14,Paramètres!$A$1:$I$89,5,0)</f>
        <v>426.81599999999946</v>
      </c>
      <c r="DQ155" s="13">
        <f t="shared" si="176"/>
        <v>97.192496986872399</v>
      </c>
      <c r="DR155" s="20">
        <f t="shared" si="177"/>
        <v>912.64813225213504</v>
      </c>
      <c r="DS155" s="59">
        <f t="shared" si="125"/>
        <v>1205.9814655854684</v>
      </c>
      <c r="DT155" s="59">
        <f ca="1">AVERAGE(OFFSET($DS$3,0,0,'Données projet'!$E$14+1,1))-AVERAGE(OFFSET($H$3,0,0,'Données projet'!$E$14+1,1))</f>
        <v>523.79180230463714</v>
      </c>
      <c r="DU155" s="59">
        <f t="shared" si="152"/>
        <v>459.3547783500515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35.713459268616596</v>
      </c>
      <c r="EB155" s="21">
        <f>EXP(-LN(2)/25)*EB154+(1-EXP(-LN(2)/25))/(LN(2)/25)*Calculateur!DW155*Calculateur!DY155*VLOOKUP('Données projet'!$B$14,Paramètres!$A$1:$I$89,3,0)*0.475*44/12</f>
        <v>1.8148715818267556</v>
      </c>
      <c r="EC155" s="21">
        <f>EXP(-LN(2)/2)*EC154+(1-EXP(-LN(2)/2))/(LN(2)/2)*DW155*DZ155*VLOOKUP('Données projet'!$B$14,Paramètres!$A$1:$I$89,3,0)*0.475*44/12</f>
        <v>5.1705194348939194E-19</v>
      </c>
      <c r="ED155" s="22">
        <f t="shared" si="178"/>
        <v>37.528330850443353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367.99999999999972</v>
      </c>
      <c r="EK155" s="17">
        <f>EJ155*VLOOKUP('Données projet'!$B$15,Paramètres!$A$1:$I$89,3,0)*VLOOKUP('Données projet'!$B$15,Paramètres!$A$1:$I$89,5,0)</f>
        <v>355.92959999999977</v>
      </c>
      <c r="EL155" s="13">
        <f t="shared" si="179"/>
        <v>82.782281100458206</v>
      </c>
      <c r="EM155" s="20">
        <f t="shared" si="180"/>
        <v>764.08985958329765</v>
      </c>
      <c r="EN155" s="59">
        <f t="shared" si="128"/>
        <v>1057.423192916631</v>
      </c>
      <c r="EO155" s="59">
        <f ca="1">AVERAGE(OFFSET($EN$3,0,0,'Données projet'!$E$15+1,1))-AVERAGE(OFFSET($H$3,0,0,'Données projet'!$E$15+1,1))</f>
        <v>484.41278617935654</v>
      </c>
      <c r="EP155" s="59">
        <f t="shared" si="154"/>
        <v>467.97490540700738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14.607083478394166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14.607083478394166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367.99999999999972</v>
      </c>
      <c r="FF155" s="17">
        <f>FE155*VLOOKUP('Données projet'!$B$16,Paramètres!$A$1:$I$89,3,0)*VLOOKUP('Données projet'!$B$16,Paramètres!$A$1:$I$89,5,0)</f>
        <v>396.11519999999967</v>
      </c>
      <c r="FG155" s="13">
        <f t="shared" si="182"/>
        <v>90.988634849704994</v>
      </c>
      <c r="FH155" s="20">
        <f t="shared" si="183"/>
        <v>848.37251236323561</v>
      </c>
      <c r="FI155" s="59">
        <f t="shared" si="131"/>
        <v>1141.705845696569</v>
      </c>
      <c r="FJ155" s="59">
        <f ca="1">AVERAGE(OFFSET($FI$3,0,0,'Données projet'!$E$16+1,1))-AVERAGE(OFFSET($H$3,0,0,'Données projet'!$E$16+1,1))</f>
        <v>534.54020133239135</v>
      </c>
      <c r="FK155" s="59">
        <f t="shared" si="156"/>
        <v>515.48696069008815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16.256270322729009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16.256270322729009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248.99999999999994</v>
      </c>
      <c r="GA155" s="17">
        <f>FZ155*VLOOKUP('Données projet'!$B$17,Paramètres!$A$1:$I$89,3,0)*VLOOKUP('Données projet'!$B$17,Paramètres!$A$1:$I$89,5,0)</f>
        <v>236.94839999999994</v>
      </c>
      <c r="GB155" s="13">
        <f t="shared" si="185"/>
        <v>57.782475694292401</v>
      </c>
      <c r="GC155" s="20">
        <f t="shared" si="186"/>
        <v>513.32294183422573</v>
      </c>
      <c r="GD155" s="59">
        <f t="shared" si="134"/>
        <v>806.65627516755899</v>
      </c>
      <c r="GE155" s="59">
        <f ca="1">AVERAGE(OFFSET($GD$3,0,0,'Données projet'!$E$17+1,1))-AVERAGE(OFFSET($H$3,0,0,'Données projet'!$E$17+1,1))</f>
        <v>455.71329051283936</v>
      </c>
      <c r="GF155" s="59">
        <f t="shared" si="158"/>
        <v>479.3743231122258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37.756392978996843</v>
      </c>
      <c r="GM155" s="21">
        <f>EXP(-LN(2)/25)*GM154+(1-EXP(-LN(2)/25))/(LN(2)/25)*Calculateur!GH155*Calculateur!GJ155*VLOOKUP('Données projet'!$B$17,Paramètres!$A$1:$I$89,3,0)*0.475*44/12</f>
        <v>0</v>
      </c>
      <c r="GN155" s="21">
        <f>EXP(-LN(2)/2)*GN154+(1-EXP(-LN(2)/2))/(LN(2)/2)*GH155*GK155*VLOOKUP('Données projet'!$B$17,Paramètres!$A$1:$I$89,3,0)*0.475*44/12</f>
        <v>0</v>
      </c>
      <c r="GO155" s="21">
        <f t="shared" si="187"/>
        <v>37.756392978996843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367.99999999999972</v>
      </c>
      <c r="GV155" s="17">
        <f>GU155*VLOOKUP('Données projet'!$B$18,Paramètres!$A$1:$I$89,3,0)*VLOOKUP('Données projet'!$B$18,Paramètres!$A$1:$I$89,5,0)</f>
        <v>298.52159999999981</v>
      </c>
      <c r="GW155" s="13">
        <f t="shared" si="188"/>
        <v>70.866444995542437</v>
      </c>
      <c r="GX155" s="20">
        <f t="shared" si="189"/>
        <v>643.35084503390271</v>
      </c>
      <c r="GY155" s="59">
        <f t="shared" si="137"/>
        <v>936.68417836723597</v>
      </c>
      <c r="GZ155" s="59">
        <f ca="1">AVERAGE(OFFSET($GY$3,0,0,'Données projet'!$E$18+1,1))-AVERAGE(OFFSET($H$3,0,0,'Données projet'!$E$18+1,1))</f>
        <v>412.59676769258488</v>
      </c>
      <c r="HA155" s="59">
        <f t="shared" si="160"/>
        <v>399.90063795152133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12.251102272201566</v>
      </c>
      <c r="HH155" s="21">
        <f>EXP(-LN(2)/25)*HH154+(1-EXP(-LN(2)/25))/(LN(2)/25)*Calculateur!HC155*Calculateur!HE155*VLOOKUP('Données projet'!$B$18,Paramètres!$A$1:$I$89,3,0)*0.475*44/12</f>
        <v>0</v>
      </c>
      <c r="HI155" s="21">
        <f>EXP(-LN(2)/2)*HI154+(1-EXP(-LN(2)/2))/(LN(2)/2)*HC155*HF155*VLOOKUP('Données projet'!$B$18,Paramètres!$A$1:$I$89,3,0)*0.475*44/12</f>
        <v>0</v>
      </c>
      <c r="HJ155" s="22">
        <f t="shared" si="190"/>
        <v>12.251102272201566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306.99999999999994</v>
      </c>
      <c r="O156" s="13">
        <f>N156*VLOOKUP('Données projet'!$B$9,Paramètres!$A$1:$I$89,3,0)*VLOOKUP('Données projet'!$B$9,Paramètres!$A$1:$I$89,5,0)</f>
        <v>277.77359999999993</v>
      </c>
      <c r="P156" s="13">
        <f t="shared" si="141"/>
        <v>66.496288176842356</v>
      </c>
      <c r="Q156" s="20">
        <f t="shared" si="162"/>
        <v>599.60338857466706</v>
      </c>
      <c r="R156" s="59">
        <f t="shared" si="109"/>
        <v>892.93672190800044</v>
      </c>
      <c r="S156" s="59">
        <f ca="1">AVERAGE(OFFSET($R$3,0,0,'Données projet'!$E$9+1,1))-AVERAGE(OFFSET($H$3,0,0,'Données projet'!$E$9+1,1))</f>
        <v>439.19854273764042</v>
      </c>
      <c r="T156" s="59">
        <f t="shared" si="142"/>
        <v>278.21741231699929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47.161741532548675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47.161741532548675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306.99999999999994</v>
      </c>
      <c r="AJ156" s="13">
        <f>AI156*VLOOKUP('Données projet'!$B$10,Paramètres!$A$1:$I$89,3,0)*VLOOKUP('Données projet'!$B$10,Paramètres!$A$1:$I$89,5,0)</f>
        <v>311.298</v>
      </c>
      <c r="AK156" s="13">
        <f t="shared" si="164"/>
        <v>73.539838278528748</v>
      </c>
      <c r="AL156" s="20">
        <f t="shared" si="165"/>
        <v>670.25923500177089</v>
      </c>
      <c r="AM156" s="59">
        <f t="shared" si="113"/>
        <v>963.59256833510426</v>
      </c>
      <c r="AN156" s="59">
        <f ca="1">AVERAGE(OFFSET($AM$3,0,0,'Données projet'!$E$10+1,1))-AVERAGE(OFFSET($H$3,0,0,'Données projet'!$E$10+1,1))</f>
        <v>487.18832528146936</v>
      </c>
      <c r="AO156" s="59">
        <f t="shared" si="144"/>
        <v>306.61893266146666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52.853675855442503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52.853675855442503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369.00000000000023</v>
      </c>
      <c r="BE156" s="13">
        <f>BD156*VLOOKUP('Données projet'!$B$11,Paramètres!$A$1:$I$89,3,0)*VLOOKUP('Données projet'!$B$11,Paramètres!$A$1:$I$89,5,0)</f>
        <v>333.87120000000021</v>
      </c>
      <c r="BF156" s="13">
        <f t="shared" si="167"/>
        <v>78.23236011137638</v>
      </c>
      <c r="BG156" s="20">
        <f t="shared" si="168"/>
        <v>717.74703386064755</v>
      </c>
      <c r="BH156" s="59">
        <f t="shared" si="116"/>
        <v>1011.0803671939809</v>
      </c>
      <c r="BI156" s="59">
        <f ca="1">AVERAGE(OFFSET($BH$3,0,0,'Données projet'!$E$11+1,1))-AVERAGE(OFFSET($H$3,0,0,'Données projet'!$E$11+1,1))</f>
        <v>436.23918637269577</v>
      </c>
      <c r="BJ156" s="59">
        <f t="shared" si="146"/>
        <v>611.43967996341894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0.92516339071966658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0.92516339071966658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224.00000000000006</v>
      </c>
      <c r="BZ156" s="13">
        <f>BY156*VLOOKUP('Données projet'!$B$12,Paramètres!$A$1:$I$89,3,0)*VLOOKUP('Données projet'!$B$12,Paramètres!$A$1:$I$89,5,0)</f>
        <v>195.68640000000008</v>
      </c>
      <c r="CA156" s="13">
        <f t="shared" si="170"/>
        <v>48.794969360985156</v>
      </c>
      <c r="CB156" s="20">
        <f t="shared" si="171"/>
        <v>425.8050516370493</v>
      </c>
      <c r="CC156" s="59">
        <f t="shared" si="119"/>
        <v>719.13838497038262</v>
      </c>
      <c r="CD156" s="59">
        <f ca="1">AVERAGE(OFFSET($CC$3,0,0,'Données projet'!$E$12+1,1))-AVERAGE(OFFSET($H$3,0,0,'Données projet'!$E$12+1,1))</f>
        <v>304.32767345253382</v>
      </c>
      <c r="CE156" s="59">
        <f t="shared" si="148"/>
        <v>427.16091343339173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9.9908277080910608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9.9908277080910608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739.99999999999966</v>
      </c>
      <c r="CU156" s="17">
        <f>CT156*VLOOKUP('Données projet'!$B$13,Paramètres!$A$1:$I$89,3,0)*VLOOKUP('Données projet'!$B$13,Paramètres!$A$1:$I$89,5,0)</f>
        <v>413.65999999999985</v>
      </c>
      <c r="CV156" s="13">
        <f t="shared" si="173"/>
        <v>94.540585122244352</v>
      </c>
      <c r="CW156" s="20">
        <f t="shared" si="174"/>
        <v>885.11601908790863</v>
      </c>
      <c r="CX156" s="59">
        <f t="shared" si="122"/>
        <v>1178.4493524212419</v>
      </c>
      <c r="CY156" s="59">
        <f ca="1">AVERAGE(OFFSET($CX$3,0,0,'Données projet'!$E$13+1,1))-AVERAGE(OFFSET($H$3,0,0,'Données projet'!$E$13+1,1))</f>
        <v>555.15881087162279</v>
      </c>
      <c r="CZ156" s="59">
        <f t="shared" si="150"/>
        <v>668.20427590250733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19.578232855975546</v>
      </c>
      <c r="DG156" s="21">
        <f>EXP(-LN(2)/25)*DG155+(1-EXP(-LN(2)/25))/(LN(2)/25)*Calculateur!DB156*Calculateur!DD156*VLOOKUP('Données projet'!$B$13,Paramètres!$A$1:$I$89,3,0)*0.475*44/12</f>
        <v>1.9086328334318212</v>
      </c>
      <c r="DH156" s="21">
        <f>EXP(-LN(2)/2)*DH155+(1-EXP(-LN(2)/2))/(LN(2)/2)*DB156*DE156*VLOOKUP('Données projet'!$B$13,Paramètres!$A$1:$I$89,3,0)*0.475*44/12</f>
        <v>2.6080810944388272E-19</v>
      </c>
      <c r="DI156" s="22">
        <f t="shared" si="175"/>
        <v>21.486865689407367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911.99999999999898</v>
      </c>
      <c r="DP156" s="17">
        <f>DO156*VLOOKUP('Données projet'!$B$14,Paramètres!$A$1:$I$89,3,0)*VLOOKUP('Données projet'!$B$14,Paramètres!$A$1:$I$89,5,0)</f>
        <v>426.81599999999946</v>
      </c>
      <c r="DQ156" s="13">
        <f t="shared" si="176"/>
        <v>97.192496986872399</v>
      </c>
      <c r="DR156" s="20">
        <f t="shared" si="177"/>
        <v>912.64813225213504</v>
      </c>
      <c r="DS156" s="59">
        <f t="shared" si="125"/>
        <v>1205.9814655854684</v>
      </c>
      <c r="DT156" s="59">
        <f ca="1">AVERAGE(OFFSET($DS$3,0,0,'Données projet'!$E$14+1,1))-AVERAGE(OFFSET($H$3,0,0,'Données projet'!$E$14+1,1))</f>
        <v>523.79180230463714</v>
      </c>
      <c r="DU156" s="59">
        <f t="shared" si="152"/>
        <v>459.3547783500515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35.013140115418281</v>
      </c>
      <c r="EB156" s="21">
        <f>EXP(-LN(2)/25)*EB155+(1-EXP(-LN(2)/25))/(LN(2)/25)*Calculateur!DW156*Calculateur!DY156*VLOOKUP('Données projet'!$B$14,Paramètres!$A$1:$I$89,3,0)*0.475*44/12</f>
        <v>1.7652438229817544</v>
      </c>
      <c r="EC156" s="21">
        <f>EXP(-LN(2)/2)*EC155+(1-EXP(-LN(2)/2))/(LN(2)/2)*DW156*DZ156*VLOOKUP('Données projet'!$B$14,Paramètres!$A$1:$I$89,3,0)*0.475*44/12</f>
        <v>3.6561093546703261E-19</v>
      </c>
      <c r="ED156" s="22">
        <f t="shared" si="178"/>
        <v>36.778383938400033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367.99999999999972</v>
      </c>
      <c r="EK156" s="17">
        <f>EJ156*VLOOKUP('Données projet'!$B$15,Paramètres!$A$1:$I$89,3,0)*VLOOKUP('Données projet'!$B$15,Paramètres!$A$1:$I$89,5,0)</f>
        <v>355.92959999999977</v>
      </c>
      <c r="EL156" s="13">
        <f t="shared" si="179"/>
        <v>82.782281100458206</v>
      </c>
      <c r="EM156" s="20">
        <f t="shared" si="180"/>
        <v>764.08985958329765</v>
      </c>
      <c r="EN156" s="59">
        <f t="shared" si="128"/>
        <v>1057.423192916631</v>
      </c>
      <c r="EO156" s="59">
        <f ca="1">AVERAGE(OFFSET($EN$3,0,0,'Données projet'!$E$15+1,1))-AVERAGE(OFFSET($H$3,0,0,'Données projet'!$E$15+1,1))</f>
        <v>484.41278617935654</v>
      </c>
      <c r="EP156" s="59">
        <f t="shared" si="154"/>
        <v>467.97490540700738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14.320647480824045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14.320647480824045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367.99999999999972</v>
      </c>
      <c r="FF156" s="17">
        <f>FE156*VLOOKUP('Données projet'!$B$16,Paramètres!$A$1:$I$89,3,0)*VLOOKUP('Données projet'!$B$16,Paramètres!$A$1:$I$89,5,0)</f>
        <v>396.11519999999967</v>
      </c>
      <c r="FG156" s="13">
        <f t="shared" si="182"/>
        <v>90.988634849704994</v>
      </c>
      <c r="FH156" s="20">
        <f t="shared" si="183"/>
        <v>848.37251236323561</v>
      </c>
      <c r="FI156" s="59">
        <f t="shared" si="131"/>
        <v>1141.705845696569</v>
      </c>
      <c r="FJ156" s="59">
        <f ca="1">AVERAGE(OFFSET($FI$3,0,0,'Données projet'!$E$16+1,1))-AVERAGE(OFFSET($H$3,0,0,'Données projet'!$E$16+1,1))</f>
        <v>534.54020133239135</v>
      </c>
      <c r="FK156" s="59">
        <f t="shared" si="156"/>
        <v>515.48696069008815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15.93749477704613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15.93749477704613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248.99999999999994</v>
      </c>
      <c r="GA156" s="17">
        <f>FZ156*VLOOKUP('Données projet'!$B$17,Paramètres!$A$1:$I$89,3,0)*VLOOKUP('Données projet'!$B$17,Paramètres!$A$1:$I$89,5,0)</f>
        <v>236.94839999999994</v>
      </c>
      <c r="GB156" s="13">
        <f t="shared" si="185"/>
        <v>57.782475694292401</v>
      </c>
      <c r="GC156" s="20">
        <f t="shared" si="186"/>
        <v>513.32294183422573</v>
      </c>
      <c r="GD156" s="59">
        <f t="shared" si="134"/>
        <v>806.65627516755899</v>
      </c>
      <c r="GE156" s="59">
        <f ca="1">AVERAGE(OFFSET($GD$3,0,0,'Données projet'!$E$17+1,1))-AVERAGE(OFFSET($H$3,0,0,'Données projet'!$E$17+1,1))</f>
        <v>455.71329051283936</v>
      </c>
      <c r="GF156" s="59">
        <f t="shared" si="158"/>
        <v>479.3743231122258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37.016013141804493</v>
      </c>
      <c r="GM156" s="21">
        <f>EXP(-LN(2)/25)*GM155+(1-EXP(-LN(2)/25))/(LN(2)/25)*Calculateur!GH156*Calculateur!GJ156*VLOOKUP('Données projet'!$B$17,Paramètres!$A$1:$I$89,3,0)*0.475*44/12</f>
        <v>0</v>
      </c>
      <c r="GN156" s="21">
        <f>EXP(-LN(2)/2)*GN155+(1-EXP(-LN(2)/2))/(LN(2)/2)*GH156*GK156*VLOOKUP('Données projet'!$B$17,Paramètres!$A$1:$I$89,3,0)*0.475*44/12</f>
        <v>0</v>
      </c>
      <c r="GO156" s="21">
        <f t="shared" si="187"/>
        <v>37.016013141804493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367.99999999999972</v>
      </c>
      <c r="GV156" s="17">
        <f>GU156*VLOOKUP('Données projet'!$B$18,Paramètres!$A$1:$I$89,3,0)*VLOOKUP('Données projet'!$B$18,Paramètres!$A$1:$I$89,5,0)</f>
        <v>298.52159999999981</v>
      </c>
      <c r="GW156" s="13">
        <f t="shared" si="188"/>
        <v>70.866444995542437</v>
      </c>
      <c r="GX156" s="20">
        <f t="shared" si="189"/>
        <v>643.35084503390271</v>
      </c>
      <c r="GY156" s="59">
        <f t="shared" si="137"/>
        <v>936.68417836723597</v>
      </c>
      <c r="GZ156" s="59">
        <f ca="1">AVERAGE(OFFSET($GY$3,0,0,'Données projet'!$E$18+1,1))-AVERAGE(OFFSET($H$3,0,0,'Données projet'!$E$18+1,1))</f>
        <v>412.59676769258488</v>
      </c>
      <c r="HA156" s="59">
        <f t="shared" si="160"/>
        <v>399.90063795152133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12.010865629078237</v>
      </c>
      <c r="HH156" s="21">
        <f>EXP(-LN(2)/25)*HH155+(1-EXP(-LN(2)/25))/(LN(2)/25)*Calculateur!HC156*Calculateur!HE156*VLOOKUP('Données projet'!$B$18,Paramètres!$A$1:$I$89,3,0)*0.475*44/12</f>
        <v>0</v>
      </c>
      <c r="HI156" s="21">
        <f>EXP(-LN(2)/2)*HI155+(1-EXP(-LN(2)/2))/(LN(2)/2)*HC156*HF156*VLOOKUP('Données projet'!$B$18,Paramètres!$A$1:$I$89,3,0)*0.475*44/12</f>
        <v>0</v>
      </c>
      <c r="HJ156" s="22">
        <f t="shared" si="190"/>
        <v>12.010865629078237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306.99999999999994</v>
      </c>
      <c r="O157" s="13">
        <f>N157*VLOOKUP('Données projet'!$B$9,Paramètres!$A$1:$I$89,3,0)*VLOOKUP('Données projet'!$B$9,Paramètres!$A$1:$I$89,5,0)</f>
        <v>277.77359999999993</v>
      </c>
      <c r="P157" s="13">
        <f t="shared" si="141"/>
        <v>66.496288176842356</v>
      </c>
      <c r="Q157" s="20">
        <f t="shared" si="162"/>
        <v>599.60338857466706</v>
      </c>
      <c r="R157" s="59">
        <f t="shared" si="109"/>
        <v>892.93672190800044</v>
      </c>
      <c r="S157" s="59">
        <f ca="1">AVERAGE(OFFSET($R$3,0,0,'Données projet'!$E$9+1,1))-AVERAGE(OFFSET($H$3,0,0,'Données projet'!$E$9+1,1))</f>
        <v>439.19854273764042</v>
      </c>
      <c r="T157" s="59">
        <f t="shared" si="142"/>
        <v>278.21741231699929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46.236928546917341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46.236928546917341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306.99999999999994</v>
      </c>
      <c r="AJ157" s="13">
        <f>AI157*VLOOKUP('Données projet'!$B$10,Paramètres!$A$1:$I$89,3,0)*VLOOKUP('Données projet'!$B$10,Paramètres!$A$1:$I$89,5,0)</f>
        <v>311.298</v>
      </c>
      <c r="AK157" s="13">
        <f t="shared" si="164"/>
        <v>73.539838278528748</v>
      </c>
      <c r="AL157" s="20">
        <f t="shared" si="165"/>
        <v>670.25923500177089</v>
      </c>
      <c r="AM157" s="59">
        <f t="shared" si="113"/>
        <v>963.59256833510426</v>
      </c>
      <c r="AN157" s="59">
        <f ca="1">AVERAGE(OFFSET($AM$3,0,0,'Données projet'!$E$10+1,1))-AVERAGE(OFFSET($H$3,0,0,'Données projet'!$E$10+1,1))</f>
        <v>487.18832528146936</v>
      </c>
      <c r="AO157" s="59">
        <f t="shared" si="144"/>
        <v>306.61893266146666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51.817247509476353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51.817247509476353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369.00000000000023</v>
      </c>
      <c r="BE157" s="13">
        <f>BD157*VLOOKUP('Données projet'!$B$11,Paramètres!$A$1:$I$89,3,0)*VLOOKUP('Données projet'!$B$11,Paramètres!$A$1:$I$89,5,0)</f>
        <v>333.87120000000021</v>
      </c>
      <c r="BF157" s="13">
        <f t="shared" si="167"/>
        <v>78.23236011137638</v>
      </c>
      <c r="BG157" s="20">
        <f t="shared" si="168"/>
        <v>717.74703386064755</v>
      </c>
      <c r="BH157" s="59">
        <f t="shared" si="116"/>
        <v>1011.0803671939809</v>
      </c>
      <c r="BI157" s="59">
        <f ca="1">AVERAGE(OFFSET($BH$3,0,0,'Données projet'!$E$11+1,1))-AVERAGE(OFFSET($H$3,0,0,'Données projet'!$E$11+1,1))</f>
        <v>436.23918637269577</v>
      </c>
      <c r="BJ157" s="59">
        <f t="shared" si="146"/>
        <v>611.43967996341894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0.90702150092160283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0.90702150092160283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224.00000000000006</v>
      </c>
      <c r="BZ157" s="13">
        <f>BY157*VLOOKUP('Données projet'!$B$12,Paramètres!$A$1:$I$89,3,0)*VLOOKUP('Données projet'!$B$12,Paramètres!$A$1:$I$89,5,0)</f>
        <v>195.68640000000008</v>
      </c>
      <c r="CA157" s="13">
        <f t="shared" si="170"/>
        <v>48.794969360985156</v>
      </c>
      <c r="CB157" s="20">
        <f t="shared" si="171"/>
        <v>425.8050516370493</v>
      </c>
      <c r="CC157" s="59">
        <f t="shared" si="119"/>
        <v>719.13838497038262</v>
      </c>
      <c r="CD157" s="59">
        <f ca="1">AVERAGE(OFFSET($CC$3,0,0,'Données projet'!$E$12+1,1))-AVERAGE(OFFSET($H$3,0,0,'Données projet'!$E$12+1,1))</f>
        <v>304.32767345253382</v>
      </c>
      <c r="CE157" s="59">
        <f t="shared" si="148"/>
        <v>427.16091343339173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9.794913670538584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9.794913670538584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739.99999999999966</v>
      </c>
      <c r="CU157" s="17">
        <f>CT157*VLOOKUP('Données projet'!$B$13,Paramètres!$A$1:$I$89,3,0)*VLOOKUP('Données projet'!$B$13,Paramètres!$A$1:$I$89,5,0)</f>
        <v>413.65999999999985</v>
      </c>
      <c r="CV157" s="13">
        <f t="shared" si="173"/>
        <v>94.540585122244352</v>
      </c>
      <c r="CW157" s="20">
        <f t="shared" si="174"/>
        <v>885.11601908790863</v>
      </c>
      <c r="CX157" s="59">
        <f t="shared" si="122"/>
        <v>1178.4493524212419</v>
      </c>
      <c r="CY157" s="59">
        <f ca="1">AVERAGE(OFFSET($CX$3,0,0,'Données projet'!$E$13+1,1))-AVERAGE(OFFSET($H$3,0,0,'Données projet'!$E$13+1,1))</f>
        <v>555.15881087162279</v>
      </c>
      <c r="CZ157" s="59">
        <f t="shared" si="150"/>
        <v>668.20427590250733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19.194315651212779</v>
      </c>
      <c r="DG157" s="21">
        <f>EXP(-LN(2)/25)*DG156+(1-EXP(-LN(2)/25))/(LN(2)/25)*Calculateur!DB157*Calculateur!DD157*VLOOKUP('Données projet'!$B$13,Paramètres!$A$1:$I$89,3,0)*0.475*44/12</f>
        <v>1.8564411682309896</v>
      </c>
      <c r="DH157" s="21">
        <f>EXP(-LN(2)/2)*DH156+(1-EXP(-LN(2)/2))/(LN(2)/2)*DB157*DE157*VLOOKUP('Données projet'!$B$13,Paramètres!$A$1:$I$89,3,0)*0.475*44/12</f>
        <v>1.8441918277621272E-19</v>
      </c>
      <c r="DI157" s="22">
        <f t="shared" si="175"/>
        <v>21.05075681944377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911.99999999999898</v>
      </c>
      <c r="DP157" s="17">
        <f>DO157*VLOOKUP('Données projet'!$B$14,Paramètres!$A$1:$I$89,3,0)*VLOOKUP('Données projet'!$B$14,Paramètres!$A$1:$I$89,5,0)</f>
        <v>426.81599999999946</v>
      </c>
      <c r="DQ157" s="13">
        <f t="shared" si="176"/>
        <v>97.192496986872399</v>
      </c>
      <c r="DR157" s="20">
        <f t="shared" si="177"/>
        <v>912.64813225213504</v>
      </c>
      <c r="DS157" s="59">
        <f t="shared" si="125"/>
        <v>1205.9814655854684</v>
      </c>
      <c r="DT157" s="59">
        <f ca="1">AVERAGE(OFFSET($DS$3,0,0,'Données projet'!$E$14+1,1))-AVERAGE(OFFSET($H$3,0,0,'Données projet'!$E$14+1,1))</f>
        <v>523.79180230463714</v>
      </c>
      <c r="DU157" s="59">
        <f t="shared" si="152"/>
        <v>459.3547783500515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34.326553793661681</v>
      </c>
      <c r="EB157" s="21">
        <f>EXP(-LN(2)/25)*EB156+(1-EXP(-LN(2)/25))/(LN(2)/25)*Calculateur!DW157*Calculateur!DY157*VLOOKUP('Données projet'!$B$14,Paramètres!$A$1:$I$89,3,0)*0.475*44/12</f>
        <v>1.7169731378121802</v>
      </c>
      <c r="EC157" s="21">
        <f>EXP(-LN(2)/2)*EC156+(1-EXP(-LN(2)/2))/(LN(2)/2)*DW157*DZ157*VLOOKUP('Données projet'!$B$14,Paramètres!$A$1:$I$89,3,0)*0.475*44/12</f>
        <v>2.5852597174469597E-19</v>
      </c>
      <c r="ED157" s="22">
        <f t="shared" si="178"/>
        <v>36.043526931473863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367.99999999999972</v>
      </c>
      <c r="EK157" s="17">
        <f>EJ157*VLOOKUP('Données projet'!$B$15,Paramètres!$A$1:$I$89,3,0)*VLOOKUP('Données projet'!$B$15,Paramètres!$A$1:$I$89,5,0)</f>
        <v>355.92959999999977</v>
      </c>
      <c r="EL157" s="13">
        <f t="shared" si="179"/>
        <v>82.782281100458206</v>
      </c>
      <c r="EM157" s="20">
        <f t="shared" si="180"/>
        <v>764.08985958329765</v>
      </c>
      <c r="EN157" s="59">
        <f t="shared" si="128"/>
        <v>1057.423192916631</v>
      </c>
      <c r="EO157" s="59">
        <f ca="1">AVERAGE(OFFSET($EN$3,0,0,'Données projet'!$E$15+1,1))-AVERAGE(OFFSET($H$3,0,0,'Données projet'!$E$15+1,1))</f>
        <v>484.41278617935654</v>
      </c>
      <c r="EP157" s="59">
        <f t="shared" si="154"/>
        <v>467.97490540700738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14.039828318457566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14.039828318457566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367.99999999999972</v>
      </c>
      <c r="FF157" s="17">
        <f>FE157*VLOOKUP('Données projet'!$B$16,Paramètres!$A$1:$I$89,3,0)*VLOOKUP('Données projet'!$B$16,Paramètres!$A$1:$I$89,5,0)</f>
        <v>396.11519999999967</v>
      </c>
      <c r="FG157" s="13">
        <f t="shared" si="182"/>
        <v>90.988634849704994</v>
      </c>
      <c r="FH157" s="20">
        <f t="shared" si="183"/>
        <v>848.37251236323561</v>
      </c>
      <c r="FI157" s="59">
        <f t="shared" si="131"/>
        <v>1141.705845696569</v>
      </c>
      <c r="FJ157" s="59">
        <f ca="1">AVERAGE(OFFSET($FI$3,0,0,'Données projet'!$E$16+1,1))-AVERAGE(OFFSET($H$3,0,0,'Données projet'!$E$16+1,1))</f>
        <v>534.54020133239135</v>
      </c>
      <c r="FK157" s="59">
        <f t="shared" si="156"/>
        <v>515.48696069008815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15.624970225380208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15.624970225380208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248.99999999999994</v>
      </c>
      <c r="GA157" s="17">
        <f>FZ157*VLOOKUP('Données projet'!$B$17,Paramètres!$A$1:$I$89,3,0)*VLOOKUP('Données projet'!$B$17,Paramètres!$A$1:$I$89,5,0)</f>
        <v>236.94839999999994</v>
      </c>
      <c r="GB157" s="13">
        <f t="shared" si="185"/>
        <v>57.782475694292401</v>
      </c>
      <c r="GC157" s="20">
        <f t="shared" si="186"/>
        <v>513.32294183422573</v>
      </c>
      <c r="GD157" s="59">
        <f t="shared" si="134"/>
        <v>806.65627516755899</v>
      </c>
      <c r="GE157" s="59">
        <f ca="1">AVERAGE(OFFSET($GD$3,0,0,'Données projet'!$E$17+1,1))-AVERAGE(OFFSET($H$3,0,0,'Données projet'!$E$17+1,1))</f>
        <v>455.71329051283936</v>
      </c>
      <c r="GF157" s="59">
        <f t="shared" si="158"/>
        <v>479.3743231122258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36.290151701632375</v>
      </c>
      <c r="GM157" s="21">
        <f>EXP(-LN(2)/25)*GM156+(1-EXP(-LN(2)/25))/(LN(2)/25)*Calculateur!GH157*Calculateur!GJ157*VLOOKUP('Données projet'!$B$17,Paramètres!$A$1:$I$89,3,0)*0.475*44/12</f>
        <v>0</v>
      </c>
      <c r="GN157" s="21">
        <f>EXP(-LN(2)/2)*GN156+(1-EXP(-LN(2)/2))/(LN(2)/2)*GH157*GK157*VLOOKUP('Données projet'!$B$17,Paramètres!$A$1:$I$89,3,0)*0.475*44/12</f>
        <v>0</v>
      </c>
      <c r="GO157" s="21">
        <f t="shared" si="187"/>
        <v>36.290151701632375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367.99999999999972</v>
      </c>
      <c r="GV157" s="17">
        <f>GU157*VLOOKUP('Données projet'!$B$18,Paramètres!$A$1:$I$89,3,0)*VLOOKUP('Données projet'!$B$18,Paramètres!$A$1:$I$89,5,0)</f>
        <v>298.52159999999981</v>
      </c>
      <c r="GW157" s="13">
        <f t="shared" si="188"/>
        <v>70.866444995542437</v>
      </c>
      <c r="GX157" s="20">
        <f t="shared" si="189"/>
        <v>643.35084503390271</v>
      </c>
      <c r="GY157" s="59">
        <f t="shared" si="137"/>
        <v>936.68417836723597</v>
      </c>
      <c r="GZ157" s="59">
        <f ca="1">AVERAGE(OFFSET($GY$3,0,0,'Données projet'!$E$18+1,1))-AVERAGE(OFFSET($H$3,0,0,'Données projet'!$E$18+1,1))</f>
        <v>412.59676769258488</v>
      </c>
      <c r="HA157" s="59">
        <f t="shared" si="160"/>
        <v>399.90063795152133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11.775339879996674</v>
      </c>
      <c r="HH157" s="21">
        <f>EXP(-LN(2)/25)*HH156+(1-EXP(-LN(2)/25))/(LN(2)/25)*Calculateur!HC157*Calculateur!HE157*VLOOKUP('Données projet'!$B$18,Paramètres!$A$1:$I$89,3,0)*0.475*44/12</f>
        <v>0</v>
      </c>
      <c r="HI157" s="21">
        <f>EXP(-LN(2)/2)*HI156+(1-EXP(-LN(2)/2))/(LN(2)/2)*HC157*HF157*VLOOKUP('Données projet'!$B$18,Paramètres!$A$1:$I$89,3,0)*0.475*44/12</f>
        <v>0</v>
      </c>
      <c r="HJ157" s="22">
        <f t="shared" si="190"/>
        <v>11.775339879996674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306.99999999999994</v>
      </c>
      <c r="O158" s="13">
        <f>N158*VLOOKUP('Données projet'!$B$9,Paramètres!$A$1:$I$89,3,0)*VLOOKUP('Données projet'!$B$9,Paramètres!$A$1:$I$89,5,0)</f>
        <v>277.77359999999993</v>
      </c>
      <c r="P158" s="13">
        <f t="shared" si="141"/>
        <v>66.496288176842356</v>
      </c>
      <c r="Q158" s="20">
        <f t="shared" si="162"/>
        <v>599.60338857466706</v>
      </c>
      <c r="R158" s="59">
        <f t="shared" si="109"/>
        <v>892.93672190800044</v>
      </c>
      <c r="S158" s="59">
        <f ca="1">AVERAGE(OFFSET($R$3,0,0,'Données projet'!$E$9+1,1))-AVERAGE(OFFSET($H$3,0,0,'Données projet'!$E$9+1,1))</f>
        <v>439.19854273764042</v>
      </c>
      <c r="T158" s="59">
        <f t="shared" si="142"/>
        <v>278.21741231699929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45.330250579854017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45.330250579854017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306.99999999999994</v>
      </c>
      <c r="AJ158" s="13">
        <f>AI158*VLOOKUP('Données projet'!$B$10,Paramètres!$A$1:$I$89,3,0)*VLOOKUP('Données projet'!$B$10,Paramètres!$A$1:$I$89,5,0)</f>
        <v>311.298</v>
      </c>
      <c r="AK158" s="13">
        <f t="shared" si="164"/>
        <v>73.539838278528748</v>
      </c>
      <c r="AL158" s="20">
        <f t="shared" si="165"/>
        <v>670.25923500177089</v>
      </c>
      <c r="AM158" s="59">
        <f t="shared" si="113"/>
        <v>963.59256833510426</v>
      </c>
      <c r="AN158" s="59">
        <f ca="1">AVERAGE(OFFSET($AM$3,0,0,'Données projet'!$E$10+1,1))-AVERAGE(OFFSET($H$3,0,0,'Données projet'!$E$10+1,1))</f>
        <v>487.18832528146936</v>
      </c>
      <c r="AO158" s="59">
        <f t="shared" si="144"/>
        <v>306.61893266146666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50.801142891215726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50.801142891215726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369.00000000000023</v>
      </c>
      <c r="BE158" s="13">
        <f>BD158*VLOOKUP('Données projet'!$B$11,Paramètres!$A$1:$I$89,3,0)*VLOOKUP('Données projet'!$B$11,Paramètres!$A$1:$I$89,5,0)</f>
        <v>333.87120000000021</v>
      </c>
      <c r="BF158" s="13">
        <f t="shared" si="167"/>
        <v>78.23236011137638</v>
      </c>
      <c r="BG158" s="20">
        <f t="shared" si="168"/>
        <v>717.74703386064755</v>
      </c>
      <c r="BH158" s="59">
        <f t="shared" si="116"/>
        <v>1011.0803671939809</v>
      </c>
      <c r="BI158" s="59">
        <f ca="1">AVERAGE(OFFSET($BH$3,0,0,'Données projet'!$E$11+1,1))-AVERAGE(OFFSET($H$3,0,0,'Données projet'!$E$11+1,1))</f>
        <v>436.23918637269577</v>
      </c>
      <c r="BJ158" s="59">
        <f t="shared" si="146"/>
        <v>611.43967996341894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0.88923536251701896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0.88923536251701896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224.00000000000006</v>
      </c>
      <c r="BZ158" s="13">
        <f>BY158*VLOOKUP('Données projet'!$B$12,Paramètres!$A$1:$I$89,3,0)*VLOOKUP('Données projet'!$B$12,Paramètres!$A$1:$I$89,5,0)</f>
        <v>195.68640000000008</v>
      </c>
      <c r="CA158" s="13">
        <f t="shared" si="170"/>
        <v>48.794969360985156</v>
      </c>
      <c r="CB158" s="20">
        <f t="shared" si="171"/>
        <v>425.8050516370493</v>
      </c>
      <c r="CC158" s="59">
        <f t="shared" si="119"/>
        <v>719.13838497038262</v>
      </c>
      <c r="CD158" s="59">
        <f ca="1">AVERAGE(OFFSET($CC$3,0,0,'Données projet'!$E$12+1,1))-AVERAGE(OFFSET($H$3,0,0,'Données projet'!$E$12+1,1))</f>
        <v>304.32767345253382</v>
      </c>
      <c r="CE158" s="59">
        <f t="shared" si="148"/>
        <v>427.16091343339173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9.6028413877667482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9.6028413877667482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739.99999999999966</v>
      </c>
      <c r="CU158" s="17">
        <f>CT158*VLOOKUP('Données projet'!$B$13,Paramètres!$A$1:$I$89,3,0)*VLOOKUP('Données projet'!$B$13,Paramètres!$A$1:$I$89,5,0)</f>
        <v>413.65999999999985</v>
      </c>
      <c r="CV158" s="13">
        <f t="shared" si="173"/>
        <v>94.540585122244352</v>
      </c>
      <c r="CW158" s="20">
        <f t="shared" si="174"/>
        <v>885.11601908790863</v>
      </c>
      <c r="CX158" s="59">
        <f t="shared" si="122"/>
        <v>1178.4493524212419</v>
      </c>
      <c r="CY158" s="59">
        <f ca="1">AVERAGE(OFFSET($CX$3,0,0,'Données projet'!$E$13+1,1))-AVERAGE(OFFSET($H$3,0,0,'Données projet'!$E$13+1,1))</f>
        <v>555.15881087162279</v>
      </c>
      <c r="CZ158" s="59">
        <f t="shared" si="150"/>
        <v>668.20427590250733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18.817926828669037</v>
      </c>
      <c r="DG158" s="21">
        <f>EXP(-LN(2)/25)*DG157+(1-EXP(-LN(2)/25))/(LN(2)/25)*Calculateur!DB158*Calculateur!DD158*VLOOKUP('Données projet'!$B$13,Paramètres!$A$1:$I$89,3,0)*0.475*44/12</f>
        <v>1.8056766868597152</v>
      </c>
      <c r="DH158" s="21">
        <f>EXP(-LN(2)/2)*DH157+(1-EXP(-LN(2)/2))/(LN(2)/2)*DB158*DE158*VLOOKUP('Données projet'!$B$13,Paramètres!$A$1:$I$89,3,0)*0.475*44/12</f>
        <v>1.3040405472194136E-19</v>
      </c>
      <c r="DI158" s="22">
        <f t="shared" si="175"/>
        <v>20.623603515528753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911.99999999999898</v>
      </c>
      <c r="DP158" s="17">
        <f>DO158*VLOOKUP('Données projet'!$B$14,Paramètres!$A$1:$I$89,3,0)*VLOOKUP('Données projet'!$B$14,Paramètres!$A$1:$I$89,5,0)</f>
        <v>426.81599999999946</v>
      </c>
      <c r="DQ158" s="13">
        <f t="shared" si="176"/>
        <v>97.192496986872399</v>
      </c>
      <c r="DR158" s="20">
        <f t="shared" si="177"/>
        <v>912.64813225213504</v>
      </c>
      <c r="DS158" s="59">
        <f t="shared" si="125"/>
        <v>1205.9814655854684</v>
      </c>
      <c r="DT158" s="59">
        <f ca="1">AVERAGE(OFFSET($DS$3,0,0,'Données projet'!$E$14+1,1))-AVERAGE(OFFSET($H$3,0,0,'Données projet'!$E$14+1,1))</f>
        <v>523.79180230463714</v>
      </c>
      <c r="DU158" s="59">
        <f t="shared" si="152"/>
        <v>459.3547783500515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33.653431010898423</v>
      </c>
      <c r="EB158" s="21">
        <f>EXP(-LN(2)/25)*EB157+(1-EXP(-LN(2)/25))/(LN(2)/25)*Calculateur!DW158*Calculateur!DY158*VLOOKUP('Données projet'!$B$14,Paramètres!$A$1:$I$89,3,0)*0.475*44/12</f>
        <v>1.670022417067013</v>
      </c>
      <c r="EC158" s="21">
        <f>EXP(-LN(2)/2)*EC157+(1-EXP(-LN(2)/2))/(LN(2)/2)*DW158*DZ158*VLOOKUP('Données projet'!$B$14,Paramètres!$A$1:$I$89,3,0)*0.475*44/12</f>
        <v>1.828054677335163E-19</v>
      </c>
      <c r="ED158" s="22">
        <f t="shared" si="178"/>
        <v>35.323453427965433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367.99999999999972</v>
      </c>
      <c r="EK158" s="17">
        <f>EJ158*VLOOKUP('Données projet'!$B$15,Paramètres!$A$1:$I$89,3,0)*VLOOKUP('Données projet'!$B$15,Paramètres!$A$1:$I$89,5,0)</f>
        <v>355.92959999999977</v>
      </c>
      <c r="EL158" s="13">
        <f t="shared" si="179"/>
        <v>82.782281100458206</v>
      </c>
      <c r="EM158" s="20">
        <f t="shared" si="180"/>
        <v>764.08985958329765</v>
      </c>
      <c r="EN158" s="59">
        <f t="shared" si="128"/>
        <v>1057.423192916631</v>
      </c>
      <c r="EO158" s="59">
        <f ca="1">AVERAGE(OFFSET($EN$3,0,0,'Données projet'!$E$15+1,1))-AVERAGE(OFFSET($H$3,0,0,'Données projet'!$E$15+1,1))</f>
        <v>484.41278617935654</v>
      </c>
      <c r="EP158" s="59">
        <f t="shared" si="154"/>
        <v>467.97490540700738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13.764515848582317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13.764515848582317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367.99999999999972</v>
      </c>
      <c r="FF158" s="17">
        <f>FE158*VLOOKUP('Données projet'!$B$16,Paramètres!$A$1:$I$89,3,0)*VLOOKUP('Données projet'!$B$16,Paramètres!$A$1:$I$89,5,0)</f>
        <v>396.11519999999967</v>
      </c>
      <c r="FG158" s="13">
        <f t="shared" si="182"/>
        <v>90.988634849704994</v>
      </c>
      <c r="FH158" s="20">
        <f t="shared" si="183"/>
        <v>848.37251236323561</v>
      </c>
      <c r="FI158" s="59">
        <f t="shared" si="131"/>
        <v>1141.705845696569</v>
      </c>
      <c r="FJ158" s="59">
        <f ca="1">AVERAGE(OFFSET($FI$3,0,0,'Données projet'!$E$16+1,1))-AVERAGE(OFFSET($H$3,0,0,'Données projet'!$E$16+1,1))</f>
        <v>534.54020133239135</v>
      </c>
      <c r="FK158" s="59">
        <f t="shared" si="156"/>
        <v>515.48696069008815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15.318574089551301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15.318574089551301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248.99999999999994</v>
      </c>
      <c r="GA158" s="17">
        <f>FZ158*VLOOKUP('Données projet'!$B$17,Paramètres!$A$1:$I$89,3,0)*VLOOKUP('Données projet'!$B$17,Paramètres!$A$1:$I$89,5,0)</f>
        <v>236.94839999999994</v>
      </c>
      <c r="GB158" s="13">
        <f t="shared" si="185"/>
        <v>57.782475694292401</v>
      </c>
      <c r="GC158" s="20">
        <f t="shared" si="186"/>
        <v>513.32294183422573</v>
      </c>
      <c r="GD158" s="59">
        <f t="shared" si="134"/>
        <v>806.65627516755899</v>
      </c>
      <c r="GE158" s="59">
        <f ca="1">AVERAGE(OFFSET($GD$3,0,0,'Données projet'!$E$17+1,1))-AVERAGE(OFFSET($H$3,0,0,'Données projet'!$E$17+1,1))</f>
        <v>455.71329051283936</v>
      </c>
      <c r="GF158" s="59">
        <f t="shared" si="158"/>
        <v>479.3743231122258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35.578523961570269</v>
      </c>
      <c r="GM158" s="21">
        <f>EXP(-LN(2)/25)*GM157+(1-EXP(-LN(2)/25))/(LN(2)/25)*Calculateur!GH158*Calculateur!GJ158*VLOOKUP('Données projet'!$B$17,Paramètres!$A$1:$I$89,3,0)*0.475*44/12</f>
        <v>0</v>
      </c>
      <c r="GN158" s="21">
        <f>EXP(-LN(2)/2)*GN157+(1-EXP(-LN(2)/2))/(LN(2)/2)*GH158*GK158*VLOOKUP('Données projet'!$B$17,Paramètres!$A$1:$I$89,3,0)*0.475*44/12</f>
        <v>0</v>
      </c>
      <c r="GO158" s="21">
        <f t="shared" si="187"/>
        <v>35.578523961570269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367.99999999999972</v>
      </c>
      <c r="GV158" s="17">
        <f>GU158*VLOOKUP('Données projet'!$B$18,Paramètres!$A$1:$I$89,3,0)*VLOOKUP('Données projet'!$B$18,Paramètres!$A$1:$I$89,5,0)</f>
        <v>298.52159999999981</v>
      </c>
      <c r="GW158" s="13">
        <f t="shared" si="188"/>
        <v>70.866444995542437</v>
      </c>
      <c r="GX158" s="20">
        <f t="shared" si="189"/>
        <v>643.35084503390271</v>
      </c>
      <c r="GY158" s="59">
        <f t="shared" si="137"/>
        <v>936.68417836723597</v>
      </c>
      <c r="GZ158" s="59">
        <f ca="1">AVERAGE(OFFSET($GY$3,0,0,'Données projet'!$E$18+1,1))-AVERAGE(OFFSET($H$3,0,0,'Données projet'!$E$18+1,1))</f>
        <v>412.59676769258488</v>
      </c>
      <c r="HA158" s="59">
        <f t="shared" si="160"/>
        <v>399.90063795152133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11.544432647198077</v>
      </c>
      <c r="HH158" s="21">
        <f>EXP(-LN(2)/25)*HH157+(1-EXP(-LN(2)/25))/(LN(2)/25)*Calculateur!HC158*Calculateur!HE158*VLOOKUP('Données projet'!$B$18,Paramètres!$A$1:$I$89,3,0)*0.475*44/12</f>
        <v>0</v>
      </c>
      <c r="HI158" s="21">
        <f>EXP(-LN(2)/2)*HI157+(1-EXP(-LN(2)/2))/(LN(2)/2)*HC158*HF158*VLOOKUP('Données projet'!$B$18,Paramètres!$A$1:$I$89,3,0)*0.475*44/12</f>
        <v>0</v>
      </c>
      <c r="HJ158" s="22">
        <f t="shared" si="190"/>
        <v>11.544432647198077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306.99999999999994</v>
      </c>
      <c r="O159" s="13">
        <f>N159*VLOOKUP('Données projet'!$B$9,Paramètres!$A$1:$I$89,3,0)*VLOOKUP('Données projet'!$B$9,Paramètres!$A$1:$I$89,5,0)</f>
        <v>277.77359999999993</v>
      </c>
      <c r="P159" s="13">
        <f t="shared" si="141"/>
        <v>66.496288176842356</v>
      </c>
      <c r="Q159" s="20">
        <f t="shared" si="162"/>
        <v>599.60338857466706</v>
      </c>
      <c r="R159" s="59">
        <f t="shared" si="109"/>
        <v>892.93672190800044</v>
      </c>
      <c r="S159" s="59">
        <f ca="1">AVERAGE(OFFSET($R$3,0,0,'Données projet'!$E$9+1,1))-AVERAGE(OFFSET($H$3,0,0,'Données projet'!$E$9+1,1))</f>
        <v>439.19854273764042</v>
      </c>
      <c r="T159" s="59">
        <f t="shared" si="142"/>
        <v>278.21741231699929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44.441352014705849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44.441352014705849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306.99999999999994</v>
      </c>
      <c r="AJ159" s="13">
        <f>AI159*VLOOKUP('Données projet'!$B$10,Paramètres!$A$1:$I$89,3,0)*VLOOKUP('Données projet'!$B$10,Paramètres!$A$1:$I$89,5,0)</f>
        <v>311.298</v>
      </c>
      <c r="AK159" s="13">
        <f t="shared" si="164"/>
        <v>73.539838278528748</v>
      </c>
      <c r="AL159" s="20">
        <f t="shared" si="165"/>
        <v>670.25923500177089</v>
      </c>
      <c r="AM159" s="59">
        <f t="shared" si="113"/>
        <v>963.59256833510426</v>
      </c>
      <c r="AN159" s="59">
        <f ca="1">AVERAGE(OFFSET($AM$3,0,0,'Données projet'!$E$10+1,1))-AVERAGE(OFFSET($H$3,0,0,'Données projet'!$E$10+1,1))</f>
        <v>487.18832528146936</v>
      </c>
      <c r="AO159" s="59">
        <f t="shared" si="144"/>
        <v>306.61893266146666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49.804963464756568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49.804963464756568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369.00000000000023</v>
      </c>
      <c r="BE159" s="13">
        <f>BD159*VLOOKUP('Données projet'!$B$11,Paramètres!$A$1:$I$89,3,0)*VLOOKUP('Données projet'!$B$11,Paramètres!$A$1:$I$89,5,0)</f>
        <v>333.87120000000021</v>
      </c>
      <c r="BF159" s="13">
        <f t="shared" si="167"/>
        <v>78.23236011137638</v>
      </c>
      <c r="BG159" s="20">
        <f t="shared" si="168"/>
        <v>717.74703386064755</v>
      </c>
      <c r="BH159" s="59">
        <f t="shared" si="116"/>
        <v>1011.0803671939809</v>
      </c>
      <c r="BI159" s="59">
        <f ca="1">AVERAGE(OFFSET($BH$3,0,0,'Données projet'!$E$11+1,1))-AVERAGE(OFFSET($H$3,0,0,'Données projet'!$E$11+1,1))</f>
        <v>436.23918637269577</v>
      </c>
      <c r="BJ159" s="59">
        <f t="shared" si="146"/>
        <v>611.43967996341894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0.87179799943807579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0.87179799943807579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224.00000000000006</v>
      </c>
      <c r="BZ159" s="13">
        <f>BY159*VLOOKUP('Données projet'!$B$12,Paramètres!$A$1:$I$89,3,0)*VLOOKUP('Données projet'!$B$12,Paramètres!$A$1:$I$89,5,0)</f>
        <v>195.68640000000008</v>
      </c>
      <c r="CA159" s="13">
        <f t="shared" si="170"/>
        <v>48.794969360985156</v>
      </c>
      <c r="CB159" s="20">
        <f t="shared" si="171"/>
        <v>425.8050516370493</v>
      </c>
      <c r="CC159" s="59">
        <f t="shared" si="119"/>
        <v>719.13838497038262</v>
      </c>
      <c r="CD159" s="59">
        <f ca="1">AVERAGE(OFFSET($CC$3,0,0,'Données projet'!$E$12+1,1))-AVERAGE(OFFSET($H$3,0,0,'Données projet'!$E$12+1,1))</f>
        <v>304.32767345253382</v>
      </c>
      <c r="CE159" s="59">
        <f t="shared" si="148"/>
        <v>427.16091343339173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9.4145355253075422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9.4145355253075422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739.99999999999966</v>
      </c>
      <c r="CU159" s="17">
        <f>CT159*VLOOKUP('Données projet'!$B$13,Paramètres!$A$1:$I$89,3,0)*VLOOKUP('Données projet'!$B$13,Paramètres!$A$1:$I$89,5,0)</f>
        <v>413.65999999999985</v>
      </c>
      <c r="CV159" s="13">
        <f t="shared" si="173"/>
        <v>94.540585122244352</v>
      </c>
      <c r="CW159" s="20">
        <f t="shared" si="174"/>
        <v>885.11601908790863</v>
      </c>
      <c r="CX159" s="59">
        <f t="shared" si="122"/>
        <v>1178.4493524212419</v>
      </c>
      <c r="CY159" s="59">
        <f ca="1">AVERAGE(OFFSET($CX$3,0,0,'Données projet'!$E$13+1,1))-AVERAGE(OFFSET($H$3,0,0,'Données projet'!$E$13+1,1))</f>
        <v>555.15881087162279</v>
      </c>
      <c r="CZ159" s="59">
        <f t="shared" si="150"/>
        <v>668.20427590250733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18.448918761360865</v>
      </c>
      <c r="DG159" s="21">
        <f>EXP(-LN(2)/25)*DG158+(1-EXP(-LN(2)/25))/(LN(2)/25)*Calculateur!DB159*Calculateur!DD159*VLOOKUP('Données projet'!$B$13,Paramètres!$A$1:$I$89,3,0)*0.475*44/12</f>
        <v>1.7563003629011262</v>
      </c>
      <c r="DH159" s="21">
        <f>EXP(-LN(2)/2)*DH158+(1-EXP(-LN(2)/2))/(LN(2)/2)*DB159*DE159*VLOOKUP('Données projet'!$B$13,Paramètres!$A$1:$I$89,3,0)*0.475*44/12</f>
        <v>9.220959138810636E-20</v>
      </c>
      <c r="DI159" s="22">
        <f t="shared" si="175"/>
        <v>20.205219124261991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911.99999999999898</v>
      </c>
      <c r="DP159" s="17">
        <f>DO159*VLOOKUP('Données projet'!$B$14,Paramètres!$A$1:$I$89,3,0)*VLOOKUP('Données projet'!$B$14,Paramètres!$A$1:$I$89,5,0)</f>
        <v>426.81599999999946</v>
      </c>
      <c r="DQ159" s="13">
        <f t="shared" si="176"/>
        <v>97.192496986872399</v>
      </c>
      <c r="DR159" s="20">
        <f t="shared" si="177"/>
        <v>912.64813225213504</v>
      </c>
      <c r="DS159" s="59">
        <f t="shared" si="125"/>
        <v>1205.9814655854684</v>
      </c>
      <c r="DT159" s="59">
        <f ca="1">AVERAGE(OFFSET($DS$3,0,0,'Données projet'!$E$14+1,1))-AVERAGE(OFFSET($H$3,0,0,'Données projet'!$E$14+1,1))</f>
        <v>523.79180230463714</v>
      </c>
      <c r="DU159" s="59">
        <f t="shared" si="152"/>
        <v>459.3547783500515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32.993507755340794</v>
      </c>
      <c r="EB159" s="21">
        <f>EXP(-LN(2)/25)*EB158+(1-EXP(-LN(2)/25))/(LN(2)/25)*Calculateur!DW159*Calculateur!DY159*VLOOKUP('Données projet'!$B$14,Paramètres!$A$1:$I$89,3,0)*0.475*44/12</f>
        <v>1.6243555662496536</v>
      </c>
      <c r="EC159" s="21">
        <f>EXP(-LN(2)/2)*EC158+(1-EXP(-LN(2)/2))/(LN(2)/2)*DW159*DZ159*VLOOKUP('Données projet'!$B$14,Paramètres!$A$1:$I$89,3,0)*0.475*44/12</f>
        <v>1.2926298587234799E-19</v>
      </c>
      <c r="ED159" s="22">
        <f t="shared" si="178"/>
        <v>34.617863321590448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367.99999999999972</v>
      </c>
      <c r="EK159" s="17">
        <f>EJ159*VLOOKUP('Données projet'!$B$15,Paramètres!$A$1:$I$89,3,0)*VLOOKUP('Données projet'!$B$15,Paramètres!$A$1:$I$89,5,0)</f>
        <v>355.92959999999977</v>
      </c>
      <c r="EL159" s="13">
        <f t="shared" si="179"/>
        <v>82.782281100458206</v>
      </c>
      <c r="EM159" s="20">
        <f t="shared" si="180"/>
        <v>764.08985958329765</v>
      </c>
      <c r="EN159" s="59">
        <f t="shared" si="128"/>
        <v>1057.423192916631</v>
      </c>
      <c r="EO159" s="59">
        <f ca="1">AVERAGE(OFFSET($EN$3,0,0,'Données projet'!$E$15+1,1))-AVERAGE(OFFSET($H$3,0,0,'Données projet'!$E$15+1,1))</f>
        <v>484.41278617935654</v>
      </c>
      <c r="EP159" s="59">
        <f t="shared" si="154"/>
        <v>467.97490540700738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13.494602088317295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13.494602088317295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367.99999999999972</v>
      </c>
      <c r="FF159" s="17">
        <f>FE159*VLOOKUP('Données projet'!$B$16,Paramètres!$A$1:$I$89,3,0)*VLOOKUP('Données projet'!$B$16,Paramètres!$A$1:$I$89,5,0)</f>
        <v>396.11519999999967</v>
      </c>
      <c r="FG159" s="13">
        <f t="shared" si="182"/>
        <v>90.988634849704994</v>
      </c>
      <c r="FH159" s="20">
        <f t="shared" si="183"/>
        <v>848.37251236323561</v>
      </c>
      <c r="FI159" s="59">
        <f t="shared" si="131"/>
        <v>1141.705845696569</v>
      </c>
      <c r="FJ159" s="59">
        <f ca="1">AVERAGE(OFFSET($FI$3,0,0,'Données projet'!$E$16+1,1))-AVERAGE(OFFSET($H$3,0,0,'Données projet'!$E$16+1,1))</f>
        <v>534.54020133239135</v>
      </c>
      <c r="FK159" s="59">
        <f t="shared" si="156"/>
        <v>515.48696069008815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15.01818619506281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15.01818619506281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248.99999999999994</v>
      </c>
      <c r="GA159" s="17">
        <f>FZ159*VLOOKUP('Données projet'!$B$17,Paramètres!$A$1:$I$89,3,0)*VLOOKUP('Données projet'!$B$17,Paramètres!$A$1:$I$89,5,0)</f>
        <v>236.94839999999994</v>
      </c>
      <c r="GB159" s="13">
        <f t="shared" si="185"/>
        <v>57.782475694292401</v>
      </c>
      <c r="GC159" s="20">
        <f t="shared" si="186"/>
        <v>513.32294183422573</v>
      </c>
      <c r="GD159" s="59">
        <f t="shared" si="134"/>
        <v>806.65627516755899</v>
      </c>
      <c r="GE159" s="59">
        <f ca="1">AVERAGE(OFFSET($GD$3,0,0,'Données projet'!$E$17+1,1))-AVERAGE(OFFSET($H$3,0,0,'Données projet'!$E$17+1,1))</f>
        <v>455.71329051283936</v>
      </c>
      <c r="GF159" s="59">
        <f t="shared" si="158"/>
        <v>479.3743231122258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34.880850807440723</v>
      </c>
      <c r="GM159" s="21">
        <f>EXP(-LN(2)/25)*GM158+(1-EXP(-LN(2)/25))/(LN(2)/25)*Calculateur!GH159*Calculateur!GJ159*VLOOKUP('Données projet'!$B$17,Paramètres!$A$1:$I$89,3,0)*0.475*44/12</f>
        <v>0</v>
      </c>
      <c r="GN159" s="21">
        <f>EXP(-LN(2)/2)*GN158+(1-EXP(-LN(2)/2))/(LN(2)/2)*GH159*GK159*VLOOKUP('Données projet'!$B$17,Paramètres!$A$1:$I$89,3,0)*0.475*44/12</f>
        <v>0</v>
      </c>
      <c r="GO159" s="21">
        <f t="shared" si="187"/>
        <v>34.880850807440723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367.99999999999972</v>
      </c>
      <c r="GV159" s="17">
        <f>GU159*VLOOKUP('Données projet'!$B$18,Paramètres!$A$1:$I$89,3,0)*VLOOKUP('Données projet'!$B$18,Paramètres!$A$1:$I$89,5,0)</f>
        <v>298.52159999999981</v>
      </c>
      <c r="GW159" s="13">
        <f t="shared" si="188"/>
        <v>70.866444995542437</v>
      </c>
      <c r="GX159" s="20">
        <f t="shared" si="189"/>
        <v>643.35084503390271</v>
      </c>
      <c r="GY159" s="59">
        <f t="shared" si="137"/>
        <v>936.68417836723597</v>
      </c>
      <c r="GZ159" s="59">
        <f ca="1">AVERAGE(OFFSET($GY$3,0,0,'Données projet'!$E$18+1,1))-AVERAGE(OFFSET($H$3,0,0,'Données projet'!$E$18+1,1))</f>
        <v>412.59676769258488</v>
      </c>
      <c r="HA159" s="59">
        <f t="shared" si="160"/>
        <v>399.90063795152133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11.318053364395157</v>
      </c>
      <c r="HH159" s="21">
        <f>EXP(-LN(2)/25)*HH158+(1-EXP(-LN(2)/25))/(LN(2)/25)*Calculateur!HC159*Calculateur!HE159*VLOOKUP('Données projet'!$B$18,Paramètres!$A$1:$I$89,3,0)*0.475*44/12</f>
        <v>0</v>
      </c>
      <c r="HI159" s="21">
        <f>EXP(-LN(2)/2)*HI158+(1-EXP(-LN(2)/2))/(LN(2)/2)*HC159*HF159*VLOOKUP('Données projet'!$B$18,Paramètres!$A$1:$I$89,3,0)*0.475*44/12</f>
        <v>0</v>
      </c>
      <c r="HJ159" s="22">
        <f t="shared" si="190"/>
        <v>11.318053364395157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306.99999999999994</v>
      </c>
      <c r="O160" s="13">
        <f>N160*VLOOKUP('Données projet'!$B$9,Paramètres!$A$1:$I$89,3,0)*VLOOKUP('Données projet'!$B$9,Paramètres!$A$1:$I$89,5,0)</f>
        <v>277.77359999999993</v>
      </c>
      <c r="P160" s="13">
        <f t="shared" si="141"/>
        <v>66.496288176842356</v>
      </c>
      <c r="Q160" s="20">
        <f t="shared" si="162"/>
        <v>599.60338857466706</v>
      </c>
      <c r="R160" s="59">
        <f t="shared" si="109"/>
        <v>892.93672190800044</v>
      </c>
      <c r="S160" s="59">
        <f ca="1">AVERAGE(OFFSET($R$3,0,0,'Données projet'!$E$9+1,1))-AVERAGE(OFFSET($H$3,0,0,'Données projet'!$E$9+1,1))</f>
        <v>439.19854273764042</v>
      </c>
      <c r="T160" s="59">
        <f t="shared" si="142"/>
        <v>278.21741231699929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43.569884208245647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43.569884208245647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306.99999999999994</v>
      </c>
      <c r="AJ160" s="13">
        <f>AI160*VLOOKUP('Données projet'!$B$10,Paramètres!$A$1:$I$89,3,0)*VLOOKUP('Données projet'!$B$10,Paramètres!$A$1:$I$89,5,0)</f>
        <v>311.298</v>
      </c>
      <c r="AK160" s="13">
        <f t="shared" si="164"/>
        <v>73.539838278528748</v>
      </c>
      <c r="AL160" s="20">
        <f t="shared" si="165"/>
        <v>670.25923500177089</v>
      </c>
      <c r="AM160" s="59">
        <f t="shared" si="113"/>
        <v>963.59256833510426</v>
      </c>
      <c r="AN160" s="59">
        <f ca="1">AVERAGE(OFFSET($AM$3,0,0,'Données projet'!$E$10+1,1))-AVERAGE(OFFSET($H$3,0,0,'Données projet'!$E$10+1,1))</f>
        <v>487.18832528146936</v>
      </c>
      <c r="AO160" s="59">
        <f t="shared" si="144"/>
        <v>306.61893266146666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48.828318509240823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48.828318509240823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369.00000000000023</v>
      </c>
      <c r="BE160" s="13">
        <f>BD160*VLOOKUP('Données projet'!$B$11,Paramètres!$A$1:$I$89,3,0)*VLOOKUP('Données projet'!$B$11,Paramètres!$A$1:$I$89,5,0)</f>
        <v>333.87120000000021</v>
      </c>
      <c r="BF160" s="13">
        <f t="shared" si="167"/>
        <v>78.23236011137638</v>
      </c>
      <c r="BG160" s="20">
        <f t="shared" si="168"/>
        <v>717.74703386064755</v>
      </c>
      <c r="BH160" s="59">
        <f t="shared" si="116"/>
        <v>1011.0803671939809</v>
      </c>
      <c r="BI160" s="59">
        <f ca="1">AVERAGE(OFFSET($BH$3,0,0,'Données projet'!$E$11+1,1))-AVERAGE(OFFSET($H$3,0,0,'Données projet'!$E$11+1,1))</f>
        <v>436.23918637269577</v>
      </c>
      <c r="BJ160" s="59">
        <f t="shared" si="146"/>
        <v>611.43967996341894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0.85470257241336944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0.85470257241336944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224.00000000000006</v>
      </c>
      <c r="BZ160" s="13">
        <f>BY160*VLOOKUP('Données projet'!$B$12,Paramètres!$A$1:$I$89,3,0)*VLOOKUP('Données projet'!$B$12,Paramètres!$A$1:$I$89,5,0)</f>
        <v>195.68640000000008</v>
      </c>
      <c r="CA160" s="13">
        <f t="shared" si="170"/>
        <v>48.794969360985156</v>
      </c>
      <c r="CB160" s="20">
        <f t="shared" si="171"/>
        <v>425.8050516370493</v>
      </c>
      <c r="CC160" s="59">
        <f t="shared" si="119"/>
        <v>719.13838497038262</v>
      </c>
      <c r="CD160" s="59">
        <f ca="1">AVERAGE(OFFSET($CC$3,0,0,'Données projet'!$E$12+1,1))-AVERAGE(OFFSET($H$3,0,0,'Données projet'!$E$12+1,1))</f>
        <v>304.32767345253382</v>
      </c>
      <c r="CE160" s="59">
        <f t="shared" si="148"/>
        <v>427.16091343339173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9.2299222259559262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9.2299222259559262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739.99999999999966</v>
      </c>
      <c r="CU160" s="17">
        <f>CT160*VLOOKUP('Données projet'!$B$13,Paramètres!$A$1:$I$89,3,0)*VLOOKUP('Données projet'!$B$13,Paramètres!$A$1:$I$89,5,0)</f>
        <v>413.65999999999985</v>
      </c>
      <c r="CV160" s="13">
        <f t="shared" si="173"/>
        <v>94.540585122244352</v>
      </c>
      <c r="CW160" s="20">
        <f t="shared" si="174"/>
        <v>885.11601908790863</v>
      </c>
      <c r="CX160" s="59">
        <f t="shared" si="122"/>
        <v>1178.4493524212419</v>
      </c>
      <c r="CY160" s="59">
        <f ca="1">AVERAGE(OFFSET($CX$3,0,0,'Données projet'!$E$13+1,1))-AVERAGE(OFFSET($H$3,0,0,'Données projet'!$E$13+1,1))</f>
        <v>555.15881087162279</v>
      </c>
      <c r="CZ160" s="59">
        <f t="shared" si="150"/>
        <v>668.20427590250733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18.087146717179909</v>
      </c>
      <c r="DG160" s="21">
        <f>EXP(-LN(2)/25)*DG159+(1-EXP(-LN(2)/25))/(LN(2)/25)*Calculateur!DB160*Calculateur!DD160*VLOOKUP('Données projet'!$B$13,Paramètres!$A$1:$I$89,3,0)*0.475*44/12</f>
        <v>1.7082742371177728</v>
      </c>
      <c r="DH160" s="21">
        <f>EXP(-LN(2)/2)*DH159+(1-EXP(-LN(2)/2))/(LN(2)/2)*DB160*DE160*VLOOKUP('Données projet'!$B$13,Paramètres!$A$1:$I$89,3,0)*0.475*44/12</f>
        <v>6.520202736097068E-20</v>
      </c>
      <c r="DI160" s="22">
        <f t="shared" si="175"/>
        <v>19.795420954297683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911.99999999999898</v>
      </c>
      <c r="DP160" s="17">
        <f>DO160*VLOOKUP('Données projet'!$B$14,Paramètres!$A$1:$I$89,3,0)*VLOOKUP('Données projet'!$B$14,Paramètres!$A$1:$I$89,5,0)</f>
        <v>426.81599999999946</v>
      </c>
      <c r="DQ160" s="13">
        <f t="shared" si="176"/>
        <v>97.192496986872399</v>
      </c>
      <c r="DR160" s="20">
        <f t="shared" si="177"/>
        <v>912.64813225213504</v>
      </c>
      <c r="DS160" s="59">
        <f t="shared" si="125"/>
        <v>1205.9814655854684</v>
      </c>
      <c r="DT160" s="59">
        <f ca="1">AVERAGE(OFFSET($DS$3,0,0,'Données projet'!$E$14+1,1))-AVERAGE(OFFSET($H$3,0,0,'Données projet'!$E$14+1,1))</f>
        <v>523.79180230463714</v>
      </c>
      <c r="DU160" s="59">
        <f t="shared" si="152"/>
        <v>459.3547783500515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32.346525192311205</v>
      </c>
      <c r="EB160" s="21">
        <f>EXP(-LN(2)/25)*EB159+(1-EXP(-LN(2)/25))/(LN(2)/25)*Calculateur!DW160*Calculateur!DY160*VLOOKUP('Données projet'!$B$14,Paramètres!$A$1:$I$89,3,0)*0.475*44/12</f>
        <v>1.5799374778694102</v>
      </c>
      <c r="EC160" s="21">
        <f>EXP(-LN(2)/2)*EC159+(1-EXP(-LN(2)/2))/(LN(2)/2)*DW160*DZ160*VLOOKUP('Données projet'!$B$14,Paramètres!$A$1:$I$89,3,0)*0.475*44/12</f>
        <v>9.1402733866758152E-20</v>
      </c>
      <c r="ED160" s="22">
        <f t="shared" si="178"/>
        <v>33.926462670180612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367.99999999999972</v>
      </c>
      <c r="EK160" s="17">
        <f>EJ160*VLOOKUP('Données projet'!$B$15,Paramètres!$A$1:$I$89,3,0)*VLOOKUP('Données projet'!$B$15,Paramètres!$A$1:$I$89,5,0)</f>
        <v>355.92959999999977</v>
      </c>
      <c r="EL160" s="13">
        <f t="shared" si="179"/>
        <v>82.782281100458206</v>
      </c>
      <c r="EM160" s="20">
        <f t="shared" si="180"/>
        <v>764.08985958329765</v>
      </c>
      <c r="EN160" s="59">
        <f t="shared" si="128"/>
        <v>1057.423192916631</v>
      </c>
      <c r="EO160" s="59">
        <f ca="1">AVERAGE(OFFSET($EN$3,0,0,'Données projet'!$E$15+1,1))-AVERAGE(OFFSET($H$3,0,0,'Données projet'!$E$15+1,1))</f>
        <v>484.41278617935654</v>
      </c>
      <c r="EP160" s="59">
        <f t="shared" si="154"/>
        <v>467.97490540700738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13.229981172259933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13.229981172259933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367.99999999999972</v>
      </c>
      <c r="FF160" s="17">
        <f>FE160*VLOOKUP('Données projet'!$B$16,Paramètres!$A$1:$I$89,3,0)*VLOOKUP('Données projet'!$B$16,Paramètres!$A$1:$I$89,5,0)</f>
        <v>396.11519999999967</v>
      </c>
      <c r="FG160" s="13">
        <f t="shared" si="182"/>
        <v>90.988634849704994</v>
      </c>
      <c r="FH160" s="20">
        <f t="shared" si="183"/>
        <v>848.37251236323561</v>
      </c>
      <c r="FI160" s="59">
        <f t="shared" si="131"/>
        <v>1141.705845696569</v>
      </c>
      <c r="FJ160" s="59">
        <f ca="1">AVERAGE(OFFSET($FI$3,0,0,'Données projet'!$E$16+1,1))-AVERAGE(OFFSET($H$3,0,0,'Données projet'!$E$16+1,1))</f>
        <v>534.54020133239135</v>
      </c>
      <c r="FK160" s="59">
        <f t="shared" si="156"/>
        <v>515.48696069008815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14.723688723966713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14.723688723966713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248.99999999999994</v>
      </c>
      <c r="GA160" s="17">
        <f>FZ160*VLOOKUP('Données projet'!$B$17,Paramètres!$A$1:$I$89,3,0)*VLOOKUP('Données projet'!$B$17,Paramètres!$A$1:$I$89,5,0)</f>
        <v>236.94839999999994</v>
      </c>
      <c r="GB160" s="13">
        <f t="shared" si="185"/>
        <v>57.782475694292401</v>
      </c>
      <c r="GC160" s="20">
        <f t="shared" si="186"/>
        <v>513.32294183422573</v>
      </c>
      <c r="GD160" s="59">
        <f t="shared" si="134"/>
        <v>806.65627516755899</v>
      </c>
      <c r="GE160" s="59">
        <f ca="1">AVERAGE(OFFSET($GD$3,0,0,'Données projet'!$E$17+1,1))-AVERAGE(OFFSET($H$3,0,0,'Données projet'!$E$17+1,1))</f>
        <v>455.71329051283936</v>
      </c>
      <c r="GF160" s="59">
        <f t="shared" si="158"/>
        <v>479.3743231122258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34.196858598325051</v>
      </c>
      <c r="GM160" s="21">
        <f>EXP(-LN(2)/25)*GM159+(1-EXP(-LN(2)/25))/(LN(2)/25)*Calculateur!GH160*Calculateur!GJ160*VLOOKUP('Données projet'!$B$17,Paramètres!$A$1:$I$89,3,0)*0.475*44/12</f>
        <v>0</v>
      </c>
      <c r="GN160" s="21">
        <f>EXP(-LN(2)/2)*GN159+(1-EXP(-LN(2)/2))/(LN(2)/2)*GH160*GK160*VLOOKUP('Données projet'!$B$17,Paramètres!$A$1:$I$89,3,0)*0.475*44/12</f>
        <v>0</v>
      </c>
      <c r="GO160" s="21">
        <f t="shared" si="187"/>
        <v>34.196858598325051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367.99999999999972</v>
      </c>
      <c r="GV160" s="17">
        <f>GU160*VLOOKUP('Données projet'!$B$18,Paramètres!$A$1:$I$89,3,0)*VLOOKUP('Données projet'!$B$18,Paramètres!$A$1:$I$89,5,0)</f>
        <v>298.52159999999981</v>
      </c>
      <c r="GW160" s="13">
        <f t="shared" si="188"/>
        <v>70.866444995542437</v>
      </c>
      <c r="GX160" s="20">
        <f t="shared" si="189"/>
        <v>643.35084503390271</v>
      </c>
      <c r="GY160" s="59">
        <f t="shared" si="137"/>
        <v>936.68417836723597</v>
      </c>
      <c r="GZ160" s="59">
        <f ca="1">AVERAGE(OFFSET($GY$3,0,0,'Données projet'!$E$18+1,1))-AVERAGE(OFFSET($H$3,0,0,'Données projet'!$E$18+1,1))</f>
        <v>412.59676769258488</v>
      </c>
      <c r="HA160" s="59">
        <f t="shared" si="160"/>
        <v>399.90063795152133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11.096113241250272</v>
      </c>
      <c r="HH160" s="21">
        <f>EXP(-LN(2)/25)*HH159+(1-EXP(-LN(2)/25))/(LN(2)/25)*Calculateur!HC160*Calculateur!HE160*VLOOKUP('Données projet'!$B$18,Paramètres!$A$1:$I$89,3,0)*0.475*44/12</f>
        <v>0</v>
      </c>
      <c r="HI160" s="21">
        <f>EXP(-LN(2)/2)*HI159+(1-EXP(-LN(2)/2))/(LN(2)/2)*HC160*HF160*VLOOKUP('Données projet'!$B$18,Paramètres!$A$1:$I$89,3,0)*0.475*44/12</f>
        <v>0</v>
      </c>
      <c r="HJ160" s="22">
        <f t="shared" si="190"/>
        <v>11.096113241250272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306.99999999999994</v>
      </c>
      <c r="O161" s="13">
        <f>N161*VLOOKUP('Données projet'!$B$9,Paramètres!$A$1:$I$89,3,0)*VLOOKUP('Données projet'!$B$9,Paramètres!$A$1:$I$89,5,0)</f>
        <v>277.77359999999993</v>
      </c>
      <c r="P161" s="13">
        <f t="shared" si="141"/>
        <v>66.496288176842356</v>
      </c>
      <c r="Q161" s="20">
        <f t="shared" si="162"/>
        <v>599.60338857466706</v>
      </c>
      <c r="R161" s="59">
        <f t="shared" si="109"/>
        <v>892.93672190800044</v>
      </c>
      <c r="S161" s="59">
        <f ca="1">AVERAGE(OFFSET($R$3,0,0,'Données projet'!$E$9+1,1))-AVERAGE(OFFSET($H$3,0,0,'Données projet'!$E$9+1,1))</f>
        <v>439.19854273764042</v>
      </c>
      <c r="T161" s="59">
        <f t="shared" si="142"/>
        <v>278.21741231699929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42.715505353927256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42.715505353927256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306.99999999999994</v>
      </c>
      <c r="AJ161" s="13">
        <f>AI161*VLOOKUP('Données projet'!$B$10,Paramètres!$A$1:$I$89,3,0)*VLOOKUP('Données projet'!$B$10,Paramètres!$A$1:$I$89,5,0)</f>
        <v>311.298</v>
      </c>
      <c r="AK161" s="13">
        <f t="shared" si="164"/>
        <v>73.539838278528748</v>
      </c>
      <c r="AL161" s="20">
        <f t="shared" si="165"/>
        <v>670.25923500177089</v>
      </c>
      <c r="AM161" s="59">
        <f t="shared" si="113"/>
        <v>963.59256833510426</v>
      </c>
      <c r="AN161" s="59">
        <f ca="1">AVERAGE(OFFSET($AM$3,0,0,'Données projet'!$E$10+1,1))-AVERAGE(OFFSET($H$3,0,0,'Données projet'!$E$10+1,1))</f>
        <v>487.18832528146936</v>
      </c>
      <c r="AO161" s="59">
        <f t="shared" si="144"/>
        <v>306.61893266146666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47.870824965608143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47.870824965608143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369.00000000000023</v>
      </c>
      <c r="BE161" s="13">
        <f>BD161*VLOOKUP('Données projet'!$B$11,Paramètres!$A$1:$I$89,3,0)*VLOOKUP('Données projet'!$B$11,Paramètres!$A$1:$I$89,5,0)</f>
        <v>333.87120000000021</v>
      </c>
      <c r="BF161" s="13">
        <f t="shared" si="167"/>
        <v>78.23236011137638</v>
      </c>
      <c r="BG161" s="20">
        <f t="shared" si="168"/>
        <v>717.74703386064755</v>
      </c>
      <c r="BH161" s="59">
        <f t="shared" si="116"/>
        <v>1011.0803671939809</v>
      </c>
      <c r="BI161" s="59">
        <f ca="1">AVERAGE(OFFSET($BH$3,0,0,'Données projet'!$E$11+1,1))-AVERAGE(OFFSET($H$3,0,0,'Données projet'!$E$11+1,1))</f>
        <v>436.23918637269577</v>
      </c>
      <c r="BJ161" s="59">
        <f t="shared" si="146"/>
        <v>611.43967996341894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0.83794237628543666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0.83794237628543666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224.00000000000006</v>
      </c>
      <c r="BZ161" s="13">
        <f>BY161*VLOOKUP('Données projet'!$B$12,Paramètres!$A$1:$I$89,3,0)*VLOOKUP('Données projet'!$B$12,Paramètres!$A$1:$I$89,5,0)</f>
        <v>195.68640000000008</v>
      </c>
      <c r="CA161" s="13">
        <f t="shared" si="170"/>
        <v>48.794969360985156</v>
      </c>
      <c r="CB161" s="20">
        <f t="shared" si="171"/>
        <v>425.8050516370493</v>
      </c>
      <c r="CC161" s="59">
        <f t="shared" si="119"/>
        <v>719.13838497038262</v>
      </c>
      <c r="CD161" s="59">
        <f ca="1">AVERAGE(OFFSET($CC$3,0,0,'Données projet'!$E$12+1,1))-AVERAGE(OFFSET($H$3,0,0,'Données projet'!$E$12+1,1))</f>
        <v>304.32767345253382</v>
      </c>
      <c r="CE161" s="59">
        <f t="shared" si="148"/>
        <v>427.16091343339173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9.0489290808016012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9.0489290808016012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739.99999999999966</v>
      </c>
      <c r="CU161" s="17">
        <f>CT161*VLOOKUP('Données projet'!$B$13,Paramètres!$A$1:$I$89,3,0)*VLOOKUP('Données projet'!$B$13,Paramètres!$A$1:$I$89,5,0)</f>
        <v>413.65999999999985</v>
      </c>
      <c r="CV161" s="13">
        <f t="shared" si="173"/>
        <v>94.540585122244352</v>
      </c>
      <c r="CW161" s="20">
        <f t="shared" si="174"/>
        <v>885.11601908790863</v>
      </c>
      <c r="CX161" s="59">
        <f t="shared" si="122"/>
        <v>1178.4493524212419</v>
      </c>
      <c r="CY161" s="59">
        <f ca="1">AVERAGE(OFFSET($CX$3,0,0,'Données projet'!$E$13+1,1))-AVERAGE(OFFSET($H$3,0,0,'Données projet'!$E$13+1,1))</f>
        <v>555.15881087162279</v>
      </c>
      <c r="CZ161" s="59">
        <f t="shared" si="150"/>
        <v>668.20427590250733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17.732468802126181</v>
      </c>
      <c r="DG161" s="21">
        <f>EXP(-LN(2)/25)*DG160+(1-EXP(-LN(2)/25))/(LN(2)/25)*Calculateur!DB161*Calculateur!DD161*VLOOKUP('Données projet'!$B$13,Paramètres!$A$1:$I$89,3,0)*0.475*44/12</f>
        <v>1.6615613882695495</v>
      </c>
      <c r="DH161" s="21">
        <f>EXP(-LN(2)/2)*DH160+(1-EXP(-LN(2)/2))/(LN(2)/2)*DB161*DE161*VLOOKUP('Données projet'!$B$13,Paramètres!$A$1:$I$89,3,0)*0.475*44/12</f>
        <v>4.610479569405318E-20</v>
      </c>
      <c r="DI161" s="22">
        <f t="shared" si="175"/>
        <v>19.394030190395732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911.99999999999898</v>
      </c>
      <c r="DP161" s="17">
        <f>DO161*VLOOKUP('Données projet'!$B$14,Paramètres!$A$1:$I$89,3,0)*VLOOKUP('Données projet'!$B$14,Paramètres!$A$1:$I$89,5,0)</f>
        <v>426.81599999999946</v>
      </c>
      <c r="DQ161" s="13">
        <f t="shared" si="176"/>
        <v>97.192496986872399</v>
      </c>
      <c r="DR161" s="20">
        <f t="shared" si="177"/>
        <v>912.64813225213504</v>
      </c>
      <c r="DS161" s="59">
        <f t="shared" si="125"/>
        <v>1205.9814655854684</v>
      </c>
      <c r="DT161" s="59">
        <f ca="1">AVERAGE(OFFSET($DS$3,0,0,'Données projet'!$E$14+1,1))-AVERAGE(OFFSET($H$3,0,0,'Données projet'!$E$14+1,1))</f>
        <v>523.79180230463714</v>
      </c>
      <c r="DU161" s="59">
        <f t="shared" si="152"/>
        <v>459.3547783500515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31.712229562722229</v>
      </c>
      <c r="EB161" s="21">
        <f>EXP(-LN(2)/25)*EB160+(1-EXP(-LN(2)/25))/(LN(2)/25)*Calculateur!DW161*Calculateur!DY161*VLOOKUP('Données projet'!$B$14,Paramètres!$A$1:$I$89,3,0)*0.475*44/12</f>
        <v>1.5367340044517701</v>
      </c>
      <c r="EC161" s="21">
        <f>EXP(-LN(2)/2)*EC160+(1-EXP(-LN(2)/2))/(LN(2)/2)*DW161*DZ161*VLOOKUP('Données projet'!$B$14,Paramètres!$A$1:$I$89,3,0)*0.475*44/12</f>
        <v>6.4631492936173993E-20</v>
      </c>
      <c r="ED161" s="22">
        <f t="shared" si="178"/>
        <v>33.248963567174002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367.99999999999972</v>
      </c>
      <c r="EK161" s="17">
        <f>EJ161*VLOOKUP('Données projet'!$B$15,Paramètres!$A$1:$I$89,3,0)*VLOOKUP('Données projet'!$B$15,Paramètres!$A$1:$I$89,5,0)</f>
        <v>355.92959999999977</v>
      </c>
      <c r="EL161" s="13">
        <f t="shared" si="179"/>
        <v>82.782281100458206</v>
      </c>
      <c r="EM161" s="20">
        <f t="shared" si="180"/>
        <v>764.08985958329765</v>
      </c>
      <c r="EN161" s="59">
        <f t="shared" si="128"/>
        <v>1057.423192916631</v>
      </c>
      <c r="EO161" s="59">
        <f ca="1">AVERAGE(OFFSET($EN$3,0,0,'Données projet'!$E$15+1,1))-AVERAGE(OFFSET($H$3,0,0,'Données projet'!$E$15+1,1))</f>
        <v>484.41278617935654</v>
      </c>
      <c r="EP161" s="59">
        <f t="shared" si="154"/>
        <v>467.97490540700738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12.970549310963635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12.970549310963635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367.99999999999972</v>
      </c>
      <c r="FF161" s="17">
        <f>FE161*VLOOKUP('Données projet'!$B$16,Paramètres!$A$1:$I$89,3,0)*VLOOKUP('Données projet'!$B$16,Paramètres!$A$1:$I$89,5,0)</f>
        <v>396.11519999999967</v>
      </c>
      <c r="FG161" s="13">
        <f t="shared" si="182"/>
        <v>90.988634849704994</v>
      </c>
      <c r="FH161" s="20">
        <f t="shared" si="183"/>
        <v>848.37251236323561</v>
      </c>
      <c r="FI161" s="59">
        <f t="shared" si="131"/>
        <v>1141.705845696569</v>
      </c>
      <c r="FJ161" s="59">
        <f ca="1">AVERAGE(OFFSET($FI$3,0,0,'Données projet'!$E$16+1,1))-AVERAGE(OFFSET($H$3,0,0,'Données projet'!$E$16+1,1))</f>
        <v>534.54020133239135</v>
      </c>
      <c r="FK161" s="59">
        <f t="shared" si="156"/>
        <v>515.48696069008815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14.434966168653091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14.434966168653091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248.99999999999994</v>
      </c>
      <c r="GA161" s="17">
        <f>FZ161*VLOOKUP('Données projet'!$B$17,Paramètres!$A$1:$I$89,3,0)*VLOOKUP('Données projet'!$B$17,Paramètres!$A$1:$I$89,5,0)</f>
        <v>236.94839999999994</v>
      </c>
      <c r="GB161" s="13">
        <f t="shared" si="185"/>
        <v>57.782475694292401</v>
      </c>
      <c r="GC161" s="20">
        <f t="shared" si="186"/>
        <v>513.32294183422573</v>
      </c>
      <c r="GD161" s="59">
        <f t="shared" si="134"/>
        <v>806.65627516755899</v>
      </c>
      <c r="GE161" s="59">
        <f ca="1">AVERAGE(OFFSET($GD$3,0,0,'Données projet'!$E$17+1,1))-AVERAGE(OFFSET($H$3,0,0,'Données projet'!$E$17+1,1))</f>
        <v>455.71329051283936</v>
      </c>
      <c r="GF161" s="59">
        <f t="shared" si="158"/>
        <v>479.3743231122258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33.526279059236082</v>
      </c>
      <c r="GM161" s="21">
        <f>EXP(-LN(2)/25)*GM160+(1-EXP(-LN(2)/25))/(LN(2)/25)*Calculateur!GH161*Calculateur!GJ161*VLOOKUP('Données projet'!$B$17,Paramètres!$A$1:$I$89,3,0)*0.475*44/12</f>
        <v>0</v>
      </c>
      <c r="GN161" s="21">
        <f>EXP(-LN(2)/2)*GN160+(1-EXP(-LN(2)/2))/(LN(2)/2)*GH161*GK161*VLOOKUP('Données projet'!$B$17,Paramètres!$A$1:$I$89,3,0)*0.475*44/12</f>
        <v>0</v>
      </c>
      <c r="GO161" s="21">
        <f t="shared" si="187"/>
        <v>33.526279059236082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367.99999999999972</v>
      </c>
      <c r="GV161" s="17">
        <f>GU161*VLOOKUP('Données projet'!$B$18,Paramètres!$A$1:$I$89,3,0)*VLOOKUP('Données projet'!$B$18,Paramètres!$A$1:$I$89,5,0)</f>
        <v>298.52159999999981</v>
      </c>
      <c r="GW161" s="13">
        <f t="shared" si="188"/>
        <v>70.866444995542437</v>
      </c>
      <c r="GX161" s="20">
        <f t="shared" si="189"/>
        <v>643.35084503390271</v>
      </c>
      <c r="GY161" s="59">
        <f t="shared" si="137"/>
        <v>936.68417836723597</v>
      </c>
      <c r="GZ161" s="59">
        <f ca="1">AVERAGE(OFFSET($GY$3,0,0,'Données projet'!$E$18+1,1))-AVERAGE(OFFSET($H$3,0,0,'Données projet'!$E$18+1,1))</f>
        <v>412.59676769258488</v>
      </c>
      <c r="HA161" s="59">
        <f t="shared" si="160"/>
        <v>399.90063795152133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10.878525228550151</v>
      </c>
      <c r="HH161" s="21">
        <f>EXP(-LN(2)/25)*HH160+(1-EXP(-LN(2)/25))/(LN(2)/25)*Calculateur!HC161*Calculateur!HE161*VLOOKUP('Données projet'!$B$18,Paramètres!$A$1:$I$89,3,0)*0.475*44/12</f>
        <v>0</v>
      </c>
      <c r="HI161" s="21">
        <f>EXP(-LN(2)/2)*HI160+(1-EXP(-LN(2)/2))/(LN(2)/2)*HC161*HF161*VLOOKUP('Données projet'!$B$18,Paramètres!$A$1:$I$89,3,0)*0.475*44/12</f>
        <v>0</v>
      </c>
      <c r="HJ161" s="22">
        <f t="shared" si="190"/>
        <v>10.878525228550151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306.99999999999994</v>
      </c>
      <c r="O162" s="13">
        <f>N162*VLOOKUP('Données projet'!$B$9,Paramètres!$A$1:$I$89,3,0)*VLOOKUP('Données projet'!$B$9,Paramètres!$A$1:$I$89,5,0)</f>
        <v>277.77359999999993</v>
      </c>
      <c r="P162" s="13">
        <f t="shared" si="141"/>
        <v>66.496288176842356</v>
      </c>
      <c r="Q162" s="20">
        <f t="shared" si="162"/>
        <v>599.60338857466706</v>
      </c>
      <c r="R162" s="59">
        <f t="shared" si="109"/>
        <v>892.93672190800044</v>
      </c>
      <c r="S162" s="59">
        <f ca="1">AVERAGE(OFFSET($R$3,0,0,'Données projet'!$E$9+1,1))-AVERAGE(OFFSET($H$3,0,0,'Données projet'!$E$9+1,1))</f>
        <v>439.19854273764042</v>
      </c>
      <c r="T162" s="59">
        <f t="shared" si="142"/>
        <v>278.21741231699929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41.877880347822398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41.877880347822398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306.99999999999994</v>
      </c>
      <c r="AJ162" s="13">
        <f>AI162*VLOOKUP('Données projet'!$B$10,Paramètres!$A$1:$I$89,3,0)*VLOOKUP('Données projet'!$B$10,Paramètres!$A$1:$I$89,5,0)</f>
        <v>311.298</v>
      </c>
      <c r="AK162" s="13">
        <f t="shared" si="164"/>
        <v>73.539838278528748</v>
      </c>
      <c r="AL162" s="20">
        <f t="shared" si="165"/>
        <v>670.25923500177089</v>
      </c>
      <c r="AM162" s="59">
        <f t="shared" si="113"/>
        <v>963.59256833510426</v>
      </c>
      <c r="AN162" s="59">
        <f ca="1">AVERAGE(OFFSET($AM$3,0,0,'Données projet'!$E$10+1,1))-AVERAGE(OFFSET($H$3,0,0,'Données projet'!$E$10+1,1))</f>
        <v>487.18832528146936</v>
      </c>
      <c r="AO162" s="59">
        <f t="shared" si="144"/>
        <v>306.61893266146666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46.932107286352704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46.932107286352704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369.00000000000023</v>
      </c>
      <c r="BE162" s="13">
        <f>BD162*VLOOKUP('Données projet'!$B$11,Paramètres!$A$1:$I$89,3,0)*VLOOKUP('Données projet'!$B$11,Paramètres!$A$1:$I$89,5,0)</f>
        <v>333.87120000000021</v>
      </c>
      <c r="BF162" s="13">
        <f t="shared" si="167"/>
        <v>78.23236011137638</v>
      </c>
      <c r="BG162" s="20">
        <f t="shared" si="168"/>
        <v>717.74703386064755</v>
      </c>
      <c r="BH162" s="59">
        <f t="shared" si="116"/>
        <v>1011.0803671939809</v>
      </c>
      <c r="BI162" s="59">
        <f ca="1">AVERAGE(OFFSET($BH$3,0,0,'Données projet'!$E$11+1,1))-AVERAGE(OFFSET($H$3,0,0,'Données projet'!$E$11+1,1))</f>
        <v>436.23918637269577</v>
      </c>
      <c r="BJ162" s="59">
        <f t="shared" si="146"/>
        <v>611.43967996341894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0.82151083738086239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0.82151083738086239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224.00000000000006</v>
      </c>
      <c r="BZ162" s="13">
        <f>BY162*VLOOKUP('Données projet'!$B$12,Paramètres!$A$1:$I$89,3,0)*VLOOKUP('Données projet'!$B$12,Paramètres!$A$1:$I$89,5,0)</f>
        <v>195.68640000000008</v>
      </c>
      <c r="CA162" s="13">
        <f t="shared" si="170"/>
        <v>48.794969360985156</v>
      </c>
      <c r="CB162" s="20">
        <f t="shared" si="171"/>
        <v>425.8050516370493</v>
      </c>
      <c r="CC162" s="59">
        <f t="shared" si="119"/>
        <v>719.13838497038262</v>
      </c>
      <c r="CD162" s="59">
        <f ca="1">AVERAGE(OFFSET($CC$3,0,0,'Données projet'!$E$12+1,1))-AVERAGE(OFFSET($H$3,0,0,'Données projet'!$E$12+1,1))</f>
        <v>304.32767345253382</v>
      </c>
      <c r="CE162" s="59">
        <f t="shared" si="148"/>
        <v>427.16091343339173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8.8714851008288349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8.8714851008288349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739.99999999999966</v>
      </c>
      <c r="CU162" s="17">
        <f>CT162*VLOOKUP('Données projet'!$B$13,Paramètres!$A$1:$I$89,3,0)*VLOOKUP('Données projet'!$B$13,Paramètres!$A$1:$I$89,5,0)</f>
        <v>413.65999999999985</v>
      </c>
      <c r="CV162" s="13">
        <f t="shared" si="173"/>
        <v>94.540585122244352</v>
      </c>
      <c r="CW162" s="20">
        <f t="shared" si="174"/>
        <v>885.11601908790863</v>
      </c>
      <c r="CX162" s="59">
        <f t="shared" si="122"/>
        <v>1178.4493524212419</v>
      </c>
      <c r="CY162" s="59">
        <f ca="1">AVERAGE(OFFSET($CX$3,0,0,'Données projet'!$E$13+1,1))-AVERAGE(OFFSET($H$3,0,0,'Données projet'!$E$13+1,1))</f>
        <v>555.15881087162279</v>
      </c>
      <c r="CZ162" s="59">
        <f t="shared" si="150"/>
        <v>668.20427590250733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17.384745904654491</v>
      </c>
      <c r="DG162" s="21">
        <f>EXP(-LN(2)/25)*DG161+(1-EXP(-LN(2)/25))/(LN(2)/25)*Calculateur!DB162*Calculateur!DD162*VLOOKUP('Données projet'!$B$13,Paramètres!$A$1:$I$89,3,0)*0.475*44/12</f>
        <v>1.6161259047296028</v>
      </c>
      <c r="DH162" s="21">
        <f>EXP(-LN(2)/2)*DH161+(1-EXP(-LN(2)/2))/(LN(2)/2)*DB162*DE162*VLOOKUP('Données projet'!$B$13,Paramètres!$A$1:$I$89,3,0)*0.475*44/12</f>
        <v>3.260101368048534E-20</v>
      </c>
      <c r="DI162" s="22">
        <f t="shared" si="175"/>
        <v>19.000871809384094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911.99999999999898</v>
      </c>
      <c r="DP162" s="17">
        <f>DO162*VLOOKUP('Données projet'!$B$14,Paramètres!$A$1:$I$89,3,0)*VLOOKUP('Données projet'!$B$14,Paramètres!$A$1:$I$89,5,0)</f>
        <v>426.81599999999946</v>
      </c>
      <c r="DQ162" s="13">
        <f t="shared" si="176"/>
        <v>97.192496986872399</v>
      </c>
      <c r="DR162" s="20">
        <f t="shared" si="177"/>
        <v>912.64813225213504</v>
      </c>
      <c r="DS162" s="59">
        <f t="shared" si="125"/>
        <v>1205.9814655854684</v>
      </c>
      <c r="DT162" s="59">
        <f ca="1">AVERAGE(OFFSET($DS$3,0,0,'Données projet'!$E$14+1,1))-AVERAGE(OFFSET($H$3,0,0,'Données projet'!$E$14+1,1))</f>
        <v>523.79180230463714</v>
      </c>
      <c r="DU162" s="59">
        <f t="shared" si="152"/>
        <v>459.3547783500515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31.090372083547361</v>
      </c>
      <c r="EB162" s="21">
        <f>EXP(-LN(2)/25)*EB161+(1-EXP(-LN(2)/25))/(LN(2)/25)*Calculateur!DW162*Calculateur!DY162*VLOOKUP('Données projet'!$B$14,Paramètres!$A$1:$I$89,3,0)*0.475*44/12</f>
        <v>1.4947119322867075</v>
      </c>
      <c r="EC162" s="21">
        <f>EXP(-LN(2)/2)*EC161+(1-EXP(-LN(2)/2))/(LN(2)/2)*DW162*DZ162*VLOOKUP('Données projet'!$B$14,Paramètres!$A$1:$I$89,3,0)*0.475*44/12</f>
        <v>4.5701366933379076E-20</v>
      </c>
      <c r="ED162" s="22">
        <f t="shared" si="178"/>
        <v>32.58508401583407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367.99999999999972</v>
      </c>
      <c r="EK162" s="17">
        <f>EJ162*VLOOKUP('Données projet'!$B$15,Paramètres!$A$1:$I$89,3,0)*VLOOKUP('Données projet'!$B$15,Paramètres!$A$1:$I$89,5,0)</f>
        <v>355.92959999999977</v>
      </c>
      <c r="EL162" s="13">
        <f t="shared" si="179"/>
        <v>82.782281100458206</v>
      </c>
      <c r="EM162" s="20">
        <f t="shared" si="180"/>
        <v>764.08985958329765</v>
      </c>
      <c r="EN162" s="59">
        <f t="shared" si="128"/>
        <v>1057.423192916631</v>
      </c>
      <c r="EO162" s="59">
        <f ca="1">AVERAGE(OFFSET($EN$3,0,0,'Données projet'!$E$15+1,1))-AVERAGE(OFFSET($H$3,0,0,'Données projet'!$E$15+1,1))</f>
        <v>484.41278617935654</v>
      </c>
      <c r="EP162" s="59">
        <f t="shared" si="154"/>
        <v>467.97490540700738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12.716204750229547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12.716204750229547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367.99999999999972</v>
      </c>
      <c r="FF162" s="17">
        <f>FE162*VLOOKUP('Données projet'!$B$16,Paramètres!$A$1:$I$89,3,0)*VLOOKUP('Données projet'!$B$16,Paramètres!$A$1:$I$89,5,0)</f>
        <v>396.11519999999967</v>
      </c>
      <c r="FG162" s="13">
        <f t="shared" si="182"/>
        <v>90.988634849704994</v>
      </c>
      <c r="FH162" s="20">
        <f t="shared" si="183"/>
        <v>848.37251236323561</v>
      </c>
      <c r="FI162" s="59">
        <f t="shared" si="131"/>
        <v>1141.705845696569</v>
      </c>
      <c r="FJ162" s="59">
        <f ca="1">AVERAGE(OFFSET($FI$3,0,0,'Données projet'!$E$16+1,1))-AVERAGE(OFFSET($H$3,0,0,'Données projet'!$E$16+1,1))</f>
        <v>534.54020133239135</v>
      </c>
      <c r="FK162" s="59">
        <f t="shared" si="156"/>
        <v>515.48696069008815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14.151905286545798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14.151905286545798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248.99999999999994</v>
      </c>
      <c r="GA162" s="17">
        <f>FZ162*VLOOKUP('Données projet'!$B$17,Paramètres!$A$1:$I$89,3,0)*VLOOKUP('Données projet'!$B$17,Paramètres!$A$1:$I$89,5,0)</f>
        <v>236.94839999999994</v>
      </c>
      <c r="GB162" s="13">
        <f t="shared" si="185"/>
        <v>57.782475694292401</v>
      </c>
      <c r="GC162" s="20">
        <f t="shared" si="186"/>
        <v>513.32294183422573</v>
      </c>
      <c r="GD162" s="59">
        <f t="shared" si="134"/>
        <v>806.65627516755899</v>
      </c>
      <c r="GE162" s="59">
        <f ca="1">AVERAGE(OFFSET($GD$3,0,0,'Données projet'!$E$17+1,1))-AVERAGE(OFFSET($H$3,0,0,'Données projet'!$E$17+1,1))</f>
        <v>455.71329051283936</v>
      </c>
      <c r="GF162" s="59">
        <f t="shared" si="158"/>
        <v>479.3743231122258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32.868849175895519</v>
      </c>
      <c r="GM162" s="21">
        <f>EXP(-LN(2)/25)*GM161+(1-EXP(-LN(2)/25))/(LN(2)/25)*Calculateur!GH162*Calculateur!GJ162*VLOOKUP('Données projet'!$B$17,Paramètres!$A$1:$I$89,3,0)*0.475*44/12</f>
        <v>0</v>
      </c>
      <c r="GN162" s="21">
        <f>EXP(-LN(2)/2)*GN161+(1-EXP(-LN(2)/2))/(LN(2)/2)*GH162*GK162*VLOOKUP('Données projet'!$B$17,Paramètres!$A$1:$I$89,3,0)*0.475*44/12</f>
        <v>0</v>
      </c>
      <c r="GO162" s="21">
        <f t="shared" si="187"/>
        <v>32.868849175895519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367.99999999999972</v>
      </c>
      <c r="GV162" s="17">
        <f>GU162*VLOOKUP('Données projet'!$B$18,Paramètres!$A$1:$I$89,3,0)*VLOOKUP('Données projet'!$B$18,Paramètres!$A$1:$I$89,5,0)</f>
        <v>298.52159999999981</v>
      </c>
      <c r="GW162" s="13">
        <f t="shared" si="188"/>
        <v>70.866444995542437</v>
      </c>
      <c r="GX162" s="20">
        <f t="shared" si="189"/>
        <v>643.35084503390271</v>
      </c>
      <c r="GY162" s="59">
        <f t="shared" si="137"/>
        <v>936.68417836723597</v>
      </c>
      <c r="GZ162" s="59">
        <f ca="1">AVERAGE(OFFSET($GY$3,0,0,'Données projet'!$E$18+1,1))-AVERAGE(OFFSET($H$3,0,0,'Données projet'!$E$18+1,1))</f>
        <v>412.59676769258488</v>
      </c>
      <c r="HA162" s="59">
        <f t="shared" si="160"/>
        <v>399.90063795152133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10.665203984063496</v>
      </c>
      <c r="HH162" s="21">
        <f>EXP(-LN(2)/25)*HH161+(1-EXP(-LN(2)/25))/(LN(2)/25)*Calculateur!HC162*Calculateur!HE162*VLOOKUP('Données projet'!$B$18,Paramètres!$A$1:$I$89,3,0)*0.475*44/12</f>
        <v>0</v>
      </c>
      <c r="HI162" s="21">
        <f>EXP(-LN(2)/2)*HI161+(1-EXP(-LN(2)/2))/(LN(2)/2)*HC162*HF162*VLOOKUP('Données projet'!$B$18,Paramètres!$A$1:$I$89,3,0)*0.475*44/12</f>
        <v>0</v>
      </c>
      <c r="HJ162" s="22">
        <f t="shared" si="190"/>
        <v>10.665203984063496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306.99999999999994</v>
      </c>
      <c r="O163" s="13">
        <f>N163*VLOOKUP('Données projet'!$B$9,Paramètres!$A$1:$I$89,3,0)*VLOOKUP('Données projet'!$B$9,Paramètres!$A$1:$I$89,5,0)</f>
        <v>277.77359999999993</v>
      </c>
      <c r="P163" s="13">
        <f t="shared" si="141"/>
        <v>66.496288176842356</v>
      </c>
      <c r="Q163" s="20">
        <f t="shared" si="162"/>
        <v>599.60338857466706</v>
      </c>
      <c r="R163" s="59">
        <f t="shared" si="109"/>
        <v>892.93672190800044</v>
      </c>
      <c r="S163" s="59">
        <f ca="1">AVERAGE(OFFSET($R$3,0,0,'Données projet'!$E$9+1,1))-AVERAGE(OFFSET($H$3,0,0,'Données projet'!$E$9+1,1))</f>
        <v>439.19854273764042</v>
      </c>
      <c r="T163" s="59">
        <f t="shared" si="142"/>
        <v>278.21741231699929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41.056680657186455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41.056680657186455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306.99999999999994</v>
      </c>
      <c r="AJ163" s="13">
        <f>AI163*VLOOKUP('Données projet'!$B$10,Paramètres!$A$1:$I$89,3,0)*VLOOKUP('Données projet'!$B$10,Paramètres!$A$1:$I$89,5,0)</f>
        <v>311.298</v>
      </c>
      <c r="AK163" s="13">
        <f t="shared" si="164"/>
        <v>73.539838278528748</v>
      </c>
      <c r="AL163" s="20">
        <f t="shared" si="165"/>
        <v>670.25923500177089</v>
      </c>
      <c r="AM163" s="59">
        <f t="shared" si="113"/>
        <v>963.59256833510426</v>
      </c>
      <c r="AN163" s="59">
        <f ca="1">AVERAGE(OFFSET($AM$3,0,0,'Données projet'!$E$10+1,1))-AVERAGE(OFFSET($H$3,0,0,'Données projet'!$E$10+1,1))</f>
        <v>487.18832528146936</v>
      </c>
      <c r="AO163" s="59">
        <f t="shared" si="144"/>
        <v>306.61893266146666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46.011797288226212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46.011797288226212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369.00000000000023</v>
      </c>
      <c r="BE163" s="13">
        <f>BD163*VLOOKUP('Données projet'!$B$11,Paramètres!$A$1:$I$89,3,0)*VLOOKUP('Données projet'!$B$11,Paramètres!$A$1:$I$89,5,0)</f>
        <v>333.87120000000021</v>
      </c>
      <c r="BF163" s="13">
        <f t="shared" si="167"/>
        <v>78.23236011137638</v>
      </c>
      <c r="BG163" s="20">
        <f t="shared" si="168"/>
        <v>717.74703386064755</v>
      </c>
      <c r="BH163" s="59">
        <f t="shared" si="116"/>
        <v>1011.0803671939809</v>
      </c>
      <c r="BI163" s="59">
        <f ca="1">AVERAGE(OFFSET($BH$3,0,0,'Données projet'!$E$11+1,1))-AVERAGE(OFFSET($H$3,0,0,'Données projet'!$E$11+1,1))</f>
        <v>436.23918637269577</v>
      </c>
      <c r="BJ163" s="59">
        <f t="shared" si="146"/>
        <v>611.43967996341894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0.80540151093195766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0.80540151093195766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224.00000000000006</v>
      </c>
      <c r="BZ163" s="13">
        <f>BY163*VLOOKUP('Données projet'!$B$12,Paramètres!$A$1:$I$89,3,0)*VLOOKUP('Données projet'!$B$12,Paramètres!$A$1:$I$89,5,0)</f>
        <v>195.68640000000008</v>
      </c>
      <c r="CA163" s="13">
        <f t="shared" si="170"/>
        <v>48.794969360985156</v>
      </c>
      <c r="CB163" s="20">
        <f t="shared" si="171"/>
        <v>425.8050516370493</v>
      </c>
      <c r="CC163" s="59">
        <f t="shared" si="119"/>
        <v>719.13838497038262</v>
      </c>
      <c r="CD163" s="59">
        <f ca="1">AVERAGE(OFFSET($CC$3,0,0,'Données projet'!$E$12+1,1))-AVERAGE(OFFSET($H$3,0,0,'Données projet'!$E$12+1,1))</f>
        <v>304.32767345253382</v>
      </c>
      <c r="CE163" s="59">
        <f t="shared" si="148"/>
        <v>427.16091343339173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8.697520689073194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8.697520689073194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739.99999999999966</v>
      </c>
      <c r="CU163" s="17">
        <f>CT163*VLOOKUP('Données projet'!$B$13,Paramètres!$A$1:$I$89,3,0)*VLOOKUP('Données projet'!$B$13,Paramètres!$A$1:$I$89,5,0)</f>
        <v>413.65999999999985</v>
      </c>
      <c r="CV163" s="13">
        <f t="shared" si="173"/>
        <v>94.540585122244352</v>
      </c>
      <c r="CW163" s="20">
        <f t="shared" si="174"/>
        <v>885.11601908790863</v>
      </c>
      <c r="CX163" s="59">
        <f t="shared" si="122"/>
        <v>1178.4493524212419</v>
      </c>
      <c r="CY163" s="59">
        <f ca="1">AVERAGE(OFFSET($CX$3,0,0,'Données projet'!$E$13+1,1))-AVERAGE(OFFSET($H$3,0,0,'Données projet'!$E$13+1,1))</f>
        <v>555.15881087162279</v>
      </c>
      <c r="CZ163" s="59">
        <f t="shared" si="150"/>
        <v>668.20427590250733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17.043841641112195</v>
      </c>
      <c r="DG163" s="21">
        <f>EXP(-LN(2)/25)*DG162+(1-EXP(-LN(2)/25))/(LN(2)/25)*Calculateur!DB163*Calculateur!DD163*VLOOKUP('Données projet'!$B$13,Paramètres!$A$1:$I$89,3,0)*0.475*44/12</f>
        <v>1.5719328568764042</v>
      </c>
      <c r="DH163" s="21">
        <f>EXP(-LN(2)/2)*DH162+(1-EXP(-LN(2)/2))/(LN(2)/2)*DB163*DE163*VLOOKUP('Données projet'!$B$13,Paramètres!$A$1:$I$89,3,0)*0.475*44/12</f>
        <v>2.305239784702659E-20</v>
      </c>
      <c r="DI163" s="22">
        <f t="shared" si="175"/>
        <v>18.6157744979886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911.99999999999898</v>
      </c>
      <c r="DP163" s="17">
        <f>DO163*VLOOKUP('Données projet'!$B$14,Paramètres!$A$1:$I$89,3,0)*VLOOKUP('Données projet'!$B$14,Paramètres!$A$1:$I$89,5,0)</f>
        <v>426.81599999999946</v>
      </c>
      <c r="DQ163" s="13">
        <f t="shared" si="176"/>
        <v>97.192496986872399</v>
      </c>
      <c r="DR163" s="20">
        <f t="shared" si="177"/>
        <v>912.64813225213504</v>
      </c>
      <c r="DS163" s="59">
        <f t="shared" si="125"/>
        <v>1205.9814655854684</v>
      </c>
      <c r="DT163" s="59">
        <f ca="1">AVERAGE(OFFSET($DS$3,0,0,'Données projet'!$E$14+1,1))-AVERAGE(OFFSET($H$3,0,0,'Données projet'!$E$14+1,1))</f>
        <v>523.79180230463714</v>
      </c>
      <c r="DU163" s="59">
        <f t="shared" si="152"/>
        <v>459.3547783500515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30.480708850243502</v>
      </c>
      <c r="EB163" s="21">
        <f>EXP(-LN(2)/25)*EB162+(1-EXP(-LN(2)/25))/(LN(2)/25)*Calculateur!DW163*Calculateur!DY163*VLOOKUP('Données projet'!$B$14,Paramètres!$A$1:$I$89,3,0)*0.475*44/12</f>
        <v>1.4538389558948432</v>
      </c>
      <c r="EC163" s="21">
        <f>EXP(-LN(2)/2)*EC162+(1-EXP(-LN(2)/2))/(LN(2)/2)*DW163*DZ163*VLOOKUP('Données projet'!$B$14,Paramètres!$A$1:$I$89,3,0)*0.475*44/12</f>
        <v>3.2315746468086996E-20</v>
      </c>
      <c r="ED163" s="22">
        <f t="shared" si="178"/>
        <v>31.934547806138344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367.99999999999972</v>
      </c>
      <c r="EK163" s="17">
        <f>EJ163*VLOOKUP('Données projet'!$B$15,Paramètres!$A$1:$I$89,3,0)*VLOOKUP('Données projet'!$B$15,Paramètres!$A$1:$I$89,5,0)</f>
        <v>355.92959999999977</v>
      </c>
      <c r="EL163" s="13">
        <f t="shared" si="179"/>
        <v>82.782281100458206</v>
      </c>
      <c r="EM163" s="20">
        <f t="shared" si="180"/>
        <v>764.08985958329765</v>
      </c>
      <c r="EN163" s="59">
        <f t="shared" si="128"/>
        <v>1057.423192916631</v>
      </c>
      <c r="EO163" s="59">
        <f ca="1">AVERAGE(OFFSET($EN$3,0,0,'Données projet'!$E$15+1,1))-AVERAGE(OFFSET($H$3,0,0,'Données projet'!$E$15+1,1))</f>
        <v>484.41278617935654</v>
      </c>
      <c r="EP163" s="59">
        <f t="shared" si="154"/>
        <v>467.97490540700738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12.466847731196591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12.466847731196591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367.99999999999972</v>
      </c>
      <c r="FF163" s="17">
        <f>FE163*VLOOKUP('Données projet'!$B$16,Paramètres!$A$1:$I$89,3,0)*VLOOKUP('Données projet'!$B$16,Paramètres!$A$1:$I$89,5,0)</f>
        <v>396.11519999999967</v>
      </c>
      <c r="FG163" s="13">
        <f t="shared" si="182"/>
        <v>90.988634849704994</v>
      </c>
      <c r="FH163" s="20">
        <f t="shared" si="183"/>
        <v>848.37251236323561</v>
      </c>
      <c r="FI163" s="59">
        <f t="shared" si="131"/>
        <v>1141.705845696569</v>
      </c>
      <c r="FJ163" s="59">
        <f ca="1">AVERAGE(OFFSET($FI$3,0,0,'Données projet'!$E$16+1,1))-AVERAGE(OFFSET($H$3,0,0,'Données projet'!$E$16+1,1))</f>
        <v>534.54020133239135</v>
      </c>
      <c r="FK163" s="59">
        <f t="shared" si="156"/>
        <v>515.48696069008815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13.87439505568654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13.87439505568654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248.99999999999994</v>
      </c>
      <c r="GA163" s="17">
        <f>FZ163*VLOOKUP('Données projet'!$B$17,Paramètres!$A$1:$I$89,3,0)*VLOOKUP('Données projet'!$B$17,Paramètres!$A$1:$I$89,5,0)</f>
        <v>236.94839999999994</v>
      </c>
      <c r="GB163" s="13">
        <f t="shared" si="185"/>
        <v>57.782475694292401</v>
      </c>
      <c r="GC163" s="20">
        <f t="shared" si="186"/>
        <v>513.32294183422573</v>
      </c>
      <c r="GD163" s="59">
        <f t="shared" si="134"/>
        <v>806.65627516755899</v>
      </c>
      <c r="GE163" s="59">
        <f ca="1">AVERAGE(OFFSET($GD$3,0,0,'Données projet'!$E$17+1,1))-AVERAGE(OFFSET($H$3,0,0,'Données projet'!$E$17+1,1))</f>
        <v>455.71329051283936</v>
      </c>
      <c r="GF163" s="59">
        <f t="shared" si="158"/>
        <v>479.3743231122258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32.224311091574627</v>
      </c>
      <c r="GM163" s="21">
        <f>EXP(-LN(2)/25)*GM162+(1-EXP(-LN(2)/25))/(LN(2)/25)*Calculateur!GH163*Calculateur!GJ163*VLOOKUP('Données projet'!$B$17,Paramètres!$A$1:$I$89,3,0)*0.475*44/12</f>
        <v>0</v>
      </c>
      <c r="GN163" s="21">
        <f>EXP(-LN(2)/2)*GN162+(1-EXP(-LN(2)/2))/(LN(2)/2)*GH163*GK163*VLOOKUP('Données projet'!$B$17,Paramètres!$A$1:$I$89,3,0)*0.475*44/12</f>
        <v>0</v>
      </c>
      <c r="GO163" s="21">
        <f t="shared" si="187"/>
        <v>32.224311091574627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367.99999999999972</v>
      </c>
      <c r="GV163" s="17">
        <f>GU163*VLOOKUP('Données projet'!$B$18,Paramètres!$A$1:$I$89,3,0)*VLOOKUP('Données projet'!$B$18,Paramètres!$A$1:$I$89,5,0)</f>
        <v>298.52159999999981</v>
      </c>
      <c r="GW163" s="13">
        <f t="shared" si="188"/>
        <v>70.866444995542437</v>
      </c>
      <c r="GX163" s="20">
        <f t="shared" si="189"/>
        <v>643.35084503390271</v>
      </c>
      <c r="GY163" s="59">
        <f t="shared" si="137"/>
        <v>936.68417836723597</v>
      </c>
      <c r="GZ163" s="59">
        <f ca="1">AVERAGE(OFFSET($GY$3,0,0,'Données projet'!$E$18+1,1))-AVERAGE(OFFSET($H$3,0,0,'Données projet'!$E$18+1,1))</f>
        <v>412.59676769258488</v>
      </c>
      <c r="HA163" s="59">
        <f t="shared" si="160"/>
        <v>399.90063795152133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10.456065839068112</v>
      </c>
      <c r="HH163" s="21">
        <f>EXP(-LN(2)/25)*HH162+(1-EXP(-LN(2)/25))/(LN(2)/25)*Calculateur!HC163*Calculateur!HE163*VLOOKUP('Données projet'!$B$18,Paramètres!$A$1:$I$89,3,0)*0.475*44/12</f>
        <v>0</v>
      </c>
      <c r="HI163" s="21">
        <f>EXP(-LN(2)/2)*HI162+(1-EXP(-LN(2)/2))/(LN(2)/2)*HC163*HF163*VLOOKUP('Données projet'!$B$18,Paramètres!$A$1:$I$89,3,0)*0.475*44/12</f>
        <v>0</v>
      </c>
      <c r="HJ163" s="22">
        <f t="shared" si="190"/>
        <v>10.456065839068112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306.99999999999994</v>
      </c>
      <c r="O164" s="13">
        <f>N164*VLOOKUP('Données projet'!$B$9,Paramètres!$A$1:$I$89,3,0)*VLOOKUP('Données projet'!$B$9,Paramètres!$A$1:$I$89,5,0)</f>
        <v>277.77359999999993</v>
      </c>
      <c r="P164" s="13">
        <f t="shared" si="141"/>
        <v>66.496288176842356</v>
      </c>
      <c r="Q164" s="20">
        <f t="shared" si="162"/>
        <v>599.60338857466706</v>
      </c>
      <c r="R164" s="59">
        <f t="shared" si="109"/>
        <v>892.93672190800044</v>
      </c>
      <c r="S164" s="59">
        <f ca="1">AVERAGE(OFFSET($R$3,0,0,'Données projet'!$E$9+1,1))-AVERAGE(OFFSET($H$3,0,0,'Données projet'!$E$9+1,1))</f>
        <v>439.19854273764042</v>
      </c>
      <c r="T164" s="59">
        <f t="shared" si="142"/>
        <v>278.21741231699929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40.25158419160153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40.25158419160153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306.99999999999994</v>
      </c>
      <c r="AJ164" s="13">
        <f>AI164*VLOOKUP('Données projet'!$B$10,Paramètres!$A$1:$I$89,3,0)*VLOOKUP('Données projet'!$B$10,Paramètres!$A$1:$I$89,5,0)</f>
        <v>311.298</v>
      </c>
      <c r="AK164" s="13">
        <f t="shared" si="164"/>
        <v>73.539838278528748</v>
      </c>
      <c r="AL164" s="20">
        <f t="shared" si="165"/>
        <v>670.25923500177089</v>
      </c>
      <c r="AM164" s="59">
        <f t="shared" si="113"/>
        <v>963.59256833510426</v>
      </c>
      <c r="AN164" s="59">
        <f ca="1">AVERAGE(OFFSET($AM$3,0,0,'Données projet'!$E$10+1,1))-AVERAGE(OFFSET($H$3,0,0,'Données projet'!$E$10+1,1))</f>
        <v>487.18832528146936</v>
      </c>
      <c r="AO164" s="59">
        <f t="shared" si="144"/>
        <v>306.61893266146666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45.109534007829311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45.109534007829311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369.00000000000023</v>
      </c>
      <c r="BE164" s="13">
        <f>BD164*VLOOKUP('Données projet'!$B$11,Paramètres!$A$1:$I$89,3,0)*VLOOKUP('Données projet'!$B$11,Paramètres!$A$1:$I$89,5,0)</f>
        <v>333.87120000000021</v>
      </c>
      <c r="BF164" s="13">
        <f t="shared" si="167"/>
        <v>78.23236011137638</v>
      </c>
      <c r="BG164" s="20">
        <f t="shared" si="168"/>
        <v>717.74703386064755</v>
      </c>
      <c r="BH164" s="59">
        <f t="shared" si="116"/>
        <v>1011.0803671939809</v>
      </c>
      <c r="BI164" s="59">
        <f ca="1">AVERAGE(OFFSET($BH$3,0,0,'Données projet'!$E$11+1,1))-AVERAGE(OFFSET($H$3,0,0,'Données projet'!$E$11+1,1))</f>
        <v>436.23918637269577</v>
      </c>
      <c r="BJ164" s="59">
        <f t="shared" si="146"/>
        <v>611.43967996341894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0.78960807854899706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0.78960807854899706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224.00000000000006</v>
      </c>
      <c r="BZ164" s="13">
        <f>BY164*VLOOKUP('Données projet'!$B$12,Paramètres!$A$1:$I$89,3,0)*VLOOKUP('Données projet'!$B$12,Paramètres!$A$1:$I$89,5,0)</f>
        <v>195.68640000000008</v>
      </c>
      <c r="CA164" s="13">
        <f t="shared" si="170"/>
        <v>48.794969360985156</v>
      </c>
      <c r="CB164" s="20">
        <f t="shared" si="171"/>
        <v>425.8050516370493</v>
      </c>
      <c r="CC164" s="59">
        <f t="shared" si="119"/>
        <v>719.13838497038262</v>
      </c>
      <c r="CD164" s="59">
        <f ca="1">AVERAGE(OFFSET($CC$3,0,0,'Données projet'!$E$12+1,1))-AVERAGE(OFFSET($H$3,0,0,'Données projet'!$E$12+1,1))</f>
        <v>304.32767345253382</v>
      </c>
      <c r="CE164" s="59">
        <f t="shared" si="148"/>
        <v>427.16091343339173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8.5269676133242669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8.5269676133242669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739.99999999999966</v>
      </c>
      <c r="CU164" s="17">
        <f>CT164*VLOOKUP('Données projet'!$B$13,Paramètres!$A$1:$I$89,3,0)*VLOOKUP('Données projet'!$B$13,Paramètres!$A$1:$I$89,5,0)</f>
        <v>413.65999999999985</v>
      </c>
      <c r="CV164" s="13">
        <f t="shared" si="173"/>
        <v>94.540585122244352</v>
      </c>
      <c r="CW164" s="20">
        <f t="shared" si="174"/>
        <v>885.11601908790863</v>
      </c>
      <c r="CX164" s="59">
        <f t="shared" si="122"/>
        <v>1178.4493524212419</v>
      </c>
      <c r="CY164" s="59">
        <f ca="1">AVERAGE(OFFSET($CX$3,0,0,'Données projet'!$E$13+1,1))-AVERAGE(OFFSET($H$3,0,0,'Données projet'!$E$13+1,1))</f>
        <v>555.15881087162279</v>
      </c>
      <c r="CZ164" s="59">
        <f t="shared" si="150"/>
        <v>668.20427590250733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16.709622302246895</v>
      </c>
      <c r="DG164" s="21">
        <f>EXP(-LN(2)/25)*DG163+(1-EXP(-LN(2)/25))/(LN(2)/25)*Calculateur!DB164*Calculateur!DD164*VLOOKUP('Données projet'!$B$13,Paramètres!$A$1:$I$89,3,0)*0.475*44/12</f>
        <v>1.5289482702407626</v>
      </c>
      <c r="DH164" s="21">
        <f>EXP(-LN(2)/2)*DH163+(1-EXP(-LN(2)/2))/(LN(2)/2)*DB164*DE164*VLOOKUP('Données projet'!$B$13,Paramètres!$A$1:$I$89,3,0)*0.475*44/12</f>
        <v>1.630050684024267E-20</v>
      </c>
      <c r="DI164" s="22">
        <f t="shared" si="175"/>
        <v>18.238570572487657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911.99999999999898</v>
      </c>
      <c r="DP164" s="17">
        <f>DO164*VLOOKUP('Données projet'!$B$14,Paramètres!$A$1:$I$89,3,0)*VLOOKUP('Données projet'!$B$14,Paramètres!$A$1:$I$89,5,0)</f>
        <v>426.81599999999946</v>
      </c>
      <c r="DQ164" s="13">
        <f t="shared" si="176"/>
        <v>97.192496986872399</v>
      </c>
      <c r="DR164" s="20">
        <f t="shared" si="177"/>
        <v>912.64813225213504</v>
      </c>
      <c r="DS164" s="59">
        <f t="shared" si="125"/>
        <v>1205.9814655854684</v>
      </c>
      <c r="DT164" s="59">
        <f ca="1">AVERAGE(OFFSET($DS$3,0,0,'Données projet'!$E$14+1,1))-AVERAGE(OFFSET($H$3,0,0,'Données projet'!$E$14+1,1))</f>
        <v>523.79180230463714</v>
      </c>
      <c r="DU164" s="59">
        <f t="shared" si="152"/>
        <v>459.3547783500515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29.883000741086878</v>
      </c>
      <c r="EB164" s="21">
        <f>EXP(-LN(2)/25)*EB163+(1-EXP(-LN(2)/25))/(LN(2)/25)*Calculateur!DW164*Calculateur!DY164*VLOOKUP('Données projet'!$B$14,Paramètres!$A$1:$I$89,3,0)*0.475*44/12</f>
        <v>1.4140836531918308</v>
      </c>
      <c r="EC164" s="21">
        <f>EXP(-LN(2)/2)*EC163+(1-EXP(-LN(2)/2))/(LN(2)/2)*DW164*DZ164*VLOOKUP('Données projet'!$B$14,Paramètres!$A$1:$I$89,3,0)*0.475*44/12</f>
        <v>2.2850683466689538E-20</v>
      </c>
      <c r="ED164" s="22">
        <f t="shared" si="178"/>
        <v>31.297084394278709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367.99999999999972</v>
      </c>
      <c r="EK164" s="17">
        <f>EJ164*VLOOKUP('Données projet'!$B$15,Paramètres!$A$1:$I$89,3,0)*VLOOKUP('Données projet'!$B$15,Paramètres!$A$1:$I$89,5,0)</f>
        <v>355.92959999999977</v>
      </c>
      <c r="EL164" s="13">
        <f t="shared" si="179"/>
        <v>82.782281100458206</v>
      </c>
      <c r="EM164" s="20">
        <f t="shared" si="180"/>
        <v>764.08985958329765</v>
      </c>
      <c r="EN164" s="59">
        <f t="shared" si="128"/>
        <v>1057.423192916631</v>
      </c>
      <c r="EO164" s="59">
        <f ca="1">AVERAGE(OFFSET($EN$3,0,0,'Données projet'!$E$15+1,1))-AVERAGE(OFFSET($H$3,0,0,'Données projet'!$E$15+1,1))</f>
        <v>484.41278617935654</v>
      </c>
      <c r="EP164" s="59">
        <f t="shared" si="154"/>
        <v>467.97490540700738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12.222380451214107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12.222380451214107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367.99999999999972</v>
      </c>
      <c r="FF164" s="17">
        <f>FE164*VLOOKUP('Données projet'!$B$16,Paramètres!$A$1:$I$89,3,0)*VLOOKUP('Données projet'!$B$16,Paramètres!$A$1:$I$89,5,0)</f>
        <v>396.11519999999967</v>
      </c>
      <c r="FG164" s="13">
        <f t="shared" si="182"/>
        <v>90.988634849704994</v>
      </c>
      <c r="FH164" s="20">
        <f t="shared" si="183"/>
        <v>848.37251236323561</v>
      </c>
      <c r="FI164" s="59">
        <f t="shared" si="131"/>
        <v>1141.705845696569</v>
      </c>
      <c r="FJ164" s="59">
        <f ca="1">AVERAGE(OFFSET($FI$3,0,0,'Données projet'!$E$16+1,1))-AVERAGE(OFFSET($H$3,0,0,'Données projet'!$E$16+1,1))</f>
        <v>534.54020133239135</v>
      </c>
      <c r="FK164" s="59">
        <f t="shared" si="156"/>
        <v>515.48696069008815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13.602326631189904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13.602326631189904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248.99999999999994</v>
      </c>
      <c r="GA164" s="17">
        <f>FZ164*VLOOKUP('Données projet'!$B$17,Paramètres!$A$1:$I$89,3,0)*VLOOKUP('Données projet'!$B$17,Paramètres!$A$1:$I$89,5,0)</f>
        <v>236.94839999999994</v>
      </c>
      <c r="GB164" s="13">
        <f t="shared" si="185"/>
        <v>57.782475694292401</v>
      </c>
      <c r="GC164" s="20">
        <f t="shared" si="186"/>
        <v>513.32294183422573</v>
      </c>
      <c r="GD164" s="59">
        <f t="shared" si="134"/>
        <v>806.65627516755899</v>
      </c>
      <c r="GE164" s="59">
        <f ca="1">AVERAGE(OFFSET($GD$3,0,0,'Données projet'!$E$17+1,1))-AVERAGE(OFFSET($H$3,0,0,'Données projet'!$E$17+1,1))</f>
        <v>455.71329051283936</v>
      </c>
      <c r="GF164" s="59">
        <f t="shared" si="158"/>
        <v>479.3743231122258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31.592412005957854</v>
      </c>
      <c r="GM164" s="21">
        <f>EXP(-LN(2)/25)*GM163+(1-EXP(-LN(2)/25))/(LN(2)/25)*Calculateur!GH164*Calculateur!GJ164*VLOOKUP('Données projet'!$B$17,Paramètres!$A$1:$I$89,3,0)*0.475*44/12</f>
        <v>0</v>
      </c>
      <c r="GN164" s="21">
        <f>EXP(-LN(2)/2)*GN163+(1-EXP(-LN(2)/2))/(LN(2)/2)*GH164*GK164*VLOOKUP('Données projet'!$B$17,Paramètres!$A$1:$I$89,3,0)*0.475*44/12</f>
        <v>0</v>
      </c>
      <c r="GO164" s="21">
        <f t="shared" si="187"/>
        <v>31.592412005957854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367.99999999999972</v>
      </c>
      <c r="GV164" s="17">
        <f>GU164*VLOOKUP('Données projet'!$B$18,Paramètres!$A$1:$I$89,3,0)*VLOOKUP('Données projet'!$B$18,Paramètres!$A$1:$I$89,5,0)</f>
        <v>298.52159999999981</v>
      </c>
      <c r="GW164" s="13">
        <f t="shared" si="188"/>
        <v>70.866444995542437</v>
      </c>
      <c r="GX164" s="20">
        <f t="shared" si="189"/>
        <v>643.35084503390271</v>
      </c>
      <c r="GY164" s="59">
        <f t="shared" si="137"/>
        <v>936.68417836723597</v>
      </c>
      <c r="GZ164" s="59">
        <f ca="1">AVERAGE(OFFSET($GY$3,0,0,'Données projet'!$E$18+1,1))-AVERAGE(OFFSET($H$3,0,0,'Données projet'!$E$18+1,1))</f>
        <v>412.59676769258488</v>
      </c>
      <c r="HA164" s="59">
        <f t="shared" si="160"/>
        <v>399.90063795152133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10.251028765534414</v>
      </c>
      <c r="HH164" s="21">
        <f>EXP(-LN(2)/25)*HH163+(1-EXP(-LN(2)/25))/(LN(2)/25)*Calculateur!HC164*Calculateur!HE164*VLOOKUP('Données projet'!$B$18,Paramètres!$A$1:$I$89,3,0)*0.475*44/12</f>
        <v>0</v>
      </c>
      <c r="HI164" s="21">
        <f>EXP(-LN(2)/2)*HI163+(1-EXP(-LN(2)/2))/(LN(2)/2)*HC164*HF164*VLOOKUP('Données projet'!$B$18,Paramètres!$A$1:$I$89,3,0)*0.475*44/12</f>
        <v>0</v>
      </c>
      <c r="HJ164" s="22">
        <f t="shared" si="190"/>
        <v>10.251028765534414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306.99999999999994</v>
      </c>
      <c r="O165" s="13">
        <f>N165*VLOOKUP('Données projet'!$B$9,Paramètres!$A$1:$I$89,3,0)*VLOOKUP('Données projet'!$B$9,Paramètres!$A$1:$I$89,5,0)</f>
        <v>277.77359999999993</v>
      </c>
      <c r="P165" s="13">
        <f t="shared" si="141"/>
        <v>66.496288176842356</v>
      </c>
      <c r="Q165" s="20">
        <f t="shared" si="162"/>
        <v>599.60338857466706</v>
      </c>
      <c r="R165" s="59">
        <f t="shared" si="109"/>
        <v>892.93672190800044</v>
      </c>
      <c r="S165" s="59">
        <f ca="1">AVERAGE(OFFSET($R$3,0,0,'Données projet'!$E$9+1,1))-AVERAGE(OFFSET($H$3,0,0,'Données projet'!$E$9+1,1))</f>
        <v>439.19854273764042</v>
      </c>
      <c r="T165" s="59">
        <f t="shared" si="142"/>
        <v>278.21741231699929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39.462275176646365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39.462275176646365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306.99999999999994</v>
      </c>
      <c r="AJ165" s="13">
        <f>AI165*VLOOKUP('Données projet'!$B$10,Paramètres!$A$1:$I$89,3,0)*VLOOKUP('Données projet'!$B$10,Paramètres!$A$1:$I$89,5,0)</f>
        <v>311.298</v>
      </c>
      <c r="AK165" s="13">
        <f t="shared" si="164"/>
        <v>73.539838278528748</v>
      </c>
      <c r="AL165" s="20">
        <f t="shared" si="165"/>
        <v>670.25923500177089</v>
      </c>
      <c r="AM165" s="59">
        <f t="shared" si="113"/>
        <v>963.59256833510426</v>
      </c>
      <c r="AN165" s="59">
        <f ca="1">AVERAGE(OFFSET($AM$3,0,0,'Données projet'!$E$10+1,1))-AVERAGE(OFFSET($H$3,0,0,'Données projet'!$E$10+1,1))</f>
        <v>487.18832528146936</v>
      </c>
      <c r="AO165" s="59">
        <f t="shared" si="144"/>
        <v>306.61893266146666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44.22496356003473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44.22496356003473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369.00000000000023</v>
      </c>
      <c r="BE165" s="13">
        <f>BD165*VLOOKUP('Données projet'!$B$11,Paramètres!$A$1:$I$89,3,0)*VLOOKUP('Données projet'!$B$11,Paramètres!$A$1:$I$89,5,0)</f>
        <v>333.87120000000021</v>
      </c>
      <c r="BF165" s="13">
        <f t="shared" si="167"/>
        <v>78.23236011137638</v>
      </c>
      <c r="BG165" s="20">
        <f t="shared" si="168"/>
        <v>717.74703386064755</v>
      </c>
      <c r="BH165" s="59">
        <f t="shared" si="116"/>
        <v>1011.0803671939809</v>
      </c>
      <c r="BI165" s="59">
        <f ca="1">AVERAGE(OFFSET($BH$3,0,0,'Données projet'!$E$11+1,1))-AVERAGE(OFFSET($H$3,0,0,'Données projet'!$E$11+1,1))</f>
        <v>436.23918637269577</v>
      </c>
      <c r="BJ165" s="59">
        <f t="shared" si="146"/>
        <v>611.43967996341894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0.77412434574202382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0.77412434574202382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224.00000000000006</v>
      </c>
      <c r="BZ165" s="13">
        <f>BY165*VLOOKUP('Données projet'!$B$12,Paramètres!$A$1:$I$89,3,0)*VLOOKUP('Données projet'!$B$12,Paramètres!$A$1:$I$89,5,0)</f>
        <v>195.68640000000008</v>
      </c>
      <c r="CA165" s="13">
        <f t="shared" si="170"/>
        <v>48.794969360985156</v>
      </c>
      <c r="CB165" s="20">
        <f t="shared" si="171"/>
        <v>425.8050516370493</v>
      </c>
      <c r="CC165" s="59">
        <f t="shared" si="119"/>
        <v>719.13838497038262</v>
      </c>
      <c r="CD165" s="59">
        <f ca="1">AVERAGE(OFFSET($CC$3,0,0,'Données projet'!$E$12+1,1))-AVERAGE(OFFSET($H$3,0,0,'Données projet'!$E$12+1,1))</f>
        <v>304.32767345253382</v>
      </c>
      <c r="CE165" s="59">
        <f t="shared" si="148"/>
        <v>427.16091343339173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8.3597589793636722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8.3597589793636722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739.99999999999966</v>
      </c>
      <c r="CU165" s="17">
        <f>CT165*VLOOKUP('Données projet'!$B$13,Paramètres!$A$1:$I$89,3,0)*VLOOKUP('Données projet'!$B$13,Paramètres!$A$1:$I$89,5,0)</f>
        <v>413.65999999999985</v>
      </c>
      <c r="CV165" s="13">
        <f t="shared" si="173"/>
        <v>94.540585122244352</v>
      </c>
      <c r="CW165" s="20">
        <f t="shared" si="174"/>
        <v>885.11601908790863</v>
      </c>
      <c r="CX165" s="59">
        <f t="shared" si="122"/>
        <v>1178.4493524212419</v>
      </c>
      <c r="CY165" s="59">
        <f ca="1">AVERAGE(OFFSET($CX$3,0,0,'Données projet'!$E$13+1,1))-AVERAGE(OFFSET($H$3,0,0,'Données projet'!$E$13+1,1))</f>
        <v>555.15881087162279</v>
      </c>
      <c r="CZ165" s="59">
        <f t="shared" si="150"/>
        <v>668.20427590250733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16.381956800763074</v>
      </c>
      <c r="DG165" s="21">
        <f>EXP(-LN(2)/25)*DG164+(1-EXP(-LN(2)/25))/(LN(2)/25)*Calculateur!DB165*Calculateur!DD165*VLOOKUP('Données projet'!$B$13,Paramètres!$A$1:$I$89,3,0)*0.475*44/12</f>
        <v>1.4871390993871338</v>
      </c>
      <c r="DH165" s="21">
        <f>EXP(-LN(2)/2)*DH164+(1-EXP(-LN(2)/2))/(LN(2)/2)*DB165*DE165*VLOOKUP('Données projet'!$B$13,Paramètres!$A$1:$I$89,3,0)*0.475*44/12</f>
        <v>1.1526198923513295E-20</v>
      </c>
      <c r="DI165" s="22">
        <f t="shared" si="175"/>
        <v>17.869095900150207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911.99999999999898</v>
      </c>
      <c r="DP165" s="17">
        <f>DO165*VLOOKUP('Données projet'!$B$14,Paramètres!$A$1:$I$89,3,0)*VLOOKUP('Données projet'!$B$14,Paramètres!$A$1:$I$89,5,0)</f>
        <v>426.81599999999946</v>
      </c>
      <c r="DQ165" s="13">
        <f t="shared" si="176"/>
        <v>97.192496986872399</v>
      </c>
      <c r="DR165" s="20">
        <f t="shared" si="177"/>
        <v>912.64813225213504</v>
      </c>
      <c r="DS165" s="59">
        <f t="shared" si="125"/>
        <v>1205.9814655854684</v>
      </c>
      <c r="DT165" s="59">
        <f ca="1">AVERAGE(OFFSET($DS$3,0,0,'Données projet'!$E$14+1,1))-AVERAGE(OFFSET($H$3,0,0,'Données projet'!$E$14+1,1))</f>
        <v>523.79180230463714</v>
      </c>
      <c r="DU165" s="59">
        <f t="shared" si="152"/>
        <v>459.3547783500515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29.297013323384867</v>
      </c>
      <c r="EB165" s="21">
        <f>EXP(-LN(2)/25)*EB164+(1-EXP(-LN(2)/25))/(LN(2)/25)*Calculateur!DW165*Calculateur!DY165*VLOOKUP('Données projet'!$B$14,Paramètres!$A$1:$I$89,3,0)*0.475*44/12</f>
        <v>1.3754154613318728</v>
      </c>
      <c r="EC165" s="21">
        <f>EXP(-LN(2)/2)*EC164+(1-EXP(-LN(2)/2))/(LN(2)/2)*DW165*DZ165*VLOOKUP('Données projet'!$B$14,Paramètres!$A$1:$I$89,3,0)*0.475*44/12</f>
        <v>1.6157873234043498E-20</v>
      </c>
      <c r="ED165" s="22">
        <f t="shared" si="178"/>
        <v>30.67242878471674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367.99999999999972</v>
      </c>
      <c r="EK165" s="17">
        <f>EJ165*VLOOKUP('Données projet'!$B$15,Paramètres!$A$1:$I$89,3,0)*VLOOKUP('Données projet'!$B$15,Paramètres!$A$1:$I$89,5,0)</f>
        <v>355.92959999999977</v>
      </c>
      <c r="EL165" s="13">
        <f t="shared" si="179"/>
        <v>82.782281100458206</v>
      </c>
      <c r="EM165" s="20">
        <f t="shared" si="180"/>
        <v>764.08985958329765</v>
      </c>
      <c r="EN165" s="59">
        <f t="shared" si="128"/>
        <v>1057.423192916631</v>
      </c>
      <c r="EO165" s="59">
        <f ca="1">AVERAGE(OFFSET($EN$3,0,0,'Données projet'!$E$15+1,1))-AVERAGE(OFFSET($H$3,0,0,'Données projet'!$E$15+1,1))</f>
        <v>484.41278617935654</v>
      </c>
      <c r="EP165" s="59">
        <f t="shared" si="154"/>
        <v>467.97490540700738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11.982707025481762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11.982707025481762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367.99999999999972</v>
      </c>
      <c r="FF165" s="17">
        <f>FE165*VLOOKUP('Données projet'!$B$16,Paramètres!$A$1:$I$89,3,0)*VLOOKUP('Données projet'!$B$16,Paramètres!$A$1:$I$89,5,0)</f>
        <v>396.11519999999967</v>
      </c>
      <c r="FG165" s="13">
        <f t="shared" si="182"/>
        <v>90.988634849704994</v>
      </c>
      <c r="FH165" s="20">
        <f t="shared" si="183"/>
        <v>848.37251236323561</v>
      </c>
      <c r="FI165" s="59">
        <f t="shared" si="131"/>
        <v>1141.705845696569</v>
      </c>
      <c r="FJ165" s="59">
        <f ca="1">AVERAGE(OFFSET($FI$3,0,0,'Données projet'!$E$16+1,1))-AVERAGE(OFFSET($H$3,0,0,'Données projet'!$E$16+1,1))</f>
        <v>534.54020133239135</v>
      </c>
      <c r="FK165" s="59">
        <f t="shared" si="156"/>
        <v>515.48696069008815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13.335593302552294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13.335593302552294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248.99999999999994</v>
      </c>
      <c r="GA165" s="17">
        <f>FZ165*VLOOKUP('Données projet'!$B$17,Paramètres!$A$1:$I$89,3,0)*VLOOKUP('Données projet'!$B$17,Paramètres!$A$1:$I$89,5,0)</f>
        <v>236.94839999999994</v>
      </c>
      <c r="GB165" s="13">
        <f t="shared" si="185"/>
        <v>57.782475694292401</v>
      </c>
      <c r="GC165" s="20">
        <f t="shared" si="186"/>
        <v>513.32294183422573</v>
      </c>
      <c r="GD165" s="59">
        <f t="shared" si="134"/>
        <v>806.65627516755899</v>
      </c>
      <c r="GE165" s="59">
        <f ca="1">AVERAGE(OFFSET($GD$3,0,0,'Données projet'!$E$17+1,1))-AVERAGE(OFFSET($H$3,0,0,'Données projet'!$E$17+1,1))</f>
        <v>455.71329051283936</v>
      </c>
      <c r="GF165" s="59">
        <f t="shared" si="158"/>
        <v>479.3743231122258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30.972904075989643</v>
      </c>
      <c r="GM165" s="21">
        <f>EXP(-LN(2)/25)*GM164+(1-EXP(-LN(2)/25))/(LN(2)/25)*Calculateur!GH165*Calculateur!GJ165*VLOOKUP('Données projet'!$B$17,Paramètres!$A$1:$I$89,3,0)*0.475*44/12</f>
        <v>0</v>
      </c>
      <c r="GN165" s="21">
        <f>EXP(-LN(2)/2)*GN164+(1-EXP(-LN(2)/2))/(LN(2)/2)*GH165*GK165*VLOOKUP('Données projet'!$B$17,Paramètres!$A$1:$I$89,3,0)*0.475*44/12</f>
        <v>0</v>
      </c>
      <c r="GO165" s="21">
        <f t="shared" si="187"/>
        <v>30.972904075989643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367.99999999999972</v>
      </c>
      <c r="GV165" s="17">
        <f>GU165*VLOOKUP('Données projet'!$B$18,Paramètres!$A$1:$I$89,3,0)*VLOOKUP('Données projet'!$B$18,Paramètres!$A$1:$I$89,5,0)</f>
        <v>298.52159999999981</v>
      </c>
      <c r="GW165" s="13">
        <f t="shared" si="188"/>
        <v>70.866444995542437</v>
      </c>
      <c r="GX165" s="20">
        <f t="shared" si="189"/>
        <v>643.35084503390271</v>
      </c>
      <c r="GY165" s="59">
        <f t="shared" si="137"/>
        <v>936.68417836723597</v>
      </c>
      <c r="GZ165" s="59">
        <f ca="1">AVERAGE(OFFSET($GY$3,0,0,'Données projet'!$E$18+1,1))-AVERAGE(OFFSET($H$3,0,0,'Données projet'!$E$18+1,1))</f>
        <v>412.59676769258488</v>
      </c>
      <c r="HA165" s="59">
        <f t="shared" si="160"/>
        <v>399.90063795152133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10.050012343952448</v>
      </c>
      <c r="HH165" s="21">
        <f>EXP(-LN(2)/25)*HH164+(1-EXP(-LN(2)/25))/(LN(2)/25)*Calculateur!HC165*Calculateur!HE165*VLOOKUP('Données projet'!$B$18,Paramètres!$A$1:$I$89,3,0)*0.475*44/12</f>
        <v>0</v>
      </c>
      <c r="HI165" s="21">
        <f>EXP(-LN(2)/2)*HI164+(1-EXP(-LN(2)/2))/(LN(2)/2)*HC165*HF165*VLOOKUP('Données projet'!$B$18,Paramètres!$A$1:$I$89,3,0)*0.475*44/12</f>
        <v>0</v>
      </c>
      <c r="HJ165" s="22">
        <f t="shared" si="190"/>
        <v>10.050012343952448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306.99999999999994</v>
      </c>
      <c r="O166" s="13">
        <f>N166*VLOOKUP('Données projet'!$B$9,Paramètres!$A$1:$I$89,3,0)*VLOOKUP('Données projet'!$B$9,Paramètres!$A$1:$I$89,5,0)</f>
        <v>277.77359999999993</v>
      </c>
      <c r="P166" s="13">
        <f t="shared" si="141"/>
        <v>66.496288176842356</v>
      </c>
      <c r="Q166" s="20">
        <f t="shared" si="162"/>
        <v>599.60338857466706</v>
      </c>
      <c r="R166" s="59">
        <f t="shared" si="109"/>
        <v>892.93672190800044</v>
      </c>
      <c r="S166" s="59">
        <f ca="1">AVERAGE(OFFSET($R$3,0,0,'Données projet'!$E$9+1,1))-AVERAGE(OFFSET($H$3,0,0,'Données projet'!$E$9+1,1))</f>
        <v>439.19854273764042</v>
      </c>
      <c r="T166" s="59">
        <f t="shared" si="142"/>
        <v>278.21741231699929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38.688444030043513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38.688444030043513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306.99999999999994</v>
      </c>
      <c r="AJ166" s="13">
        <f>AI166*VLOOKUP('Données projet'!$B$10,Paramètres!$A$1:$I$89,3,0)*VLOOKUP('Données projet'!$B$10,Paramètres!$A$1:$I$89,5,0)</f>
        <v>311.298</v>
      </c>
      <c r="AK166" s="13">
        <f t="shared" si="164"/>
        <v>73.539838278528748</v>
      </c>
      <c r="AL166" s="20">
        <f t="shared" si="165"/>
        <v>670.25923500177089</v>
      </c>
      <c r="AM166" s="59">
        <f t="shared" si="113"/>
        <v>963.59256833510426</v>
      </c>
      <c r="AN166" s="59">
        <f ca="1">AVERAGE(OFFSET($AM$3,0,0,'Données projet'!$E$10+1,1))-AVERAGE(OFFSET($H$3,0,0,'Données projet'!$E$10+1,1))</f>
        <v>487.18832528146936</v>
      </c>
      <c r="AO166" s="59">
        <f t="shared" si="144"/>
        <v>306.61893266146666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43.357738999186701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43.357738999186701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369.00000000000023</v>
      </c>
      <c r="BE166" s="13">
        <f>BD166*VLOOKUP('Données projet'!$B$11,Paramètres!$A$1:$I$89,3,0)*VLOOKUP('Données projet'!$B$11,Paramètres!$A$1:$I$89,5,0)</f>
        <v>333.87120000000021</v>
      </c>
      <c r="BF166" s="13">
        <f t="shared" si="167"/>
        <v>78.23236011137638</v>
      </c>
      <c r="BG166" s="20">
        <f t="shared" si="168"/>
        <v>717.74703386064755</v>
      </c>
      <c r="BH166" s="59">
        <f t="shared" si="116"/>
        <v>1011.0803671939809</v>
      </c>
      <c r="BI166" s="59">
        <f ca="1">AVERAGE(OFFSET($BH$3,0,0,'Données projet'!$E$11+1,1))-AVERAGE(OFFSET($H$3,0,0,'Données projet'!$E$11+1,1))</f>
        <v>436.23918637269577</v>
      </c>
      <c r="BJ166" s="59">
        <f t="shared" si="146"/>
        <v>611.43967996341894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0.75894423949125078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0.75894423949125078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224.00000000000006</v>
      </c>
      <c r="BZ166" s="13">
        <f>BY166*VLOOKUP('Données projet'!$B$12,Paramètres!$A$1:$I$89,3,0)*VLOOKUP('Données projet'!$B$12,Paramètres!$A$1:$I$89,5,0)</f>
        <v>195.68640000000008</v>
      </c>
      <c r="CA166" s="13">
        <f t="shared" si="170"/>
        <v>48.794969360985156</v>
      </c>
      <c r="CB166" s="20">
        <f t="shared" si="171"/>
        <v>425.8050516370493</v>
      </c>
      <c r="CC166" s="59">
        <f t="shared" si="119"/>
        <v>719.13838497038262</v>
      </c>
      <c r="CD166" s="59">
        <f ca="1">AVERAGE(OFFSET($CC$3,0,0,'Données projet'!$E$12+1,1))-AVERAGE(OFFSET($H$3,0,0,'Données projet'!$E$12+1,1))</f>
        <v>304.32767345253382</v>
      </c>
      <c r="CE166" s="59">
        <f t="shared" si="148"/>
        <v>427.16091343339173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8.1958292047278487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8.1958292047278487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739.99999999999966</v>
      </c>
      <c r="CU166" s="17">
        <f>CT166*VLOOKUP('Données projet'!$B$13,Paramètres!$A$1:$I$89,3,0)*VLOOKUP('Données projet'!$B$13,Paramètres!$A$1:$I$89,5,0)</f>
        <v>413.65999999999985</v>
      </c>
      <c r="CV166" s="13">
        <f t="shared" si="173"/>
        <v>94.540585122244352</v>
      </c>
      <c r="CW166" s="20">
        <f t="shared" si="174"/>
        <v>885.11601908790863</v>
      </c>
      <c r="CX166" s="59">
        <f t="shared" si="122"/>
        <v>1178.4493524212419</v>
      </c>
      <c r="CY166" s="59">
        <f ca="1">AVERAGE(OFFSET($CX$3,0,0,'Données projet'!$E$13+1,1))-AVERAGE(OFFSET($H$3,0,0,'Données projet'!$E$13+1,1))</f>
        <v>555.15881087162279</v>
      </c>
      <c r="CZ166" s="59">
        <f t="shared" si="150"/>
        <v>668.20427590250733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16.060716619907129</v>
      </c>
      <c r="DG166" s="21">
        <f>EXP(-LN(2)/25)*DG165+(1-EXP(-LN(2)/25))/(LN(2)/25)*Calculateur!DB166*Calculateur!DD166*VLOOKUP('Données projet'!$B$13,Paramètres!$A$1:$I$89,3,0)*0.475*44/12</f>
        <v>1.4464732025091462</v>
      </c>
      <c r="DH166" s="21">
        <f>EXP(-LN(2)/2)*DH165+(1-EXP(-LN(2)/2))/(LN(2)/2)*DB166*DE166*VLOOKUP('Données projet'!$B$13,Paramètres!$A$1:$I$89,3,0)*0.475*44/12</f>
        <v>8.150253420121335E-21</v>
      </c>
      <c r="DI166" s="22">
        <f t="shared" si="175"/>
        <v>17.507189822416276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911.99999999999898</v>
      </c>
      <c r="DP166" s="17">
        <f>DO166*VLOOKUP('Données projet'!$B$14,Paramètres!$A$1:$I$89,3,0)*VLOOKUP('Données projet'!$B$14,Paramètres!$A$1:$I$89,5,0)</f>
        <v>426.81599999999946</v>
      </c>
      <c r="DQ166" s="13">
        <f t="shared" si="176"/>
        <v>97.192496986872399</v>
      </c>
      <c r="DR166" s="20">
        <f t="shared" si="177"/>
        <v>912.64813225213504</v>
      </c>
      <c r="DS166" s="59">
        <f t="shared" si="125"/>
        <v>1205.9814655854684</v>
      </c>
      <c r="DT166" s="59">
        <f ca="1">AVERAGE(OFFSET($DS$3,0,0,'Données projet'!$E$14+1,1))-AVERAGE(OFFSET($H$3,0,0,'Données projet'!$E$14+1,1))</f>
        <v>523.79180230463714</v>
      </c>
      <c r="DU166" s="59">
        <f t="shared" si="152"/>
        <v>459.3547783500515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28.722516761526958</v>
      </c>
      <c r="EB166" s="21">
        <f>EXP(-LN(2)/25)*EB165+(1-EXP(-LN(2)/25))/(LN(2)/25)*Calculateur!DW166*Calculateur!DY166*VLOOKUP('Données projet'!$B$14,Paramètres!$A$1:$I$89,3,0)*0.475*44/12</f>
        <v>1.3378046532117971</v>
      </c>
      <c r="EC166" s="21">
        <f>EXP(-LN(2)/2)*EC165+(1-EXP(-LN(2)/2))/(LN(2)/2)*DW166*DZ166*VLOOKUP('Données projet'!$B$14,Paramètres!$A$1:$I$89,3,0)*0.475*44/12</f>
        <v>1.1425341733344769E-20</v>
      </c>
      <c r="ED166" s="22">
        <f t="shared" si="178"/>
        <v>30.060321414738755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367.99999999999972</v>
      </c>
      <c r="EK166" s="17">
        <f>EJ166*VLOOKUP('Données projet'!$B$15,Paramètres!$A$1:$I$89,3,0)*VLOOKUP('Données projet'!$B$15,Paramètres!$A$1:$I$89,5,0)</f>
        <v>355.92959999999977</v>
      </c>
      <c r="EL166" s="13">
        <f t="shared" si="179"/>
        <v>82.782281100458206</v>
      </c>
      <c r="EM166" s="20">
        <f t="shared" si="180"/>
        <v>764.08985958329765</v>
      </c>
      <c r="EN166" s="59">
        <f t="shared" si="128"/>
        <v>1057.423192916631</v>
      </c>
      <c r="EO166" s="59">
        <f ca="1">AVERAGE(OFFSET($EN$3,0,0,'Données projet'!$E$15+1,1))-AVERAGE(OFFSET($H$3,0,0,'Données projet'!$E$15+1,1))</f>
        <v>484.41278617935654</v>
      </c>
      <c r="EP166" s="59">
        <f t="shared" si="154"/>
        <v>467.97490540700738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11.747733449441673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11.747733449441673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367.99999999999972</v>
      </c>
      <c r="FF166" s="17">
        <f>FE166*VLOOKUP('Données projet'!$B$16,Paramètres!$A$1:$I$89,3,0)*VLOOKUP('Données projet'!$B$16,Paramètres!$A$1:$I$89,5,0)</f>
        <v>396.11519999999967</v>
      </c>
      <c r="FG166" s="13">
        <f t="shared" si="182"/>
        <v>90.988634849704994</v>
      </c>
      <c r="FH166" s="20">
        <f t="shared" si="183"/>
        <v>848.37251236323561</v>
      </c>
      <c r="FI166" s="59">
        <f t="shared" si="131"/>
        <v>1141.705845696569</v>
      </c>
      <c r="FJ166" s="59">
        <f ca="1">AVERAGE(OFFSET($FI$3,0,0,'Données projet'!$E$16+1,1))-AVERAGE(OFFSET($H$3,0,0,'Données projet'!$E$16+1,1))</f>
        <v>534.54020133239135</v>
      </c>
      <c r="FK166" s="59">
        <f t="shared" si="156"/>
        <v>515.48696069008815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13.074090451798002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13.074090451798002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248.99999999999994</v>
      </c>
      <c r="GA166" s="17">
        <f>FZ166*VLOOKUP('Données projet'!$B$17,Paramètres!$A$1:$I$89,3,0)*VLOOKUP('Données projet'!$B$17,Paramètres!$A$1:$I$89,5,0)</f>
        <v>236.94839999999994</v>
      </c>
      <c r="GB166" s="13">
        <f t="shared" si="185"/>
        <v>57.782475694292401</v>
      </c>
      <c r="GC166" s="20">
        <f t="shared" si="186"/>
        <v>513.32294183422573</v>
      </c>
      <c r="GD166" s="59">
        <f t="shared" si="134"/>
        <v>806.65627516755899</v>
      </c>
      <c r="GE166" s="59">
        <f ca="1">AVERAGE(OFFSET($GD$3,0,0,'Données projet'!$E$17+1,1))-AVERAGE(OFFSET($H$3,0,0,'Données projet'!$E$17+1,1))</f>
        <v>455.71329051283936</v>
      </c>
      <c r="GF166" s="59">
        <f t="shared" si="158"/>
        <v>479.3743231122258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30.365544318665581</v>
      </c>
      <c r="GM166" s="21">
        <f>EXP(-LN(2)/25)*GM165+(1-EXP(-LN(2)/25))/(LN(2)/25)*Calculateur!GH166*Calculateur!GJ166*VLOOKUP('Données projet'!$B$17,Paramètres!$A$1:$I$89,3,0)*0.475*44/12</f>
        <v>0</v>
      </c>
      <c r="GN166" s="21">
        <f>EXP(-LN(2)/2)*GN165+(1-EXP(-LN(2)/2))/(LN(2)/2)*GH166*GK166*VLOOKUP('Données projet'!$B$17,Paramètres!$A$1:$I$89,3,0)*0.475*44/12</f>
        <v>0</v>
      </c>
      <c r="GO166" s="21">
        <f t="shared" si="187"/>
        <v>30.365544318665581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367.99999999999972</v>
      </c>
      <c r="GV166" s="17">
        <f>GU166*VLOOKUP('Données projet'!$B$18,Paramètres!$A$1:$I$89,3,0)*VLOOKUP('Données projet'!$B$18,Paramètres!$A$1:$I$89,5,0)</f>
        <v>298.52159999999981</v>
      </c>
      <c r="GW166" s="13">
        <f t="shared" si="188"/>
        <v>70.866444995542437</v>
      </c>
      <c r="GX166" s="20">
        <f t="shared" si="189"/>
        <v>643.35084503390271</v>
      </c>
      <c r="GY166" s="59">
        <f t="shared" si="137"/>
        <v>936.68417836723597</v>
      </c>
      <c r="GZ166" s="59">
        <f ca="1">AVERAGE(OFFSET($GY$3,0,0,'Données projet'!$E$18+1,1))-AVERAGE(OFFSET($H$3,0,0,'Données projet'!$E$18+1,1))</f>
        <v>412.59676769258488</v>
      </c>
      <c r="HA166" s="59">
        <f t="shared" si="160"/>
        <v>399.90063795152133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9.8529377317897922</v>
      </c>
      <c r="HH166" s="21">
        <f>EXP(-LN(2)/25)*HH165+(1-EXP(-LN(2)/25))/(LN(2)/25)*Calculateur!HC166*Calculateur!HE166*VLOOKUP('Données projet'!$B$18,Paramètres!$A$1:$I$89,3,0)*0.475*44/12</f>
        <v>0</v>
      </c>
      <c r="HI166" s="21">
        <f>EXP(-LN(2)/2)*HI165+(1-EXP(-LN(2)/2))/(LN(2)/2)*HC166*HF166*VLOOKUP('Données projet'!$B$18,Paramètres!$A$1:$I$89,3,0)*0.475*44/12</f>
        <v>0</v>
      </c>
      <c r="HJ166" s="22">
        <f t="shared" si="190"/>
        <v>9.8529377317897922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306.99999999999994</v>
      </c>
      <c r="O167" s="13">
        <f>N167*VLOOKUP('Données projet'!$B$9,Paramètres!$A$1:$I$89,3,0)*VLOOKUP('Données projet'!$B$9,Paramètres!$A$1:$I$89,5,0)</f>
        <v>277.77359999999993</v>
      </c>
      <c r="P167" s="13">
        <f t="shared" si="141"/>
        <v>66.496288176842356</v>
      </c>
      <c r="Q167" s="20">
        <f t="shared" si="162"/>
        <v>599.60338857466706</v>
      </c>
      <c r="R167" s="59">
        <f t="shared" si="109"/>
        <v>892.93672190800044</v>
      </c>
      <c r="S167" s="59">
        <f ca="1">AVERAGE(OFFSET($R$3,0,0,'Données projet'!$E$9+1,1))-AVERAGE(OFFSET($H$3,0,0,'Données projet'!$E$9+1,1))</f>
        <v>439.19854273764042</v>
      </c>
      <c r="T167" s="59">
        <f t="shared" si="142"/>
        <v>278.21741231699929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37.929787240235143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37.929787240235143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306.99999999999994</v>
      </c>
      <c r="AJ167" s="13">
        <f>AI167*VLOOKUP('Données projet'!$B$10,Paramètres!$A$1:$I$89,3,0)*VLOOKUP('Données projet'!$B$10,Paramètres!$A$1:$I$89,5,0)</f>
        <v>311.298</v>
      </c>
      <c r="AK167" s="13">
        <f t="shared" si="164"/>
        <v>73.539838278528748</v>
      </c>
      <c r="AL167" s="20">
        <f t="shared" si="165"/>
        <v>670.25923500177089</v>
      </c>
      <c r="AM167" s="59">
        <f t="shared" si="113"/>
        <v>963.59256833510426</v>
      </c>
      <c r="AN167" s="59">
        <f ca="1">AVERAGE(OFFSET($AM$3,0,0,'Données projet'!$E$10+1,1))-AVERAGE(OFFSET($H$3,0,0,'Données projet'!$E$10+1,1))</f>
        <v>487.18832528146936</v>
      </c>
      <c r="AO167" s="59">
        <f t="shared" si="144"/>
        <v>306.61893266146666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42.507520183022152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42.507520183022152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369.00000000000023</v>
      </c>
      <c r="BE167" s="13">
        <f>BD167*VLOOKUP('Données projet'!$B$11,Paramètres!$A$1:$I$89,3,0)*VLOOKUP('Données projet'!$B$11,Paramètres!$A$1:$I$89,5,0)</f>
        <v>333.87120000000021</v>
      </c>
      <c r="BF167" s="13">
        <f t="shared" si="167"/>
        <v>78.23236011137638</v>
      </c>
      <c r="BG167" s="20">
        <f t="shared" si="168"/>
        <v>717.74703386064755</v>
      </c>
      <c r="BH167" s="59">
        <f t="shared" si="116"/>
        <v>1011.0803671939809</v>
      </c>
      <c r="BI167" s="59">
        <f ca="1">AVERAGE(OFFSET($BH$3,0,0,'Données projet'!$E$11+1,1))-AVERAGE(OFFSET($H$3,0,0,'Données projet'!$E$11+1,1))</f>
        <v>436.23918637269577</v>
      </c>
      <c r="BJ167" s="59">
        <f t="shared" si="146"/>
        <v>611.43967996341894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0.74406180586510484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0.74406180586510484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224.00000000000006</v>
      </c>
      <c r="BZ167" s="13">
        <f>BY167*VLOOKUP('Données projet'!$B$12,Paramètres!$A$1:$I$89,3,0)*VLOOKUP('Données projet'!$B$12,Paramètres!$A$1:$I$89,5,0)</f>
        <v>195.68640000000008</v>
      </c>
      <c r="CA167" s="13">
        <f t="shared" si="170"/>
        <v>48.794969360985156</v>
      </c>
      <c r="CB167" s="20">
        <f t="shared" si="171"/>
        <v>425.8050516370493</v>
      </c>
      <c r="CC167" s="59">
        <f t="shared" si="119"/>
        <v>719.13838497038262</v>
      </c>
      <c r="CD167" s="59">
        <f ca="1">AVERAGE(OFFSET($CC$3,0,0,'Données projet'!$E$12+1,1))-AVERAGE(OFFSET($H$3,0,0,'Données projet'!$E$12+1,1))</f>
        <v>304.32767345253382</v>
      </c>
      <c r="CE167" s="59">
        <f t="shared" si="148"/>
        <v>427.16091343339173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8.0351139929853446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8.0351139929853446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739.99999999999966</v>
      </c>
      <c r="CU167" s="17">
        <f>CT167*VLOOKUP('Données projet'!$B$13,Paramètres!$A$1:$I$89,3,0)*VLOOKUP('Données projet'!$B$13,Paramètres!$A$1:$I$89,5,0)</f>
        <v>413.65999999999985</v>
      </c>
      <c r="CV167" s="13">
        <f t="shared" si="173"/>
        <v>94.540585122244352</v>
      </c>
      <c r="CW167" s="20">
        <f t="shared" si="174"/>
        <v>885.11601908790863</v>
      </c>
      <c r="CX167" s="59">
        <f t="shared" si="122"/>
        <v>1178.4493524212419</v>
      </c>
      <c r="CY167" s="59">
        <f ca="1">AVERAGE(OFFSET($CX$3,0,0,'Données projet'!$E$13+1,1))-AVERAGE(OFFSET($H$3,0,0,'Données projet'!$E$13+1,1))</f>
        <v>555.15881087162279</v>
      </c>
      <c r="CZ167" s="59">
        <f t="shared" si="150"/>
        <v>668.20427590250733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15.745775763060607</v>
      </c>
      <c r="DG167" s="21">
        <f>EXP(-LN(2)/25)*DG166+(1-EXP(-LN(2)/25))/(LN(2)/25)*Calculateur!DB167*Calculateur!DD167*VLOOKUP('Données projet'!$B$13,Paramètres!$A$1:$I$89,3,0)*0.475*44/12</f>
        <v>1.406919316719814</v>
      </c>
      <c r="DH167" s="21">
        <f>EXP(-LN(2)/2)*DH166+(1-EXP(-LN(2)/2))/(LN(2)/2)*DB167*DE167*VLOOKUP('Données projet'!$B$13,Paramètres!$A$1:$I$89,3,0)*0.475*44/12</f>
        <v>5.7630994617566475E-21</v>
      </c>
      <c r="DI167" s="22">
        <f t="shared" si="175"/>
        <v>17.152695079780422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911.99999999999898</v>
      </c>
      <c r="DP167" s="17">
        <f>DO167*VLOOKUP('Données projet'!$B$14,Paramètres!$A$1:$I$89,3,0)*VLOOKUP('Données projet'!$B$14,Paramètres!$A$1:$I$89,5,0)</f>
        <v>426.81599999999946</v>
      </c>
      <c r="DQ167" s="13">
        <f t="shared" si="176"/>
        <v>97.192496986872399</v>
      </c>
      <c r="DR167" s="20">
        <f t="shared" si="177"/>
        <v>912.64813225213504</v>
      </c>
      <c r="DS167" s="59">
        <f t="shared" si="125"/>
        <v>1205.9814655854684</v>
      </c>
      <c r="DT167" s="59">
        <f ca="1">AVERAGE(OFFSET($DS$3,0,0,'Données projet'!$E$14+1,1))-AVERAGE(OFFSET($H$3,0,0,'Données projet'!$E$14+1,1))</f>
        <v>523.79180230463714</v>
      </c>
      <c r="DU167" s="59">
        <f t="shared" si="152"/>
        <v>459.3547783500515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28.159285726838782</v>
      </c>
      <c r="EB167" s="21">
        <f>EXP(-LN(2)/25)*EB166+(1-EXP(-LN(2)/25))/(LN(2)/25)*Calculateur!DW167*Calculateur!DY167*VLOOKUP('Données projet'!$B$14,Paramètres!$A$1:$I$89,3,0)*0.475*44/12</f>
        <v>1.3012223146176314</v>
      </c>
      <c r="EC167" s="21">
        <f>EXP(-LN(2)/2)*EC166+(1-EXP(-LN(2)/2))/(LN(2)/2)*DW167*DZ167*VLOOKUP('Données projet'!$B$14,Paramètres!$A$1:$I$89,3,0)*0.475*44/12</f>
        <v>8.0789366170217491E-21</v>
      </c>
      <c r="ED167" s="22">
        <f t="shared" si="178"/>
        <v>29.460508041456414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367.99999999999972</v>
      </c>
      <c r="EK167" s="17">
        <f>EJ167*VLOOKUP('Données projet'!$B$15,Paramètres!$A$1:$I$89,3,0)*VLOOKUP('Données projet'!$B$15,Paramètres!$A$1:$I$89,5,0)</f>
        <v>355.92959999999977</v>
      </c>
      <c r="EL167" s="13">
        <f t="shared" si="179"/>
        <v>82.782281100458206</v>
      </c>
      <c r="EM167" s="20">
        <f t="shared" si="180"/>
        <v>764.08985958329765</v>
      </c>
      <c r="EN167" s="59">
        <f t="shared" si="128"/>
        <v>1057.423192916631</v>
      </c>
      <c r="EO167" s="59">
        <f ca="1">AVERAGE(OFFSET($EN$3,0,0,'Données projet'!$E$15+1,1))-AVERAGE(OFFSET($H$3,0,0,'Données projet'!$E$15+1,1))</f>
        <v>484.41278617935654</v>
      </c>
      <c r="EP167" s="59">
        <f t="shared" si="154"/>
        <v>467.97490540700738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11.517367561908001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11.517367561908001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367.99999999999972</v>
      </c>
      <c r="FF167" s="17">
        <f>FE167*VLOOKUP('Données projet'!$B$16,Paramètres!$A$1:$I$89,3,0)*VLOOKUP('Données projet'!$B$16,Paramètres!$A$1:$I$89,5,0)</f>
        <v>396.11519999999967</v>
      </c>
      <c r="FG167" s="13">
        <f t="shared" si="182"/>
        <v>90.988634849704994</v>
      </c>
      <c r="FH167" s="20">
        <f t="shared" si="183"/>
        <v>848.37251236323561</v>
      </c>
      <c r="FI167" s="59">
        <f t="shared" si="131"/>
        <v>1141.705845696569</v>
      </c>
      <c r="FJ167" s="59">
        <f ca="1">AVERAGE(OFFSET($FI$3,0,0,'Données projet'!$E$16+1,1))-AVERAGE(OFFSET($H$3,0,0,'Données projet'!$E$16+1,1))</f>
        <v>534.54020133239135</v>
      </c>
      <c r="FK167" s="59">
        <f t="shared" si="156"/>
        <v>515.48696069008815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12.817715512446011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12.817715512446011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248.99999999999994</v>
      </c>
      <c r="GA167" s="17">
        <f>FZ167*VLOOKUP('Données projet'!$B$17,Paramètres!$A$1:$I$89,3,0)*VLOOKUP('Données projet'!$B$17,Paramètres!$A$1:$I$89,5,0)</f>
        <v>236.94839999999994</v>
      </c>
      <c r="GB167" s="13">
        <f t="shared" si="185"/>
        <v>57.782475694292401</v>
      </c>
      <c r="GC167" s="20">
        <f t="shared" si="186"/>
        <v>513.32294183422573</v>
      </c>
      <c r="GD167" s="59">
        <f t="shared" si="134"/>
        <v>806.65627516755899</v>
      </c>
      <c r="GE167" s="59">
        <f ca="1">AVERAGE(OFFSET($GD$3,0,0,'Données projet'!$E$17+1,1))-AVERAGE(OFFSET($H$3,0,0,'Données projet'!$E$17+1,1))</f>
        <v>455.71329051283936</v>
      </c>
      <c r="GF167" s="59">
        <f t="shared" si="158"/>
        <v>479.3743231122258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29.77009451572977</v>
      </c>
      <c r="GM167" s="21">
        <f>EXP(-LN(2)/25)*GM166+(1-EXP(-LN(2)/25))/(LN(2)/25)*Calculateur!GH167*Calculateur!GJ167*VLOOKUP('Données projet'!$B$17,Paramètres!$A$1:$I$89,3,0)*0.475*44/12</f>
        <v>0</v>
      </c>
      <c r="GN167" s="21">
        <f>EXP(-LN(2)/2)*GN166+(1-EXP(-LN(2)/2))/(LN(2)/2)*GH167*GK167*VLOOKUP('Données projet'!$B$17,Paramètres!$A$1:$I$89,3,0)*0.475*44/12</f>
        <v>0</v>
      </c>
      <c r="GO167" s="21">
        <f t="shared" si="187"/>
        <v>29.77009451572977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367.99999999999972</v>
      </c>
      <c r="GV167" s="17">
        <f>GU167*VLOOKUP('Données projet'!$B$18,Paramètres!$A$1:$I$89,3,0)*VLOOKUP('Données projet'!$B$18,Paramètres!$A$1:$I$89,5,0)</f>
        <v>298.52159999999981</v>
      </c>
      <c r="GW167" s="13">
        <f t="shared" si="188"/>
        <v>70.866444995542437</v>
      </c>
      <c r="GX167" s="20">
        <f t="shared" si="189"/>
        <v>643.35084503390271</v>
      </c>
      <c r="GY167" s="59">
        <f t="shared" si="137"/>
        <v>936.68417836723597</v>
      </c>
      <c r="GZ167" s="59">
        <f ca="1">AVERAGE(OFFSET($GY$3,0,0,'Données projet'!$E$18+1,1))-AVERAGE(OFFSET($H$3,0,0,'Données projet'!$E$18+1,1))</f>
        <v>412.59676769258488</v>
      </c>
      <c r="HA167" s="59">
        <f t="shared" si="160"/>
        <v>399.90063795152133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9.6597276325680017</v>
      </c>
      <c r="HH167" s="21">
        <f>EXP(-LN(2)/25)*HH166+(1-EXP(-LN(2)/25))/(LN(2)/25)*Calculateur!HC167*Calculateur!HE167*VLOOKUP('Données projet'!$B$18,Paramètres!$A$1:$I$89,3,0)*0.475*44/12</f>
        <v>0</v>
      </c>
      <c r="HI167" s="21">
        <f>EXP(-LN(2)/2)*HI166+(1-EXP(-LN(2)/2))/(LN(2)/2)*HC167*HF167*VLOOKUP('Données projet'!$B$18,Paramètres!$A$1:$I$89,3,0)*0.475*44/12</f>
        <v>0</v>
      </c>
      <c r="HJ167" s="22">
        <f t="shared" si="190"/>
        <v>9.6597276325680017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306.99999999999994</v>
      </c>
      <c r="O168" s="13">
        <f>N168*VLOOKUP('Données projet'!$B$9,Paramètres!$A$1:$I$89,3,0)*VLOOKUP('Données projet'!$B$9,Paramètres!$A$1:$I$89,5,0)</f>
        <v>277.77359999999993</v>
      </c>
      <c r="P168" s="13">
        <f t="shared" si="141"/>
        <v>66.496288176842356</v>
      </c>
      <c r="Q168" s="20">
        <f t="shared" si="162"/>
        <v>599.60338857466706</v>
      </c>
      <c r="R168" s="59">
        <f t="shared" si="109"/>
        <v>892.93672190800044</v>
      </c>
      <c r="S168" s="59">
        <f ca="1">AVERAGE(OFFSET($R$3,0,0,'Données projet'!$E$9+1,1))-AVERAGE(OFFSET($H$3,0,0,'Données projet'!$E$9+1,1))</f>
        <v>439.19854273764042</v>
      </c>
      <c r="T168" s="59">
        <f t="shared" si="142"/>
        <v>278.21741231699929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37.186007247339965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37.186007247339965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306.99999999999994</v>
      </c>
      <c r="AJ168" s="13">
        <f>AI168*VLOOKUP('Données projet'!$B$10,Paramètres!$A$1:$I$89,3,0)*VLOOKUP('Données projet'!$B$10,Paramètres!$A$1:$I$89,5,0)</f>
        <v>311.298</v>
      </c>
      <c r="AK168" s="13">
        <f t="shared" si="164"/>
        <v>73.539838278528748</v>
      </c>
      <c r="AL168" s="20">
        <f t="shared" si="165"/>
        <v>670.25923500177089</v>
      </c>
      <c r="AM168" s="59">
        <f t="shared" si="113"/>
        <v>963.59256833510426</v>
      </c>
      <c r="AN168" s="59">
        <f ca="1">AVERAGE(OFFSET($AM$3,0,0,'Données projet'!$E$10+1,1))-AVERAGE(OFFSET($H$3,0,0,'Données projet'!$E$10+1,1))</f>
        <v>487.18832528146936</v>
      </c>
      <c r="AO168" s="59">
        <f t="shared" si="144"/>
        <v>306.61893266146666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41.673973639260318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41.673973639260318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369.00000000000023</v>
      </c>
      <c r="BE168" s="13">
        <f>BD168*VLOOKUP('Données projet'!$B$11,Paramètres!$A$1:$I$89,3,0)*VLOOKUP('Données projet'!$B$11,Paramètres!$A$1:$I$89,5,0)</f>
        <v>333.87120000000021</v>
      </c>
      <c r="BF168" s="13">
        <f t="shared" si="167"/>
        <v>78.23236011137638</v>
      </c>
      <c r="BG168" s="20">
        <f t="shared" si="168"/>
        <v>717.74703386064755</v>
      </c>
      <c r="BH168" s="59">
        <f t="shared" si="116"/>
        <v>1011.0803671939809</v>
      </c>
      <c r="BI168" s="59">
        <f ca="1">AVERAGE(OFFSET($BH$3,0,0,'Données projet'!$E$11+1,1))-AVERAGE(OFFSET($H$3,0,0,'Données projet'!$E$11+1,1))</f>
        <v>436.23918637269577</v>
      </c>
      <c r="BJ168" s="59">
        <f t="shared" si="146"/>
        <v>611.43967996341894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0.72947120768497942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0.72947120768497942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224.00000000000006</v>
      </c>
      <c r="BZ168" s="13">
        <f>BY168*VLOOKUP('Données projet'!$B$12,Paramètres!$A$1:$I$89,3,0)*VLOOKUP('Données projet'!$B$12,Paramètres!$A$1:$I$89,5,0)</f>
        <v>195.68640000000008</v>
      </c>
      <c r="CA168" s="13">
        <f t="shared" si="170"/>
        <v>48.794969360985156</v>
      </c>
      <c r="CB168" s="20">
        <f t="shared" si="171"/>
        <v>425.8050516370493</v>
      </c>
      <c r="CC168" s="59">
        <f t="shared" si="119"/>
        <v>719.13838497038262</v>
      </c>
      <c r="CD168" s="59">
        <f ca="1">AVERAGE(OFFSET($CC$3,0,0,'Données projet'!$E$12+1,1))-AVERAGE(OFFSET($H$3,0,0,'Données projet'!$E$12+1,1))</f>
        <v>304.32767345253382</v>
      </c>
      <c r="CE168" s="59">
        <f t="shared" si="148"/>
        <v>427.16091343339173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7.8775503085185106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7.8775503085185106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739.99999999999966</v>
      </c>
      <c r="CU168" s="17">
        <f>CT168*VLOOKUP('Données projet'!$B$13,Paramètres!$A$1:$I$89,3,0)*VLOOKUP('Données projet'!$B$13,Paramètres!$A$1:$I$89,5,0)</f>
        <v>413.65999999999985</v>
      </c>
      <c r="CV168" s="13">
        <f t="shared" si="173"/>
        <v>94.540585122244352</v>
      </c>
      <c r="CW168" s="20">
        <f t="shared" si="174"/>
        <v>885.11601908790863</v>
      </c>
      <c r="CX168" s="59">
        <f t="shared" si="122"/>
        <v>1178.4493524212419</v>
      </c>
      <c r="CY168" s="59">
        <f ca="1">AVERAGE(OFFSET($CX$3,0,0,'Données projet'!$E$13+1,1))-AVERAGE(OFFSET($H$3,0,0,'Données projet'!$E$13+1,1))</f>
        <v>555.15881087162279</v>
      </c>
      <c r="CZ168" s="59">
        <f t="shared" si="150"/>
        <v>668.20427590250733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15.43701070432189</v>
      </c>
      <c r="DG168" s="21">
        <f>EXP(-LN(2)/25)*DG167+(1-EXP(-LN(2)/25))/(LN(2)/25)*Calculateur!DB168*Calculateur!DD168*VLOOKUP('Données projet'!$B$13,Paramètres!$A$1:$I$89,3,0)*0.475*44/12</f>
        <v>1.3684470340174393</v>
      </c>
      <c r="DH168" s="21">
        <f>EXP(-LN(2)/2)*DH167+(1-EXP(-LN(2)/2))/(LN(2)/2)*DB168*DE168*VLOOKUP('Données projet'!$B$13,Paramètres!$A$1:$I$89,3,0)*0.475*44/12</f>
        <v>4.0751267100606675E-21</v>
      </c>
      <c r="DI168" s="22">
        <f t="shared" si="175"/>
        <v>16.805457738339328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911.99999999999898</v>
      </c>
      <c r="DP168" s="17">
        <f>DO168*VLOOKUP('Données projet'!$B$14,Paramètres!$A$1:$I$89,3,0)*VLOOKUP('Données projet'!$B$14,Paramètres!$A$1:$I$89,5,0)</f>
        <v>426.81599999999946</v>
      </c>
      <c r="DQ168" s="13">
        <f t="shared" si="176"/>
        <v>97.192496986872399</v>
      </c>
      <c r="DR168" s="20">
        <f t="shared" si="177"/>
        <v>912.64813225213504</v>
      </c>
      <c r="DS168" s="59">
        <f t="shared" si="125"/>
        <v>1205.9814655854684</v>
      </c>
      <c r="DT168" s="59">
        <f ca="1">AVERAGE(OFFSET($DS$3,0,0,'Données projet'!$E$14+1,1))-AVERAGE(OFFSET($H$3,0,0,'Données projet'!$E$14+1,1))</f>
        <v>523.79180230463714</v>
      </c>
      <c r="DU168" s="59">
        <f t="shared" si="152"/>
        <v>459.3547783500515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27.607099309203829</v>
      </c>
      <c r="EB168" s="21">
        <f>EXP(-LN(2)/25)*EB167+(1-EXP(-LN(2)/25))/(LN(2)/25)*Calculateur!DW168*Calculateur!DY168*VLOOKUP('Données projet'!$B$14,Paramètres!$A$1:$I$89,3,0)*0.475*44/12</f>
        <v>1.2656403219961048</v>
      </c>
      <c r="EC168" s="21">
        <f>EXP(-LN(2)/2)*EC167+(1-EXP(-LN(2)/2))/(LN(2)/2)*DW168*DZ168*VLOOKUP('Données projet'!$B$14,Paramètres!$A$1:$I$89,3,0)*0.475*44/12</f>
        <v>5.7126708666723845E-21</v>
      </c>
      <c r="ED168" s="22">
        <f t="shared" si="178"/>
        <v>28.872739631199934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367.99999999999972</v>
      </c>
      <c r="EK168" s="17">
        <f>EJ168*VLOOKUP('Données projet'!$B$15,Paramètres!$A$1:$I$89,3,0)*VLOOKUP('Données projet'!$B$15,Paramètres!$A$1:$I$89,5,0)</f>
        <v>355.92959999999977</v>
      </c>
      <c r="EL168" s="13">
        <f t="shared" si="179"/>
        <v>82.782281100458206</v>
      </c>
      <c r="EM168" s="20">
        <f t="shared" si="180"/>
        <v>764.08985958329765</v>
      </c>
      <c r="EN168" s="59">
        <f t="shared" si="128"/>
        <v>1057.423192916631</v>
      </c>
      <c r="EO168" s="59">
        <f ca="1">AVERAGE(OFFSET($EN$3,0,0,'Données projet'!$E$15+1,1))-AVERAGE(OFFSET($H$3,0,0,'Données projet'!$E$15+1,1))</f>
        <v>484.41278617935654</v>
      </c>
      <c r="EP168" s="59">
        <f t="shared" si="154"/>
        <v>467.97490540700738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11.291519008919547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11.291519008919547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367.99999999999972</v>
      </c>
      <c r="FF168" s="17">
        <f>FE168*VLOOKUP('Données projet'!$B$16,Paramètres!$A$1:$I$89,3,0)*VLOOKUP('Données projet'!$B$16,Paramètres!$A$1:$I$89,5,0)</f>
        <v>396.11519999999967</v>
      </c>
      <c r="FG168" s="13">
        <f t="shared" si="182"/>
        <v>90.988634849704994</v>
      </c>
      <c r="FH168" s="20">
        <f t="shared" si="183"/>
        <v>848.37251236323561</v>
      </c>
      <c r="FI168" s="59">
        <f t="shared" si="131"/>
        <v>1141.705845696569</v>
      </c>
      <c r="FJ168" s="59">
        <f ca="1">AVERAGE(OFFSET($FI$3,0,0,'Données projet'!$E$16+1,1))-AVERAGE(OFFSET($H$3,0,0,'Données projet'!$E$16+1,1))</f>
        <v>534.54020133239135</v>
      </c>
      <c r="FK168" s="59">
        <f t="shared" si="156"/>
        <v>515.48696069008815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12.566367929281441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12.566367929281441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248.99999999999994</v>
      </c>
      <c r="GA168" s="17">
        <f>FZ168*VLOOKUP('Données projet'!$B$17,Paramètres!$A$1:$I$89,3,0)*VLOOKUP('Données projet'!$B$17,Paramètres!$A$1:$I$89,5,0)</f>
        <v>236.94839999999994</v>
      </c>
      <c r="GB168" s="13">
        <f t="shared" si="185"/>
        <v>57.782475694292401</v>
      </c>
      <c r="GC168" s="20">
        <f t="shared" si="186"/>
        <v>513.32294183422573</v>
      </c>
      <c r="GD168" s="59">
        <f t="shared" si="134"/>
        <v>806.65627516755899</v>
      </c>
      <c r="GE168" s="59">
        <f ca="1">AVERAGE(OFFSET($GD$3,0,0,'Données projet'!$E$17+1,1))-AVERAGE(OFFSET($H$3,0,0,'Données projet'!$E$17+1,1))</f>
        <v>455.71329051283936</v>
      </c>
      <c r="GF168" s="59">
        <f t="shared" si="158"/>
        <v>479.3743231122258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29.186321120241015</v>
      </c>
      <c r="GM168" s="21">
        <f>EXP(-LN(2)/25)*GM167+(1-EXP(-LN(2)/25))/(LN(2)/25)*Calculateur!GH168*Calculateur!GJ168*VLOOKUP('Données projet'!$B$17,Paramètres!$A$1:$I$89,3,0)*0.475*44/12</f>
        <v>0</v>
      </c>
      <c r="GN168" s="21">
        <f>EXP(-LN(2)/2)*GN167+(1-EXP(-LN(2)/2))/(LN(2)/2)*GH168*GK168*VLOOKUP('Données projet'!$B$17,Paramètres!$A$1:$I$89,3,0)*0.475*44/12</f>
        <v>0</v>
      </c>
      <c r="GO168" s="21">
        <f t="shared" si="187"/>
        <v>29.186321120241015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367.99999999999972</v>
      </c>
      <c r="GV168" s="17">
        <f>GU168*VLOOKUP('Données projet'!$B$18,Paramètres!$A$1:$I$89,3,0)*VLOOKUP('Données projet'!$B$18,Paramètres!$A$1:$I$89,5,0)</f>
        <v>298.52159999999981</v>
      </c>
      <c r="GW168" s="13">
        <f t="shared" si="188"/>
        <v>70.866444995542437</v>
      </c>
      <c r="GX168" s="20">
        <f t="shared" si="189"/>
        <v>643.35084503390271</v>
      </c>
      <c r="GY168" s="59">
        <f t="shared" si="137"/>
        <v>936.68417836723597</v>
      </c>
      <c r="GZ168" s="59">
        <f ca="1">AVERAGE(OFFSET($GY$3,0,0,'Données projet'!$E$18+1,1))-AVERAGE(OFFSET($H$3,0,0,'Données projet'!$E$18+1,1))</f>
        <v>412.59676769258488</v>
      </c>
      <c r="HA168" s="59">
        <f t="shared" si="160"/>
        <v>399.90063795152133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9.4703062655454264</v>
      </c>
      <c r="HH168" s="21">
        <f>EXP(-LN(2)/25)*HH167+(1-EXP(-LN(2)/25))/(LN(2)/25)*Calculateur!HC168*Calculateur!HE168*VLOOKUP('Données projet'!$B$18,Paramètres!$A$1:$I$89,3,0)*0.475*44/12</f>
        <v>0</v>
      </c>
      <c r="HI168" s="21">
        <f>EXP(-LN(2)/2)*HI167+(1-EXP(-LN(2)/2))/(LN(2)/2)*HC168*HF168*VLOOKUP('Données projet'!$B$18,Paramètres!$A$1:$I$89,3,0)*0.475*44/12</f>
        <v>0</v>
      </c>
      <c r="HJ168" s="22">
        <f t="shared" si="190"/>
        <v>9.4703062655454264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306.99999999999994</v>
      </c>
      <c r="O169" s="13">
        <f>N169*VLOOKUP('Données projet'!$B$9,Paramètres!$A$1:$I$89,3,0)*VLOOKUP('Données projet'!$B$9,Paramètres!$A$1:$I$89,5,0)</f>
        <v>277.77359999999993</v>
      </c>
      <c r="P169" s="13">
        <f t="shared" si="141"/>
        <v>66.496288176842356</v>
      </c>
      <c r="Q169" s="20">
        <f t="shared" si="162"/>
        <v>599.60338857466706</v>
      </c>
      <c r="R169" s="59">
        <f t="shared" si="109"/>
        <v>892.93672190800044</v>
      </c>
      <c r="S169" s="59">
        <f ca="1">AVERAGE(OFFSET($R$3,0,0,'Données projet'!$E$9+1,1))-AVERAGE(OFFSET($H$3,0,0,'Données projet'!$E$9+1,1))</f>
        <v>439.19854273764042</v>
      </c>
      <c r="T169" s="59">
        <f t="shared" si="142"/>
        <v>278.21741231699929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36.456812326444464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36.456812326444464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306.99999999999994</v>
      </c>
      <c r="AJ169" s="13">
        <f>AI169*VLOOKUP('Données projet'!$B$10,Paramètres!$A$1:$I$89,3,0)*VLOOKUP('Données projet'!$B$10,Paramètres!$A$1:$I$89,5,0)</f>
        <v>311.298</v>
      </c>
      <c r="AK169" s="13">
        <f t="shared" si="164"/>
        <v>73.539838278528748</v>
      </c>
      <c r="AL169" s="20">
        <f t="shared" si="165"/>
        <v>670.25923500177089</v>
      </c>
      <c r="AM169" s="59">
        <f t="shared" si="113"/>
        <v>963.59256833510426</v>
      </c>
      <c r="AN169" s="59">
        <f ca="1">AVERAGE(OFFSET($AM$3,0,0,'Données projet'!$E$10+1,1))-AVERAGE(OFFSET($H$3,0,0,'Données projet'!$E$10+1,1))</f>
        <v>487.18832528146936</v>
      </c>
      <c r="AO169" s="59">
        <f t="shared" si="144"/>
        <v>306.61893266146666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40.856772434808462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40.856772434808462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369.00000000000023</v>
      </c>
      <c r="BE169" s="13">
        <f>BD169*VLOOKUP('Données projet'!$B$11,Paramètres!$A$1:$I$89,3,0)*VLOOKUP('Données projet'!$B$11,Paramètres!$A$1:$I$89,5,0)</f>
        <v>333.87120000000021</v>
      </c>
      <c r="BF169" s="13">
        <f t="shared" si="167"/>
        <v>78.23236011137638</v>
      </c>
      <c r="BG169" s="20">
        <f t="shared" si="168"/>
        <v>717.74703386064755</v>
      </c>
      <c r="BH169" s="59">
        <f t="shared" si="116"/>
        <v>1011.0803671939809</v>
      </c>
      <c r="BI169" s="59">
        <f ca="1">AVERAGE(OFFSET($BH$3,0,0,'Données projet'!$E$11+1,1))-AVERAGE(OFFSET($H$3,0,0,'Données projet'!$E$11+1,1))</f>
        <v>436.23918637269577</v>
      </c>
      <c r="BJ169" s="59">
        <f t="shared" si="146"/>
        <v>611.43967996341894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0.71516672223578015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0.71516672223578015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224.00000000000006</v>
      </c>
      <c r="BZ169" s="13">
        <f>BY169*VLOOKUP('Données projet'!$B$12,Paramètres!$A$1:$I$89,3,0)*VLOOKUP('Données projet'!$B$12,Paramètres!$A$1:$I$89,5,0)</f>
        <v>195.68640000000008</v>
      </c>
      <c r="CA169" s="13">
        <f t="shared" si="170"/>
        <v>48.794969360985156</v>
      </c>
      <c r="CB169" s="20">
        <f t="shared" si="171"/>
        <v>425.8050516370493</v>
      </c>
      <c r="CC169" s="59">
        <f t="shared" si="119"/>
        <v>719.13838497038262</v>
      </c>
      <c r="CD169" s="59">
        <f ca="1">AVERAGE(OFFSET($CC$3,0,0,'Données projet'!$E$12+1,1))-AVERAGE(OFFSET($H$3,0,0,'Données projet'!$E$12+1,1))</f>
        <v>304.32767345253382</v>
      </c>
      <c r="CE169" s="59">
        <f t="shared" si="148"/>
        <v>427.16091343339173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7.7230763517997127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7.7230763517997127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739.99999999999966</v>
      </c>
      <c r="CU169" s="17">
        <f>CT169*VLOOKUP('Données projet'!$B$13,Paramètres!$A$1:$I$89,3,0)*VLOOKUP('Données projet'!$B$13,Paramètres!$A$1:$I$89,5,0)</f>
        <v>413.65999999999985</v>
      </c>
      <c r="CV169" s="13">
        <f t="shared" si="173"/>
        <v>94.540585122244352</v>
      </c>
      <c r="CW169" s="20">
        <f t="shared" si="174"/>
        <v>885.11601908790863</v>
      </c>
      <c r="CX169" s="59">
        <f t="shared" si="122"/>
        <v>1178.4493524212419</v>
      </c>
      <c r="CY169" s="59">
        <f ca="1">AVERAGE(OFFSET($CX$3,0,0,'Données projet'!$E$13+1,1))-AVERAGE(OFFSET($H$3,0,0,'Données projet'!$E$13+1,1))</f>
        <v>555.15881087162279</v>
      </c>
      <c r="CZ169" s="59">
        <f t="shared" si="150"/>
        <v>668.20427590250733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15.134300340056949</v>
      </c>
      <c r="DG169" s="21">
        <f>EXP(-LN(2)/25)*DG168+(1-EXP(-LN(2)/25))/(LN(2)/25)*Calculateur!DB169*Calculateur!DD169*VLOOKUP('Données projet'!$B$13,Paramètres!$A$1:$I$89,3,0)*0.475*44/12</f>
        <v>1.3310267779087306</v>
      </c>
      <c r="DH169" s="21">
        <f>EXP(-LN(2)/2)*DH168+(1-EXP(-LN(2)/2))/(LN(2)/2)*DB169*DE169*VLOOKUP('Données projet'!$B$13,Paramètres!$A$1:$I$89,3,0)*0.475*44/12</f>
        <v>2.8815497308783238E-21</v>
      </c>
      <c r="DI169" s="22">
        <f t="shared" si="175"/>
        <v>16.465327117965678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911.99999999999898</v>
      </c>
      <c r="DP169" s="17">
        <f>DO169*VLOOKUP('Données projet'!$B$14,Paramètres!$A$1:$I$89,3,0)*VLOOKUP('Données projet'!$B$14,Paramètres!$A$1:$I$89,5,0)</f>
        <v>426.81599999999946</v>
      </c>
      <c r="DQ169" s="13">
        <f t="shared" si="176"/>
        <v>97.192496986872399</v>
      </c>
      <c r="DR169" s="20">
        <f t="shared" si="177"/>
        <v>912.64813225213504</v>
      </c>
      <c r="DS169" s="59">
        <f t="shared" si="125"/>
        <v>1205.9814655854684</v>
      </c>
      <c r="DT169" s="59">
        <f ca="1">AVERAGE(OFFSET($DS$3,0,0,'Données projet'!$E$14+1,1))-AVERAGE(OFFSET($H$3,0,0,'Données projet'!$E$14+1,1))</f>
        <v>523.79180230463714</v>
      </c>
      <c r="DU169" s="59">
        <f t="shared" si="152"/>
        <v>459.3547783500515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27.06574093041824</v>
      </c>
      <c r="EB169" s="21">
        <f>EXP(-LN(2)/25)*EB168+(1-EXP(-LN(2)/25))/(LN(2)/25)*Calculateur!DW169*Calculateur!DY169*VLOOKUP('Données projet'!$B$14,Paramètres!$A$1:$I$89,3,0)*0.475*44/12</f>
        <v>1.2310313208339894</v>
      </c>
      <c r="EC169" s="21">
        <f>EXP(-LN(2)/2)*EC168+(1-EXP(-LN(2)/2))/(LN(2)/2)*DW169*DZ169*VLOOKUP('Données projet'!$B$14,Paramètres!$A$1:$I$89,3,0)*0.475*44/12</f>
        <v>4.0394683085108745E-21</v>
      </c>
      <c r="ED169" s="22">
        <f t="shared" si="178"/>
        <v>28.296772251252229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367.99999999999972</v>
      </c>
      <c r="EK169" s="17">
        <f>EJ169*VLOOKUP('Données projet'!$B$15,Paramètres!$A$1:$I$89,3,0)*VLOOKUP('Données projet'!$B$15,Paramètres!$A$1:$I$89,5,0)</f>
        <v>355.92959999999977</v>
      </c>
      <c r="EL169" s="13">
        <f t="shared" si="179"/>
        <v>82.782281100458206</v>
      </c>
      <c r="EM169" s="20">
        <f t="shared" si="180"/>
        <v>764.08985958329765</v>
      </c>
      <c r="EN169" s="59">
        <f t="shared" si="128"/>
        <v>1057.423192916631</v>
      </c>
      <c r="EO169" s="59">
        <f ca="1">AVERAGE(OFFSET($EN$3,0,0,'Données projet'!$E$15+1,1))-AVERAGE(OFFSET($H$3,0,0,'Données projet'!$E$15+1,1))</f>
        <v>484.41278617935654</v>
      </c>
      <c r="EP169" s="59">
        <f t="shared" si="154"/>
        <v>467.97490540700738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11.070099208301182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11.070099208301182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367.99999999999972</v>
      </c>
      <c r="FF169" s="17">
        <f>FE169*VLOOKUP('Données projet'!$B$16,Paramètres!$A$1:$I$89,3,0)*VLOOKUP('Données projet'!$B$16,Paramètres!$A$1:$I$89,5,0)</f>
        <v>396.11519999999967</v>
      </c>
      <c r="FG169" s="13">
        <f t="shared" si="182"/>
        <v>90.988634849704994</v>
      </c>
      <c r="FH169" s="20">
        <f t="shared" si="183"/>
        <v>848.37251236323561</v>
      </c>
      <c r="FI169" s="59">
        <f t="shared" si="131"/>
        <v>1141.705845696569</v>
      </c>
      <c r="FJ169" s="59">
        <f ca="1">AVERAGE(OFFSET($FI$3,0,0,'Données projet'!$E$16+1,1))-AVERAGE(OFFSET($H$3,0,0,'Données projet'!$E$16+1,1))</f>
        <v>534.54020133239135</v>
      </c>
      <c r="FK169" s="59">
        <f t="shared" si="156"/>
        <v>515.48696069008815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12.31994911891584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12.31994911891584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248.99999999999994</v>
      </c>
      <c r="GA169" s="17">
        <f>FZ169*VLOOKUP('Données projet'!$B$17,Paramètres!$A$1:$I$89,3,0)*VLOOKUP('Données projet'!$B$17,Paramètres!$A$1:$I$89,5,0)</f>
        <v>236.94839999999994</v>
      </c>
      <c r="GB169" s="13">
        <f t="shared" si="185"/>
        <v>57.782475694292401</v>
      </c>
      <c r="GC169" s="20">
        <f t="shared" si="186"/>
        <v>513.32294183422573</v>
      </c>
      <c r="GD169" s="59">
        <f t="shared" si="134"/>
        <v>806.65627516755899</v>
      </c>
      <c r="GE169" s="59">
        <f ca="1">AVERAGE(OFFSET($GD$3,0,0,'Données projet'!$E$17+1,1))-AVERAGE(OFFSET($H$3,0,0,'Données projet'!$E$17+1,1))</f>
        <v>455.71329051283936</v>
      </c>
      <c r="GF169" s="59">
        <f t="shared" si="158"/>
        <v>479.3743231122258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28.613995164971179</v>
      </c>
      <c r="GM169" s="21">
        <f>EXP(-LN(2)/25)*GM168+(1-EXP(-LN(2)/25))/(LN(2)/25)*Calculateur!GH169*Calculateur!GJ169*VLOOKUP('Données projet'!$B$17,Paramètres!$A$1:$I$89,3,0)*0.475*44/12</f>
        <v>0</v>
      </c>
      <c r="GN169" s="21">
        <f>EXP(-LN(2)/2)*GN168+(1-EXP(-LN(2)/2))/(LN(2)/2)*GH169*GK169*VLOOKUP('Données projet'!$B$17,Paramètres!$A$1:$I$89,3,0)*0.475*44/12</f>
        <v>0</v>
      </c>
      <c r="GO169" s="21">
        <f t="shared" si="187"/>
        <v>28.613995164971179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367.99999999999972</v>
      </c>
      <c r="GV169" s="17">
        <f>GU169*VLOOKUP('Données projet'!$B$18,Paramètres!$A$1:$I$89,3,0)*VLOOKUP('Données projet'!$B$18,Paramètres!$A$1:$I$89,5,0)</f>
        <v>298.52159999999981</v>
      </c>
      <c r="GW169" s="13">
        <f t="shared" si="188"/>
        <v>70.866444995542437</v>
      </c>
      <c r="GX169" s="20">
        <f t="shared" si="189"/>
        <v>643.35084503390271</v>
      </c>
      <c r="GY169" s="59">
        <f t="shared" si="137"/>
        <v>936.68417836723597</v>
      </c>
      <c r="GZ169" s="59">
        <f ca="1">AVERAGE(OFFSET($GY$3,0,0,'Données projet'!$E$18+1,1))-AVERAGE(OFFSET($H$3,0,0,'Données projet'!$E$18+1,1))</f>
        <v>412.59676769258488</v>
      </c>
      <c r="HA169" s="59">
        <f t="shared" si="160"/>
        <v>399.90063795152133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9.2845993359945389</v>
      </c>
      <c r="HH169" s="21">
        <f>EXP(-LN(2)/25)*HH168+(1-EXP(-LN(2)/25))/(LN(2)/25)*Calculateur!HC169*Calculateur!HE169*VLOOKUP('Données projet'!$B$18,Paramètres!$A$1:$I$89,3,0)*0.475*44/12</f>
        <v>0</v>
      </c>
      <c r="HI169" s="21">
        <f>EXP(-LN(2)/2)*HI168+(1-EXP(-LN(2)/2))/(LN(2)/2)*HC169*HF169*VLOOKUP('Données projet'!$B$18,Paramètres!$A$1:$I$89,3,0)*0.475*44/12</f>
        <v>0</v>
      </c>
      <c r="HJ169" s="22">
        <f t="shared" si="190"/>
        <v>9.2845993359945389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306.99999999999994</v>
      </c>
      <c r="O170" s="13">
        <f>N170*VLOOKUP('Données projet'!$B$9,Paramètres!$A$1:$I$89,3,0)*VLOOKUP('Données projet'!$B$9,Paramètres!$A$1:$I$89,5,0)</f>
        <v>277.77359999999993</v>
      </c>
      <c r="P170" s="13">
        <f t="shared" si="141"/>
        <v>66.496288176842356</v>
      </c>
      <c r="Q170" s="20">
        <f t="shared" si="162"/>
        <v>599.60338857466706</v>
      </c>
      <c r="R170" s="59">
        <f t="shared" si="109"/>
        <v>892.93672190800044</v>
      </c>
      <c r="S170" s="59">
        <f ca="1">AVERAGE(OFFSET($R$3,0,0,'Données projet'!$E$9+1,1))-AVERAGE(OFFSET($H$3,0,0,'Données projet'!$E$9+1,1))</f>
        <v>439.19854273764042</v>
      </c>
      <c r="T170" s="59">
        <f t="shared" si="142"/>
        <v>278.21741231699929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35.741916473182741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35.741916473182741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306.99999999999994</v>
      </c>
      <c r="AJ170" s="13">
        <f>AI170*VLOOKUP('Données projet'!$B$10,Paramètres!$A$1:$I$89,3,0)*VLOOKUP('Données projet'!$B$10,Paramètres!$A$1:$I$89,5,0)</f>
        <v>311.298</v>
      </c>
      <c r="AK170" s="13">
        <f t="shared" si="164"/>
        <v>73.539838278528748</v>
      </c>
      <c r="AL170" s="20">
        <f t="shared" si="165"/>
        <v>670.25923500177089</v>
      </c>
      <c r="AM170" s="59">
        <f t="shared" si="113"/>
        <v>963.59256833510426</v>
      </c>
      <c r="AN170" s="59">
        <f ca="1">AVERAGE(OFFSET($AM$3,0,0,'Données projet'!$E$10+1,1))-AVERAGE(OFFSET($H$3,0,0,'Données projet'!$E$10+1,1))</f>
        <v>487.18832528146936</v>
      </c>
      <c r="AO170" s="59">
        <f t="shared" si="144"/>
        <v>306.61893266146666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40.05559604753239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40.05559604753239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369.00000000000023</v>
      </c>
      <c r="BE170" s="13">
        <f>BD170*VLOOKUP('Données projet'!$B$11,Paramètres!$A$1:$I$89,3,0)*VLOOKUP('Données projet'!$B$11,Paramètres!$A$1:$I$89,5,0)</f>
        <v>333.87120000000021</v>
      </c>
      <c r="BF170" s="13">
        <f t="shared" si="167"/>
        <v>78.23236011137638</v>
      </c>
      <c r="BG170" s="20">
        <f t="shared" si="168"/>
        <v>717.74703386064755</v>
      </c>
      <c r="BH170" s="59">
        <f t="shared" si="116"/>
        <v>1011.0803671939809</v>
      </c>
      <c r="BI170" s="59">
        <f ca="1">AVERAGE(OFFSET($BH$3,0,0,'Données projet'!$E$11+1,1))-AVERAGE(OFFSET($H$3,0,0,'Données projet'!$E$11+1,1))</f>
        <v>436.23918637269577</v>
      </c>
      <c r="BJ170" s="59">
        <f t="shared" si="146"/>
        <v>611.43967996341894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0.70114273902136504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0.70114273902136504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224.00000000000006</v>
      </c>
      <c r="BZ170" s="13">
        <f>BY170*VLOOKUP('Données projet'!$B$12,Paramètres!$A$1:$I$89,3,0)*VLOOKUP('Données projet'!$B$12,Paramètres!$A$1:$I$89,5,0)</f>
        <v>195.68640000000008</v>
      </c>
      <c r="CA170" s="13">
        <f t="shared" si="170"/>
        <v>48.794969360985156</v>
      </c>
      <c r="CB170" s="20">
        <f t="shared" si="171"/>
        <v>425.8050516370493</v>
      </c>
      <c r="CC170" s="59">
        <f t="shared" si="119"/>
        <v>719.13838497038262</v>
      </c>
      <c r="CD170" s="59">
        <f ca="1">AVERAGE(OFFSET($CC$3,0,0,'Données projet'!$E$12+1,1))-AVERAGE(OFFSET($H$3,0,0,'Données projet'!$E$12+1,1))</f>
        <v>304.32767345253382</v>
      </c>
      <c r="CE170" s="59">
        <f t="shared" si="148"/>
        <v>427.16091343339173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7.5716315351523606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7.5716315351523606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739.99999999999966</v>
      </c>
      <c r="CU170" s="17">
        <f>CT170*VLOOKUP('Données projet'!$B$13,Paramètres!$A$1:$I$89,3,0)*VLOOKUP('Données projet'!$B$13,Paramètres!$A$1:$I$89,5,0)</f>
        <v>413.65999999999985</v>
      </c>
      <c r="CV170" s="13">
        <f t="shared" si="173"/>
        <v>94.540585122244352</v>
      </c>
      <c r="CW170" s="20">
        <f t="shared" si="174"/>
        <v>885.11601908790863</v>
      </c>
      <c r="CX170" s="59">
        <f t="shared" si="122"/>
        <v>1178.4493524212419</v>
      </c>
      <c r="CY170" s="59">
        <f ca="1">AVERAGE(OFFSET($CX$3,0,0,'Données projet'!$E$13+1,1))-AVERAGE(OFFSET($H$3,0,0,'Données projet'!$E$13+1,1))</f>
        <v>555.15881087162279</v>
      </c>
      <c r="CZ170" s="59">
        <f t="shared" si="150"/>
        <v>668.20427590250733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14.837525941400154</v>
      </c>
      <c r="DG170" s="21">
        <f>EXP(-LN(2)/25)*DG169+(1-EXP(-LN(2)/25))/(LN(2)/25)*Calculateur!DB170*Calculateur!DD170*VLOOKUP('Données projet'!$B$13,Paramètres!$A$1:$I$89,3,0)*0.475*44/12</f>
        <v>1.2946297806711602</v>
      </c>
      <c r="DH170" s="21">
        <f>EXP(-LN(2)/2)*DH169+(1-EXP(-LN(2)/2))/(LN(2)/2)*DB170*DE170*VLOOKUP('Données projet'!$B$13,Paramètres!$A$1:$I$89,3,0)*0.475*44/12</f>
        <v>2.0375633550303337E-21</v>
      </c>
      <c r="DI170" s="22">
        <f t="shared" si="175"/>
        <v>16.132155722071314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911.99999999999898</v>
      </c>
      <c r="DP170" s="17">
        <f>DO170*VLOOKUP('Données projet'!$B$14,Paramètres!$A$1:$I$89,3,0)*VLOOKUP('Données projet'!$B$14,Paramètres!$A$1:$I$89,5,0)</f>
        <v>426.81599999999946</v>
      </c>
      <c r="DQ170" s="13">
        <f t="shared" si="176"/>
        <v>97.192496986872399</v>
      </c>
      <c r="DR170" s="20">
        <f t="shared" si="177"/>
        <v>912.64813225213504</v>
      </c>
      <c r="DS170" s="59">
        <f t="shared" si="125"/>
        <v>1205.9814655854684</v>
      </c>
      <c r="DT170" s="59">
        <f ca="1">AVERAGE(OFFSET($DS$3,0,0,'Données projet'!$E$14+1,1))-AVERAGE(OFFSET($H$3,0,0,'Données projet'!$E$14+1,1))</f>
        <v>523.79180230463714</v>
      </c>
      <c r="DU170" s="59">
        <f t="shared" si="152"/>
        <v>459.3547783500515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26.534998259244631</v>
      </c>
      <c r="EB170" s="21">
        <f>EXP(-LN(2)/25)*EB169+(1-EXP(-LN(2)/25))/(LN(2)/25)*Calculateur!DW170*Calculateur!DY170*VLOOKUP('Données projet'!$B$14,Paramètres!$A$1:$I$89,3,0)*0.475*44/12</f>
        <v>1.1973687046286603</v>
      </c>
      <c r="EC170" s="21">
        <f>EXP(-LN(2)/2)*EC169+(1-EXP(-LN(2)/2))/(LN(2)/2)*DW170*DZ170*VLOOKUP('Données projet'!$B$14,Paramètres!$A$1:$I$89,3,0)*0.475*44/12</f>
        <v>2.8563354333361922E-21</v>
      </c>
      <c r="ED170" s="22">
        <f t="shared" si="178"/>
        <v>27.732366963873289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367.99999999999972</v>
      </c>
      <c r="EK170" s="17">
        <f>EJ170*VLOOKUP('Données projet'!$B$15,Paramètres!$A$1:$I$89,3,0)*VLOOKUP('Données projet'!$B$15,Paramètres!$A$1:$I$89,5,0)</f>
        <v>355.92959999999977</v>
      </c>
      <c r="EL170" s="13">
        <f t="shared" si="179"/>
        <v>82.782281100458206</v>
      </c>
      <c r="EM170" s="20">
        <f t="shared" si="180"/>
        <v>764.08985958329765</v>
      </c>
      <c r="EN170" s="59">
        <f t="shared" si="128"/>
        <v>1057.423192916631</v>
      </c>
      <c r="EO170" s="59">
        <f ca="1">AVERAGE(OFFSET($EN$3,0,0,'Données projet'!$E$15+1,1))-AVERAGE(OFFSET($H$3,0,0,'Données projet'!$E$15+1,1))</f>
        <v>484.41278617935654</v>
      </c>
      <c r="EP170" s="59">
        <f t="shared" si="154"/>
        <v>467.97490540700738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10.853021314920198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10.853021314920198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367.99999999999972</v>
      </c>
      <c r="FF170" s="17">
        <f>FE170*VLOOKUP('Données projet'!$B$16,Paramètres!$A$1:$I$89,3,0)*VLOOKUP('Données projet'!$B$16,Paramètres!$A$1:$I$89,5,0)</f>
        <v>396.11519999999967</v>
      </c>
      <c r="FG170" s="13">
        <f t="shared" si="182"/>
        <v>90.988634849704994</v>
      </c>
      <c r="FH170" s="20">
        <f t="shared" si="183"/>
        <v>848.37251236323561</v>
      </c>
      <c r="FI170" s="59">
        <f t="shared" si="131"/>
        <v>1141.705845696569</v>
      </c>
      <c r="FJ170" s="59">
        <f ca="1">AVERAGE(OFFSET($FI$3,0,0,'Données projet'!$E$16+1,1))-AVERAGE(OFFSET($H$3,0,0,'Données projet'!$E$16+1,1))</f>
        <v>534.54020133239135</v>
      </c>
      <c r="FK170" s="59">
        <f t="shared" si="156"/>
        <v>515.48696069008815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12.078362431120874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12.078362431120874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248.99999999999994</v>
      </c>
      <c r="GA170" s="17">
        <f>FZ170*VLOOKUP('Données projet'!$B$17,Paramètres!$A$1:$I$89,3,0)*VLOOKUP('Données projet'!$B$17,Paramètres!$A$1:$I$89,5,0)</f>
        <v>236.94839999999994</v>
      </c>
      <c r="GB170" s="13">
        <f t="shared" si="185"/>
        <v>57.782475694292401</v>
      </c>
      <c r="GC170" s="20">
        <f t="shared" si="186"/>
        <v>513.32294183422573</v>
      </c>
      <c r="GD170" s="59">
        <f t="shared" si="134"/>
        <v>806.65627516755899</v>
      </c>
      <c r="GE170" s="59">
        <f ca="1">AVERAGE(OFFSET($GD$3,0,0,'Données projet'!$E$17+1,1))-AVERAGE(OFFSET($H$3,0,0,'Données projet'!$E$17+1,1))</f>
        <v>455.71329051283936</v>
      </c>
      <c r="GF170" s="59">
        <f t="shared" si="158"/>
        <v>479.3743231122258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28.052892172599822</v>
      </c>
      <c r="GM170" s="21">
        <f>EXP(-LN(2)/25)*GM169+(1-EXP(-LN(2)/25))/(LN(2)/25)*Calculateur!GH170*Calculateur!GJ170*VLOOKUP('Données projet'!$B$17,Paramètres!$A$1:$I$89,3,0)*0.475*44/12</f>
        <v>0</v>
      </c>
      <c r="GN170" s="21">
        <f>EXP(-LN(2)/2)*GN169+(1-EXP(-LN(2)/2))/(LN(2)/2)*GH170*GK170*VLOOKUP('Données projet'!$B$17,Paramètres!$A$1:$I$89,3,0)*0.475*44/12</f>
        <v>0</v>
      </c>
      <c r="GO170" s="21">
        <f t="shared" si="187"/>
        <v>28.052892172599822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367.99999999999972</v>
      </c>
      <c r="GV170" s="17">
        <f>GU170*VLOOKUP('Données projet'!$B$18,Paramètres!$A$1:$I$89,3,0)*VLOOKUP('Données projet'!$B$18,Paramètres!$A$1:$I$89,5,0)</f>
        <v>298.52159999999981</v>
      </c>
      <c r="GW170" s="13">
        <f t="shared" si="188"/>
        <v>70.866444995542437</v>
      </c>
      <c r="GX170" s="20">
        <f t="shared" si="189"/>
        <v>643.35084503390271</v>
      </c>
      <c r="GY170" s="59">
        <f t="shared" si="137"/>
        <v>936.68417836723597</v>
      </c>
      <c r="GZ170" s="59">
        <f ca="1">AVERAGE(OFFSET($GY$3,0,0,'Données projet'!$E$18+1,1))-AVERAGE(OFFSET($H$3,0,0,'Données projet'!$E$18+1,1))</f>
        <v>412.59676769258488</v>
      </c>
      <c r="HA170" s="59">
        <f t="shared" si="160"/>
        <v>399.90063795152133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9.1025340060621023</v>
      </c>
      <c r="HH170" s="21">
        <f>EXP(-LN(2)/25)*HH169+(1-EXP(-LN(2)/25))/(LN(2)/25)*Calculateur!HC170*Calculateur!HE170*VLOOKUP('Données projet'!$B$18,Paramètres!$A$1:$I$89,3,0)*0.475*44/12</f>
        <v>0</v>
      </c>
      <c r="HI170" s="21">
        <f>EXP(-LN(2)/2)*HI169+(1-EXP(-LN(2)/2))/(LN(2)/2)*HC170*HF170*VLOOKUP('Données projet'!$B$18,Paramètres!$A$1:$I$89,3,0)*0.475*44/12</f>
        <v>0</v>
      </c>
      <c r="HJ170" s="22">
        <f t="shared" si="190"/>
        <v>9.1025340060621023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306.99999999999994</v>
      </c>
      <c r="O171" s="13">
        <f>N171*VLOOKUP('Données projet'!$B$9,Paramètres!$A$1:$I$89,3,0)*VLOOKUP('Données projet'!$B$9,Paramètres!$A$1:$I$89,5,0)</f>
        <v>277.77359999999993</v>
      </c>
      <c r="P171" s="13">
        <f t="shared" si="141"/>
        <v>66.496288176842356</v>
      </c>
      <c r="Q171" s="20">
        <f t="shared" si="162"/>
        <v>599.60338857466706</v>
      </c>
      <c r="R171" s="59">
        <f t="shared" si="109"/>
        <v>892.93672190800044</v>
      </c>
      <c r="S171" s="59">
        <f ca="1">AVERAGE(OFFSET($R$3,0,0,'Données projet'!$E$9+1,1))-AVERAGE(OFFSET($H$3,0,0,'Données projet'!$E$9+1,1))</f>
        <v>439.19854273764042</v>
      </c>
      <c r="T171" s="59">
        <f t="shared" si="142"/>
        <v>278.21741231699929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35.041039291560061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35.041039291560061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306.99999999999994</v>
      </c>
      <c r="AJ171" s="13">
        <f>AI171*VLOOKUP('Données projet'!$B$10,Paramètres!$A$1:$I$89,3,0)*VLOOKUP('Données projet'!$B$10,Paramètres!$A$1:$I$89,5,0)</f>
        <v>311.298</v>
      </c>
      <c r="AK171" s="13">
        <f t="shared" si="164"/>
        <v>73.539838278528748</v>
      </c>
      <c r="AL171" s="20">
        <f t="shared" si="165"/>
        <v>670.25923500177089</v>
      </c>
      <c r="AM171" s="59">
        <f t="shared" si="113"/>
        <v>963.59256833510426</v>
      </c>
      <c r="AN171" s="59">
        <f ca="1">AVERAGE(OFFSET($AM$3,0,0,'Données projet'!$E$10+1,1))-AVERAGE(OFFSET($H$3,0,0,'Données projet'!$E$10+1,1))</f>
        <v>487.18832528146936</v>
      </c>
      <c r="AO171" s="59">
        <f t="shared" si="144"/>
        <v>306.61893266146666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39.270130240541455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39.270130240541455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369.00000000000023</v>
      </c>
      <c r="BE171" s="13">
        <f>BD171*VLOOKUP('Données projet'!$B$11,Paramètres!$A$1:$I$89,3,0)*VLOOKUP('Données projet'!$B$11,Paramètres!$A$1:$I$89,5,0)</f>
        <v>333.87120000000021</v>
      </c>
      <c r="BF171" s="13">
        <f t="shared" si="167"/>
        <v>78.23236011137638</v>
      </c>
      <c r="BG171" s="20">
        <f t="shared" si="168"/>
        <v>717.74703386064755</v>
      </c>
      <c r="BH171" s="59">
        <f t="shared" si="116"/>
        <v>1011.0803671939809</v>
      </c>
      <c r="BI171" s="59">
        <f ca="1">AVERAGE(OFFSET($BH$3,0,0,'Données projet'!$E$11+1,1))-AVERAGE(OFFSET($H$3,0,0,'Données projet'!$E$11+1,1))</f>
        <v>436.23918637269577</v>
      </c>
      <c r="BJ171" s="59">
        <f t="shared" si="146"/>
        <v>611.43967996341894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0.68739375756399945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0.68739375756399945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224.00000000000006</v>
      </c>
      <c r="BZ171" s="13">
        <f>BY171*VLOOKUP('Données projet'!$B$12,Paramètres!$A$1:$I$89,3,0)*VLOOKUP('Données projet'!$B$12,Paramètres!$A$1:$I$89,5,0)</f>
        <v>195.68640000000008</v>
      </c>
      <c r="CA171" s="13">
        <f t="shared" si="170"/>
        <v>48.794969360985156</v>
      </c>
      <c r="CB171" s="20">
        <f t="shared" si="171"/>
        <v>425.8050516370493</v>
      </c>
      <c r="CC171" s="59">
        <f t="shared" si="119"/>
        <v>719.13838497038262</v>
      </c>
      <c r="CD171" s="59">
        <f ca="1">AVERAGE(OFFSET($CC$3,0,0,'Données projet'!$E$12+1,1))-AVERAGE(OFFSET($H$3,0,0,'Données projet'!$E$12+1,1))</f>
        <v>304.32767345253382</v>
      </c>
      <c r="CE171" s="59">
        <f t="shared" si="148"/>
        <v>427.16091343339173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7.4231564589872461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7.4231564589872461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739.99999999999966</v>
      </c>
      <c r="CU171" s="17">
        <f>CT171*VLOOKUP('Données projet'!$B$13,Paramètres!$A$1:$I$89,3,0)*VLOOKUP('Données projet'!$B$13,Paramètres!$A$1:$I$89,5,0)</f>
        <v>413.65999999999985</v>
      </c>
      <c r="CV171" s="13">
        <f t="shared" si="173"/>
        <v>94.540585122244352</v>
      </c>
      <c r="CW171" s="20">
        <f t="shared" si="174"/>
        <v>885.11601908790863</v>
      </c>
      <c r="CX171" s="59">
        <f t="shared" si="122"/>
        <v>1178.4493524212419</v>
      </c>
      <c r="CY171" s="59">
        <f ca="1">AVERAGE(OFFSET($CX$3,0,0,'Données projet'!$E$13+1,1))-AVERAGE(OFFSET($H$3,0,0,'Données projet'!$E$13+1,1))</f>
        <v>555.15881087162279</v>
      </c>
      <c r="CZ171" s="59">
        <f t="shared" si="150"/>
        <v>668.20427590250733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14.546571107686509</v>
      </c>
      <c r="DG171" s="21">
        <f>EXP(-LN(2)/25)*DG170+(1-EXP(-LN(2)/25))/(LN(2)/25)*Calculateur!DB171*Calculateur!DD171*VLOOKUP('Données projet'!$B$13,Paramètres!$A$1:$I$89,3,0)*0.475*44/12</f>
        <v>1.2592280612370861</v>
      </c>
      <c r="DH171" s="21">
        <f>EXP(-LN(2)/2)*DH170+(1-EXP(-LN(2)/2))/(LN(2)/2)*DB171*DE171*VLOOKUP('Données projet'!$B$13,Paramètres!$A$1:$I$89,3,0)*0.475*44/12</f>
        <v>1.4407748654391619E-21</v>
      </c>
      <c r="DI171" s="22">
        <f t="shared" si="175"/>
        <v>15.805799168923595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911.99999999999898</v>
      </c>
      <c r="DP171" s="17">
        <f>DO171*VLOOKUP('Données projet'!$B$14,Paramètres!$A$1:$I$89,3,0)*VLOOKUP('Données projet'!$B$14,Paramètres!$A$1:$I$89,5,0)</f>
        <v>426.81599999999946</v>
      </c>
      <c r="DQ171" s="13">
        <f t="shared" si="176"/>
        <v>97.192496986872399</v>
      </c>
      <c r="DR171" s="20">
        <f t="shared" si="177"/>
        <v>912.64813225213504</v>
      </c>
      <c r="DS171" s="59">
        <f t="shared" si="125"/>
        <v>1205.9814655854684</v>
      </c>
      <c r="DT171" s="59">
        <f ca="1">AVERAGE(OFFSET($DS$3,0,0,'Données projet'!$E$14+1,1))-AVERAGE(OFFSET($H$3,0,0,'Données projet'!$E$14+1,1))</f>
        <v>523.79180230463714</v>
      </c>
      <c r="DU171" s="59">
        <f t="shared" si="152"/>
        <v>459.3547783500515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26.014663128131669</v>
      </c>
      <c r="EB171" s="21">
        <f>EXP(-LN(2)/25)*EB170+(1-EXP(-LN(2)/25))/(LN(2)/25)*Calculateur!DW171*Calculateur!DY171*VLOOKUP('Données projet'!$B$14,Paramètres!$A$1:$I$89,3,0)*0.475*44/12</f>
        <v>1.164626594433706</v>
      </c>
      <c r="EC171" s="21">
        <f>EXP(-LN(2)/2)*EC170+(1-EXP(-LN(2)/2))/(LN(2)/2)*DW171*DZ171*VLOOKUP('Données projet'!$B$14,Paramètres!$A$1:$I$89,3,0)*0.475*44/12</f>
        <v>2.0197341542554373E-21</v>
      </c>
      <c r="ED171" s="22">
        <f t="shared" si="178"/>
        <v>27.179289722565375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367.99999999999972</v>
      </c>
      <c r="EK171" s="17">
        <f>EJ171*VLOOKUP('Données projet'!$B$15,Paramètres!$A$1:$I$89,3,0)*VLOOKUP('Données projet'!$B$15,Paramètres!$A$1:$I$89,5,0)</f>
        <v>355.92959999999977</v>
      </c>
      <c r="EL171" s="13">
        <f t="shared" si="179"/>
        <v>82.782281100458206</v>
      </c>
      <c r="EM171" s="20">
        <f t="shared" si="180"/>
        <v>764.08985958329765</v>
      </c>
      <c r="EN171" s="59">
        <f t="shared" si="128"/>
        <v>1057.423192916631</v>
      </c>
      <c r="EO171" s="59">
        <f ca="1">AVERAGE(OFFSET($EN$3,0,0,'Données projet'!$E$15+1,1))-AVERAGE(OFFSET($H$3,0,0,'Données projet'!$E$15+1,1))</f>
        <v>484.41278617935654</v>
      </c>
      <c r="EP171" s="59">
        <f t="shared" si="154"/>
        <v>467.97490540700738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10.640200186623975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10.640200186623975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367.99999999999972</v>
      </c>
      <c r="FF171" s="17">
        <f>FE171*VLOOKUP('Données projet'!$B$16,Paramètres!$A$1:$I$89,3,0)*VLOOKUP('Données projet'!$B$16,Paramètres!$A$1:$I$89,5,0)</f>
        <v>396.11519999999967</v>
      </c>
      <c r="FG171" s="13">
        <f t="shared" si="182"/>
        <v>90.988634849704994</v>
      </c>
      <c r="FH171" s="20">
        <f t="shared" si="183"/>
        <v>848.37251236323561</v>
      </c>
      <c r="FI171" s="59">
        <f t="shared" si="131"/>
        <v>1141.705845696569</v>
      </c>
      <c r="FJ171" s="59">
        <f ca="1">AVERAGE(OFFSET($FI$3,0,0,'Données projet'!$E$16+1,1))-AVERAGE(OFFSET($H$3,0,0,'Données projet'!$E$16+1,1))</f>
        <v>534.54020133239135</v>
      </c>
      <c r="FK171" s="59">
        <f t="shared" si="156"/>
        <v>515.48696069008815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11.841513110920239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11.841513110920239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248.99999999999994</v>
      </c>
      <c r="GA171" s="17">
        <f>FZ171*VLOOKUP('Données projet'!$B$17,Paramètres!$A$1:$I$89,3,0)*VLOOKUP('Données projet'!$B$17,Paramètres!$A$1:$I$89,5,0)</f>
        <v>236.94839999999994</v>
      </c>
      <c r="GB171" s="13">
        <f t="shared" si="185"/>
        <v>57.782475694292401</v>
      </c>
      <c r="GC171" s="20">
        <f t="shared" si="186"/>
        <v>513.32294183422573</v>
      </c>
      <c r="GD171" s="59">
        <f t="shared" si="134"/>
        <v>806.65627516755899</v>
      </c>
      <c r="GE171" s="59">
        <f ca="1">AVERAGE(OFFSET($GD$3,0,0,'Données projet'!$E$17+1,1))-AVERAGE(OFFSET($H$3,0,0,'Données projet'!$E$17+1,1))</f>
        <v>455.71329051283936</v>
      </c>
      <c r="GF171" s="59">
        <f t="shared" si="158"/>
        <v>479.3743231122258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27.502792067669837</v>
      </c>
      <c r="GM171" s="21">
        <f>EXP(-LN(2)/25)*GM170+(1-EXP(-LN(2)/25))/(LN(2)/25)*Calculateur!GH171*Calculateur!GJ171*VLOOKUP('Données projet'!$B$17,Paramètres!$A$1:$I$89,3,0)*0.475*44/12</f>
        <v>0</v>
      </c>
      <c r="GN171" s="21">
        <f>EXP(-LN(2)/2)*GN170+(1-EXP(-LN(2)/2))/(LN(2)/2)*GH171*GK171*VLOOKUP('Données projet'!$B$17,Paramètres!$A$1:$I$89,3,0)*0.475*44/12</f>
        <v>0</v>
      </c>
      <c r="GO171" s="21">
        <f t="shared" si="187"/>
        <v>27.502792067669837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367.99999999999972</v>
      </c>
      <c r="GV171" s="17">
        <f>GU171*VLOOKUP('Données projet'!$B$18,Paramètres!$A$1:$I$89,3,0)*VLOOKUP('Données projet'!$B$18,Paramètres!$A$1:$I$89,5,0)</f>
        <v>298.52159999999981</v>
      </c>
      <c r="GW171" s="13">
        <f t="shared" si="188"/>
        <v>70.866444995542437</v>
      </c>
      <c r="GX171" s="20">
        <f t="shared" si="189"/>
        <v>643.35084503390271</v>
      </c>
      <c r="GY171" s="59">
        <f t="shared" si="137"/>
        <v>936.68417836723597</v>
      </c>
      <c r="GZ171" s="59">
        <f ca="1">AVERAGE(OFFSET($GY$3,0,0,'Données projet'!$E$18+1,1))-AVERAGE(OFFSET($H$3,0,0,'Données projet'!$E$18+1,1))</f>
        <v>412.59676769258488</v>
      </c>
      <c r="HA171" s="59">
        <f t="shared" si="160"/>
        <v>399.90063795152133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8.9240388662007533</v>
      </c>
      <c r="HH171" s="21">
        <f>EXP(-LN(2)/25)*HH170+(1-EXP(-LN(2)/25))/(LN(2)/25)*Calculateur!HC171*Calculateur!HE171*VLOOKUP('Données projet'!$B$18,Paramètres!$A$1:$I$89,3,0)*0.475*44/12</f>
        <v>0</v>
      </c>
      <c r="HI171" s="21">
        <f>EXP(-LN(2)/2)*HI170+(1-EXP(-LN(2)/2))/(LN(2)/2)*HC171*HF171*VLOOKUP('Données projet'!$B$18,Paramètres!$A$1:$I$89,3,0)*0.475*44/12</f>
        <v>0</v>
      </c>
      <c r="HJ171" s="22">
        <f t="shared" si="190"/>
        <v>8.9240388662007533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306.99999999999994</v>
      </c>
      <c r="O172" s="13">
        <f>N172*VLOOKUP('Données projet'!$B$9,Paramètres!$A$1:$I$89,3,0)*VLOOKUP('Données projet'!$B$9,Paramètres!$A$1:$I$89,5,0)</f>
        <v>277.77359999999993</v>
      </c>
      <c r="P172" s="13">
        <f t="shared" si="141"/>
        <v>66.496288176842356</v>
      </c>
      <c r="Q172" s="20">
        <f t="shared" si="162"/>
        <v>599.60338857466706</v>
      </c>
      <c r="R172" s="59">
        <f t="shared" si="109"/>
        <v>892.93672190800044</v>
      </c>
      <c r="S172" s="59">
        <f ca="1">AVERAGE(OFFSET($R$3,0,0,'Données projet'!$E$9+1,1))-AVERAGE(OFFSET($H$3,0,0,'Données projet'!$E$9+1,1))</f>
        <v>439.19854273764042</v>
      </c>
      <c r="T172" s="59">
        <f t="shared" si="142"/>
        <v>278.21741231699929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34.353905883976132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34.353905883976132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306.99999999999994</v>
      </c>
      <c r="AJ172" s="13">
        <f>AI172*VLOOKUP('Données projet'!$B$10,Paramètres!$A$1:$I$89,3,0)*VLOOKUP('Données projet'!$B$10,Paramètres!$A$1:$I$89,5,0)</f>
        <v>311.298</v>
      </c>
      <c r="AK172" s="13">
        <f t="shared" si="164"/>
        <v>73.539838278528748</v>
      </c>
      <c r="AL172" s="20">
        <f t="shared" si="165"/>
        <v>670.25923500177089</v>
      </c>
      <c r="AM172" s="59">
        <f t="shared" si="113"/>
        <v>963.59256833510426</v>
      </c>
      <c r="AN172" s="59">
        <f ca="1">AVERAGE(OFFSET($AM$3,0,0,'Données projet'!$E$10+1,1))-AVERAGE(OFFSET($H$3,0,0,'Données projet'!$E$10+1,1))</f>
        <v>487.18832528146936</v>
      </c>
      <c r="AO172" s="59">
        <f t="shared" si="144"/>
        <v>306.61893266146666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38.50006693893878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38.50006693893878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369.00000000000023</v>
      </c>
      <c r="BE172" s="13">
        <f>BD172*VLOOKUP('Données projet'!$B$11,Paramètres!$A$1:$I$89,3,0)*VLOOKUP('Données projet'!$B$11,Paramètres!$A$1:$I$89,5,0)</f>
        <v>333.87120000000021</v>
      </c>
      <c r="BF172" s="13">
        <f t="shared" si="167"/>
        <v>78.23236011137638</v>
      </c>
      <c r="BG172" s="20">
        <f t="shared" si="168"/>
        <v>717.74703386064755</v>
      </c>
      <c r="BH172" s="59">
        <f t="shared" si="116"/>
        <v>1011.0803671939809</v>
      </c>
      <c r="BI172" s="59">
        <f ca="1">AVERAGE(OFFSET($BH$3,0,0,'Données projet'!$E$11+1,1))-AVERAGE(OFFSET($H$3,0,0,'Données projet'!$E$11+1,1))</f>
        <v>436.23918637269577</v>
      </c>
      <c r="BJ172" s="59">
        <f t="shared" si="146"/>
        <v>611.43967996341894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0.67391438524696223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0.67391438524696223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224.00000000000006</v>
      </c>
      <c r="BZ172" s="13">
        <f>BY172*VLOOKUP('Données projet'!$B$12,Paramètres!$A$1:$I$89,3,0)*VLOOKUP('Données projet'!$B$12,Paramètres!$A$1:$I$89,5,0)</f>
        <v>195.68640000000008</v>
      </c>
      <c r="CA172" s="13">
        <f t="shared" si="170"/>
        <v>48.794969360985156</v>
      </c>
      <c r="CB172" s="20">
        <f t="shared" si="171"/>
        <v>425.8050516370493</v>
      </c>
      <c r="CC172" s="59">
        <f t="shared" si="119"/>
        <v>719.13838497038262</v>
      </c>
      <c r="CD172" s="59">
        <f ca="1">AVERAGE(OFFSET($CC$3,0,0,'Données projet'!$E$12+1,1))-AVERAGE(OFFSET($H$3,0,0,'Données projet'!$E$12+1,1))</f>
        <v>304.32767345253382</v>
      </c>
      <c r="CE172" s="59">
        <f t="shared" si="148"/>
        <v>427.16091343339173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7.2775928885048753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7.2775928885048753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739.99999999999966</v>
      </c>
      <c r="CU172" s="17">
        <f>CT172*VLOOKUP('Données projet'!$B$13,Paramètres!$A$1:$I$89,3,0)*VLOOKUP('Données projet'!$B$13,Paramètres!$A$1:$I$89,5,0)</f>
        <v>413.65999999999985</v>
      </c>
      <c r="CV172" s="13">
        <f t="shared" si="173"/>
        <v>94.540585122244352</v>
      </c>
      <c r="CW172" s="20">
        <f t="shared" si="174"/>
        <v>885.11601908790863</v>
      </c>
      <c r="CX172" s="59">
        <f t="shared" si="122"/>
        <v>1178.4493524212419</v>
      </c>
      <c r="CY172" s="59">
        <f ca="1">AVERAGE(OFFSET($CX$3,0,0,'Données projet'!$E$13+1,1))-AVERAGE(OFFSET($H$3,0,0,'Données projet'!$E$13+1,1))</f>
        <v>555.15881087162279</v>
      </c>
      <c r="CZ172" s="59">
        <f t="shared" si="150"/>
        <v>668.20427590250733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14.261321720797062</v>
      </c>
      <c r="DG172" s="21">
        <f>EXP(-LN(2)/25)*DG171+(1-EXP(-LN(2)/25))/(LN(2)/25)*Calculateur!DB172*Calculateur!DD172*VLOOKUP('Données projet'!$B$13,Paramètres!$A$1:$I$89,3,0)*0.475*44/12</f>
        <v>1.2247944036826321</v>
      </c>
      <c r="DH172" s="21">
        <f>EXP(-LN(2)/2)*DH171+(1-EXP(-LN(2)/2))/(LN(2)/2)*DB172*DE172*VLOOKUP('Données projet'!$B$13,Paramètres!$A$1:$I$89,3,0)*0.475*44/12</f>
        <v>1.0187816775151669E-21</v>
      </c>
      <c r="DI172" s="22">
        <f t="shared" si="175"/>
        <v>15.486116124479693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911.99999999999898</v>
      </c>
      <c r="DP172" s="17">
        <f>DO172*VLOOKUP('Données projet'!$B$14,Paramètres!$A$1:$I$89,3,0)*VLOOKUP('Données projet'!$B$14,Paramètres!$A$1:$I$89,5,0)</f>
        <v>426.81599999999946</v>
      </c>
      <c r="DQ172" s="13">
        <f t="shared" si="176"/>
        <v>97.192496986872399</v>
      </c>
      <c r="DR172" s="20">
        <f t="shared" si="177"/>
        <v>912.64813225213504</v>
      </c>
      <c r="DS172" s="59">
        <f t="shared" si="125"/>
        <v>1205.9814655854684</v>
      </c>
      <c r="DT172" s="59">
        <f ca="1">AVERAGE(OFFSET($DS$3,0,0,'Données projet'!$E$14+1,1))-AVERAGE(OFFSET($H$3,0,0,'Données projet'!$E$14+1,1))</f>
        <v>523.79180230463714</v>
      </c>
      <c r="DU172" s="59">
        <f t="shared" si="152"/>
        <v>459.3547783500515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25.504531451566741</v>
      </c>
      <c r="EB172" s="21">
        <f>EXP(-LN(2)/25)*EB171+(1-EXP(-LN(2)/25))/(LN(2)/25)*Calculateur!DW172*Calculateur!DY172*VLOOKUP('Données projet'!$B$14,Paramètres!$A$1:$I$89,3,0)*0.475*44/12</f>
        <v>1.1327798189638654</v>
      </c>
      <c r="EC172" s="21">
        <f>EXP(-LN(2)/2)*EC171+(1-EXP(-LN(2)/2))/(LN(2)/2)*DW172*DZ172*VLOOKUP('Données projet'!$B$14,Paramètres!$A$1:$I$89,3,0)*0.475*44/12</f>
        <v>1.4281677166680961E-21</v>
      </c>
      <c r="ED172" s="22">
        <f t="shared" si="178"/>
        <v>26.637311270530606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367.99999999999972</v>
      </c>
      <c r="EK172" s="17">
        <f>EJ172*VLOOKUP('Données projet'!$B$15,Paramètres!$A$1:$I$89,3,0)*VLOOKUP('Données projet'!$B$15,Paramètres!$A$1:$I$89,5,0)</f>
        <v>355.92959999999977</v>
      </c>
      <c r="EL172" s="13">
        <f t="shared" si="179"/>
        <v>82.782281100458206</v>
      </c>
      <c r="EM172" s="20">
        <f t="shared" si="180"/>
        <v>764.08985958329765</v>
      </c>
      <c r="EN172" s="59">
        <f t="shared" si="128"/>
        <v>1057.423192916631</v>
      </c>
      <c r="EO172" s="59">
        <f ca="1">AVERAGE(OFFSET($EN$3,0,0,'Données projet'!$E$15+1,1))-AVERAGE(OFFSET($H$3,0,0,'Données projet'!$E$15+1,1))</f>
        <v>484.41278617935654</v>
      </c>
      <c r="EP172" s="59">
        <f t="shared" si="154"/>
        <v>467.97490540700738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10.431552350845569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10.431552350845569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367.99999999999972</v>
      </c>
      <c r="FF172" s="17">
        <f>FE172*VLOOKUP('Données projet'!$B$16,Paramètres!$A$1:$I$89,3,0)*VLOOKUP('Données projet'!$B$16,Paramètres!$A$1:$I$89,5,0)</f>
        <v>396.11519999999967</v>
      </c>
      <c r="FG172" s="13">
        <f t="shared" si="182"/>
        <v>90.988634849704994</v>
      </c>
      <c r="FH172" s="20">
        <f t="shared" si="183"/>
        <v>848.37251236323561</v>
      </c>
      <c r="FI172" s="59">
        <f t="shared" si="131"/>
        <v>1141.705845696569</v>
      </c>
      <c r="FJ172" s="59">
        <f ca="1">AVERAGE(OFFSET($FI$3,0,0,'Données projet'!$E$16+1,1))-AVERAGE(OFFSET($H$3,0,0,'Données projet'!$E$16+1,1))</f>
        <v>534.54020133239135</v>
      </c>
      <c r="FK172" s="59">
        <f t="shared" si="156"/>
        <v>515.48696069008815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11.609308261424918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11.609308261424918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248.99999999999994</v>
      </c>
      <c r="GA172" s="17">
        <f>FZ172*VLOOKUP('Données projet'!$B$17,Paramètres!$A$1:$I$89,3,0)*VLOOKUP('Données projet'!$B$17,Paramètres!$A$1:$I$89,5,0)</f>
        <v>236.94839999999994</v>
      </c>
      <c r="GB172" s="13">
        <f t="shared" si="185"/>
        <v>57.782475694292401</v>
      </c>
      <c r="GC172" s="20">
        <f t="shared" si="186"/>
        <v>513.32294183422573</v>
      </c>
      <c r="GD172" s="59">
        <f t="shared" si="134"/>
        <v>806.65627516755899</v>
      </c>
      <c r="GE172" s="59">
        <f ca="1">AVERAGE(OFFSET($GD$3,0,0,'Données projet'!$E$17+1,1))-AVERAGE(OFFSET($H$3,0,0,'Données projet'!$E$17+1,1))</f>
        <v>455.71329051283936</v>
      </c>
      <c r="GF172" s="59">
        <f t="shared" si="158"/>
        <v>479.3743231122258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26.963479090269594</v>
      </c>
      <c r="GM172" s="21">
        <f>EXP(-LN(2)/25)*GM171+(1-EXP(-LN(2)/25))/(LN(2)/25)*Calculateur!GH172*Calculateur!GJ172*VLOOKUP('Données projet'!$B$17,Paramètres!$A$1:$I$89,3,0)*0.475*44/12</f>
        <v>0</v>
      </c>
      <c r="GN172" s="21">
        <f>EXP(-LN(2)/2)*GN171+(1-EXP(-LN(2)/2))/(LN(2)/2)*GH172*GK172*VLOOKUP('Données projet'!$B$17,Paramètres!$A$1:$I$89,3,0)*0.475*44/12</f>
        <v>0</v>
      </c>
      <c r="GO172" s="21">
        <f t="shared" si="187"/>
        <v>26.963479090269594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367.99999999999972</v>
      </c>
      <c r="GV172" s="17">
        <f>GU172*VLOOKUP('Données projet'!$B$18,Paramètres!$A$1:$I$89,3,0)*VLOOKUP('Données projet'!$B$18,Paramètres!$A$1:$I$89,5,0)</f>
        <v>298.52159999999981</v>
      </c>
      <c r="GW172" s="13">
        <f t="shared" si="188"/>
        <v>70.866444995542437</v>
      </c>
      <c r="GX172" s="20">
        <f t="shared" si="189"/>
        <v>643.35084503390271</v>
      </c>
      <c r="GY172" s="59">
        <f t="shared" si="137"/>
        <v>936.68417836723597</v>
      </c>
      <c r="GZ172" s="59">
        <f ca="1">AVERAGE(OFFSET($GY$3,0,0,'Données projet'!$E$18+1,1))-AVERAGE(OFFSET($H$3,0,0,'Données projet'!$E$18+1,1))</f>
        <v>412.59676769258488</v>
      </c>
      <c r="HA172" s="59">
        <f t="shared" si="160"/>
        <v>399.90063795152133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8.7490439071608002</v>
      </c>
      <c r="HH172" s="21">
        <f>EXP(-LN(2)/25)*HH171+(1-EXP(-LN(2)/25))/(LN(2)/25)*Calculateur!HC172*Calculateur!HE172*VLOOKUP('Données projet'!$B$18,Paramètres!$A$1:$I$89,3,0)*0.475*44/12</f>
        <v>0</v>
      </c>
      <c r="HI172" s="21">
        <f>EXP(-LN(2)/2)*HI171+(1-EXP(-LN(2)/2))/(LN(2)/2)*HC172*HF172*VLOOKUP('Données projet'!$B$18,Paramètres!$A$1:$I$89,3,0)*0.475*44/12</f>
        <v>0</v>
      </c>
      <c r="HJ172" s="22">
        <f t="shared" si="190"/>
        <v>8.7490439071608002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306.99999999999994</v>
      </c>
      <c r="O173" s="13">
        <f>N173*VLOOKUP('Données projet'!$B$9,Paramètres!$A$1:$I$89,3,0)*VLOOKUP('Données projet'!$B$9,Paramètres!$A$1:$I$89,5,0)</f>
        <v>277.77359999999993</v>
      </c>
      <c r="P173" s="13">
        <f t="shared" si="141"/>
        <v>66.496288176842356</v>
      </c>
      <c r="Q173" s="20">
        <f t="shared" si="162"/>
        <v>599.60338857466706</v>
      </c>
      <c r="R173" s="59">
        <f t="shared" si="109"/>
        <v>892.93672190800044</v>
      </c>
      <c r="S173" s="59">
        <f ca="1">AVERAGE(OFFSET($R$3,0,0,'Données projet'!$E$9+1,1))-AVERAGE(OFFSET($H$3,0,0,'Données projet'!$E$9+1,1))</f>
        <v>439.19854273764042</v>
      </c>
      <c r="T173" s="59">
        <f t="shared" si="142"/>
        <v>278.21741231699929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33.680246743404929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33.680246743404929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306.99999999999994</v>
      </c>
      <c r="AJ173" s="13">
        <f>AI173*VLOOKUP('Données projet'!$B$10,Paramètres!$A$1:$I$89,3,0)*VLOOKUP('Données projet'!$B$10,Paramètres!$A$1:$I$89,5,0)</f>
        <v>311.298</v>
      </c>
      <c r="AK173" s="13">
        <f t="shared" si="164"/>
        <v>73.539838278528748</v>
      </c>
      <c r="AL173" s="20">
        <f t="shared" si="165"/>
        <v>670.25923500177089</v>
      </c>
      <c r="AM173" s="59">
        <f t="shared" si="113"/>
        <v>963.59256833510426</v>
      </c>
      <c r="AN173" s="59">
        <f ca="1">AVERAGE(OFFSET($AM$3,0,0,'Données projet'!$E$10+1,1))-AVERAGE(OFFSET($H$3,0,0,'Données projet'!$E$10+1,1))</f>
        <v>487.18832528146936</v>
      </c>
      <c r="AO173" s="59">
        <f t="shared" si="144"/>
        <v>306.61893266146666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37.745104108988293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37.745104108988293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369.00000000000023</v>
      </c>
      <c r="BE173" s="13">
        <f>BD173*VLOOKUP('Données projet'!$B$11,Paramètres!$A$1:$I$89,3,0)*VLOOKUP('Données projet'!$B$11,Paramètres!$A$1:$I$89,5,0)</f>
        <v>333.87120000000021</v>
      </c>
      <c r="BF173" s="13">
        <f t="shared" si="167"/>
        <v>78.23236011137638</v>
      </c>
      <c r="BG173" s="20">
        <f t="shared" si="168"/>
        <v>717.74703386064755</v>
      </c>
      <c r="BH173" s="59">
        <f t="shared" si="116"/>
        <v>1011.0803671939809</v>
      </c>
      <c r="BI173" s="59">
        <f ca="1">AVERAGE(OFFSET($BH$3,0,0,'Données projet'!$E$11+1,1))-AVERAGE(OFFSET($H$3,0,0,'Données projet'!$E$11+1,1))</f>
        <v>436.23918637269577</v>
      </c>
      <c r="BJ173" s="59">
        <f t="shared" si="146"/>
        <v>611.43967996341894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0.66069933519945678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0.66069933519945678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224.00000000000006</v>
      </c>
      <c r="BZ173" s="13">
        <f>BY173*VLOOKUP('Données projet'!$B$12,Paramètres!$A$1:$I$89,3,0)*VLOOKUP('Données projet'!$B$12,Paramètres!$A$1:$I$89,5,0)</f>
        <v>195.68640000000008</v>
      </c>
      <c r="CA173" s="13">
        <f t="shared" si="170"/>
        <v>48.794969360985156</v>
      </c>
      <c r="CB173" s="20">
        <f t="shared" si="171"/>
        <v>425.8050516370493</v>
      </c>
      <c r="CC173" s="59">
        <f t="shared" si="119"/>
        <v>719.13838497038262</v>
      </c>
      <c r="CD173" s="59">
        <f ca="1">AVERAGE(OFFSET($CC$3,0,0,'Données projet'!$E$12+1,1))-AVERAGE(OFFSET($H$3,0,0,'Données projet'!$E$12+1,1))</f>
        <v>304.32767345253382</v>
      </c>
      <c r="CE173" s="59">
        <f t="shared" si="148"/>
        <v>427.16091343339173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7.1348837308546527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7.1348837308546527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739.99999999999966</v>
      </c>
      <c r="CU173" s="17">
        <f>CT173*VLOOKUP('Données projet'!$B$13,Paramètres!$A$1:$I$89,3,0)*VLOOKUP('Données projet'!$B$13,Paramètres!$A$1:$I$89,5,0)</f>
        <v>413.65999999999985</v>
      </c>
      <c r="CV173" s="13">
        <f t="shared" si="173"/>
        <v>94.540585122244352</v>
      </c>
      <c r="CW173" s="20">
        <f t="shared" si="174"/>
        <v>885.11601908790863</v>
      </c>
      <c r="CX173" s="59">
        <f t="shared" si="122"/>
        <v>1178.4493524212419</v>
      </c>
      <c r="CY173" s="59">
        <f ca="1">AVERAGE(OFFSET($CX$3,0,0,'Données projet'!$E$13+1,1))-AVERAGE(OFFSET($H$3,0,0,'Données projet'!$E$13+1,1))</f>
        <v>555.15881087162279</v>
      </c>
      <c r="CZ173" s="59">
        <f t="shared" si="150"/>
        <v>668.20427590250733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13.981665900399571</v>
      </c>
      <c r="DG173" s="21">
        <f>EXP(-LN(2)/25)*DG172+(1-EXP(-LN(2)/25))/(LN(2)/25)*Calculateur!DB173*Calculateur!DD173*VLOOKUP('Données projet'!$B$13,Paramètres!$A$1:$I$89,3,0)*0.475*44/12</f>
        <v>1.1913023363047921</v>
      </c>
      <c r="DH173" s="21">
        <f>EXP(-LN(2)/2)*DH172+(1-EXP(-LN(2)/2))/(LN(2)/2)*DB173*DE173*VLOOKUP('Données projet'!$B$13,Paramètres!$A$1:$I$89,3,0)*0.475*44/12</f>
        <v>7.2038743271958094E-22</v>
      </c>
      <c r="DI173" s="22">
        <f t="shared" si="175"/>
        <v>15.172968236704364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911.99999999999898</v>
      </c>
      <c r="DP173" s="17">
        <f>DO173*VLOOKUP('Données projet'!$B$14,Paramètres!$A$1:$I$89,3,0)*VLOOKUP('Données projet'!$B$14,Paramètres!$A$1:$I$89,5,0)</f>
        <v>426.81599999999946</v>
      </c>
      <c r="DQ173" s="13">
        <f t="shared" si="176"/>
        <v>97.192496986872399</v>
      </c>
      <c r="DR173" s="20">
        <f t="shared" si="177"/>
        <v>912.64813225213504</v>
      </c>
      <c r="DS173" s="59">
        <f t="shared" si="125"/>
        <v>1205.9814655854684</v>
      </c>
      <c r="DT173" s="59">
        <f ca="1">AVERAGE(OFFSET($DS$3,0,0,'Données projet'!$E$14+1,1))-AVERAGE(OFFSET($H$3,0,0,'Données projet'!$E$14+1,1))</f>
        <v>523.79180230463714</v>
      </c>
      <c r="DU173" s="59">
        <f t="shared" si="152"/>
        <v>459.3547783500515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25.004403146029652</v>
      </c>
      <c r="EB173" s="21">
        <f>EXP(-LN(2)/25)*EB172+(1-EXP(-LN(2)/25))/(LN(2)/25)*Calculateur!DW173*Calculateur!DY173*VLOOKUP('Données projet'!$B$14,Paramètres!$A$1:$I$89,3,0)*0.475*44/12</f>
        <v>1.1018038952439968</v>
      </c>
      <c r="EC173" s="21">
        <f>EXP(-LN(2)/2)*EC172+(1-EXP(-LN(2)/2))/(LN(2)/2)*DW173*DZ173*VLOOKUP('Données projet'!$B$14,Paramètres!$A$1:$I$89,3,0)*0.475*44/12</f>
        <v>1.0098670771277186E-21</v>
      </c>
      <c r="ED173" s="22">
        <f t="shared" si="178"/>
        <v>26.106207041273649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367.99999999999972</v>
      </c>
      <c r="EK173" s="17">
        <f>EJ173*VLOOKUP('Données projet'!$B$15,Paramètres!$A$1:$I$89,3,0)*VLOOKUP('Données projet'!$B$15,Paramètres!$A$1:$I$89,5,0)</f>
        <v>355.92959999999977</v>
      </c>
      <c r="EL173" s="13">
        <f t="shared" si="179"/>
        <v>82.782281100458206</v>
      </c>
      <c r="EM173" s="20">
        <f t="shared" si="180"/>
        <v>764.08985958329765</v>
      </c>
      <c r="EN173" s="59">
        <f t="shared" si="128"/>
        <v>1057.423192916631</v>
      </c>
      <c r="EO173" s="59">
        <f ca="1">AVERAGE(OFFSET($EN$3,0,0,'Données projet'!$E$15+1,1))-AVERAGE(OFFSET($H$3,0,0,'Données projet'!$E$15+1,1))</f>
        <v>484.41278617935654</v>
      </c>
      <c r="EP173" s="59">
        <f t="shared" si="154"/>
        <v>467.97490540700738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10.226995971864165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10.226995971864165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367.99999999999972</v>
      </c>
      <c r="FF173" s="17">
        <f>FE173*VLOOKUP('Données projet'!$B$16,Paramètres!$A$1:$I$89,3,0)*VLOOKUP('Données projet'!$B$16,Paramètres!$A$1:$I$89,5,0)</f>
        <v>396.11519999999967</v>
      </c>
      <c r="FG173" s="13">
        <f t="shared" si="182"/>
        <v>90.988634849704994</v>
      </c>
      <c r="FH173" s="20">
        <f t="shared" si="183"/>
        <v>848.37251236323561</v>
      </c>
      <c r="FI173" s="59">
        <f t="shared" si="131"/>
        <v>1141.705845696569</v>
      </c>
      <c r="FJ173" s="59">
        <f ca="1">AVERAGE(OFFSET($FI$3,0,0,'Données projet'!$E$16+1,1))-AVERAGE(OFFSET($H$3,0,0,'Données projet'!$E$16+1,1))</f>
        <v>534.54020133239135</v>
      </c>
      <c r="FK173" s="59">
        <f t="shared" si="156"/>
        <v>515.48696069008815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11.381656807397226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11.381656807397226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248.99999999999994</v>
      </c>
      <c r="GA173" s="17">
        <f>FZ173*VLOOKUP('Données projet'!$B$17,Paramètres!$A$1:$I$89,3,0)*VLOOKUP('Données projet'!$B$17,Paramètres!$A$1:$I$89,5,0)</f>
        <v>236.94839999999994</v>
      </c>
      <c r="GB173" s="13">
        <f t="shared" si="185"/>
        <v>57.782475694292401</v>
      </c>
      <c r="GC173" s="20">
        <f t="shared" si="186"/>
        <v>513.32294183422573</v>
      </c>
      <c r="GD173" s="59">
        <f t="shared" si="134"/>
        <v>806.65627516755899</v>
      </c>
      <c r="GE173" s="59">
        <f ca="1">AVERAGE(OFFSET($GD$3,0,0,'Données projet'!$E$17+1,1))-AVERAGE(OFFSET($H$3,0,0,'Données projet'!$E$17+1,1))</f>
        <v>455.71329051283936</v>
      </c>
      <c r="GF173" s="59">
        <f t="shared" si="158"/>
        <v>479.3743231122258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26.434741711407735</v>
      </c>
      <c r="GM173" s="21">
        <f>EXP(-LN(2)/25)*GM172+(1-EXP(-LN(2)/25))/(LN(2)/25)*Calculateur!GH173*Calculateur!GJ173*VLOOKUP('Données projet'!$B$17,Paramètres!$A$1:$I$89,3,0)*0.475*44/12</f>
        <v>0</v>
      </c>
      <c r="GN173" s="21">
        <f>EXP(-LN(2)/2)*GN172+(1-EXP(-LN(2)/2))/(LN(2)/2)*GH173*GK173*VLOOKUP('Données projet'!$B$17,Paramètres!$A$1:$I$89,3,0)*0.475*44/12</f>
        <v>0</v>
      </c>
      <c r="GO173" s="21">
        <f t="shared" si="187"/>
        <v>26.434741711407735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367.99999999999972</v>
      </c>
      <c r="GV173" s="17">
        <f>GU173*VLOOKUP('Données projet'!$B$18,Paramètres!$A$1:$I$89,3,0)*VLOOKUP('Données projet'!$B$18,Paramètres!$A$1:$I$89,5,0)</f>
        <v>298.52159999999981</v>
      </c>
      <c r="GW173" s="13">
        <f t="shared" si="188"/>
        <v>70.866444995542437</v>
      </c>
      <c r="GX173" s="20">
        <f t="shared" si="189"/>
        <v>643.35084503390271</v>
      </c>
      <c r="GY173" s="59">
        <f t="shared" si="137"/>
        <v>936.68417836723597</v>
      </c>
      <c r="GZ173" s="59">
        <f ca="1">AVERAGE(OFFSET($GY$3,0,0,'Données projet'!$E$18+1,1))-AVERAGE(OFFSET($H$3,0,0,'Données projet'!$E$18+1,1))</f>
        <v>412.59676769258488</v>
      </c>
      <c r="HA173" s="59">
        <f t="shared" si="160"/>
        <v>399.90063795152133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8.5774804925312349</v>
      </c>
      <c r="HH173" s="21">
        <f>EXP(-LN(2)/25)*HH172+(1-EXP(-LN(2)/25))/(LN(2)/25)*Calculateur!HC173*Calculateur!HE173*VLOOKUP('Données projet'!$B$18,Paramètres!$A$1:$I$89,3,0)*0.475*44/12</f>
        <v>0</v>
      </c>
      <c r="HI173" s="21">
        <f>EXP(-LN(2)/2)*HI172+(1-EXP(-LN(2)/2))/(LN(2)/2)*HC173*HF173*VLOOKUP('Données projet'!$B$18,Paramètres!$A$1:$I$89,3,0)*0.475*44/12</f>
        <v>0</v>
      </c>
      <c r="HJ173" s="22">
        <f t="shared" si="190"/>
        <v>8.5774804925312349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306.99999999999994</v>
      </c>
      <c r="O174" s="13">
        <f>N174*VLOOKUP('Données projet'!$B$9,Paramètres!$A$1:$I$89,3,0)*VLOOKUP('Données projet'!$B$9,Paramètres!$A$1:$I$89,5,0)</f>
        <v>277.77359999999993</v>
      </c>
      <c r="P174" s="13">
        <f t="shared" si="141"/>
        <v>66.496288176842356</v>
      </c>
      <c r="Q174" s="20">
        <f t="shared" si="162"/>
        <v>599.60338857466706</v>
      </c>
      <c r="R174" s="59">
        <f t="shared" si="109"/>
        <v>892.93672190800044</v>
      </c>
      <c r="S174" s="59">
        <f ca="1">AVERAGE(OFFSET($R$3,0,0,'Données projet'!$E$9+1,1))-AVERAGE(OFFSET($H$3,0,0,'Données projet'!$E$9+1,1))</f>
        <v>439.19854273764042</v>
      </c>
      <c r="T174" s="59">
        <f t="shared" si="142"/>
        <v>278.21741231699929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33.019797647688826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33.019797647688826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306.99999999999994</v>
      </c>
      <c r="AJ174" s="13">
        <f>AI174*VLOOKUP('Données projet'!$B$10,Paramètres!$A$1:$I$89,3,0)*VLOOKUP('Données projet'!$B$10,Paramètres!$A$1:$I$89,5,0)</f>
        <v>311.298</v>
      </c>
      <c r="AK174" s="13">
        <f t="shared" si="164"/>
        <v>73.539838278528748</v>
      </c>
      <c r="AL174" s="20">
        <f t="shared" si="165"/>
        <v>670.25923500177089</v>
      </c>
      <c r="AM174" s="59">
        <f t="shared" si="113"/>
        <v>963.59256833510426</v>
      </c>
      <c r="AN174" s="59">
        <f ca="1">AVERAGE(OFFSET($AM$3,0,0,'Données projet'!$E$10+1,1))-AVERAGE(OFFSET($H$3,0,0,'Données projet'!$E$10+1,1))</f>
        <v>487.18832528146936</v>
      </c>
      <c r="AO174" s="59">
        <f t="shared" si="144"/>
        <v>306.61893266146666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37.004945639651282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37.004945639651282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369.00000000000023</v>
      </c>
      <c r="BE174" s="13">
        <f>BD174*VLOOKUP('Données projet'!$B$11,Paramètres!$A$1:$I$89,3,0)*VLOOKUP('Données projet'!$B$11,Paramètres!$A$1:$I$89,5,0)</f>
        <v>333.87120000000021</v>
      </c>
      <c r="BF174" s="13">
        <f t="shared" si="167"/>
        <v>78.23236011137638</v>
      </c>
      <c r="BG174" s="20">
        <f t="shared" si="168"/>
        <v>717.74703386064755</v>
      </c>
      <c r="BH174" s="59">
        <f t="shared" si="116"/>
        <v>1011.0803671939809</v>
      </c>
      <c r="BI174" s="59">
        <f ca="1">AVERAGE(OFFSET($BH$3,0,0,'Données projet'!$E$11+1,1))-AVERAGE(OFFSET($H$3,0,0,'Données projet'!$E$11+1,1))</f>
        <v>436.23918637269577</v>
      </c>
      <c r="BJ174" s="59">
        <f t="shared" si="146"/>
        <v>611.43967996341894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0.64774342422299824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0.64774342422299824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224.00000000000006</v>
      </c>
      <c r="BZ174" s="13">
        <f>BY174*VLOOKUP('Données projet'!$B$12,Paramètres!$A$1:$I$89,3,0)*VLOOKUP('Données projet'!$B$12,Paramètres!$A$1:$I$89,5,0)</f>
        <v>195.68640000000008</v>
      </c>
      <c r="CA174" s="13">
        <f t="shared" si="170"/>
        <v>48.794969360985156</v>
      </c>
      <c r="CB174" s="20">
        <f t="shared" si="171"/>
        <v>425.8050516370493</v>
      </c>
      <c r="CC174" s="59">
        <f t="shared" si="119"/>
        <v>719.13838497038262</v>
      </c>
      <c r="CD174" s="59">
        <f ca="1">AVERAGE(OFFSET($CC$3,0,0,'Données projet'!$E$12+1,1))-AVERAGE(OFFSET($H$3,0,0,'Données projet'!$E$12+1,1))</f>
        <v>304.32767345253382</v>
      </c>
      <c r="CE174" s="59">
        <f t="shared" si="148"/>
        <v>427.16091343339173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6.9949730127419594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6.9949730127419594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739.99999999999966</v>
      </c>
      <c r="CU174" s="17">
        <f>CT174*VLOOKUP('Données projet'!$B$13,Paramètres!$A$1:$I$89,3,0)*VLOOKUP('Données projet'!$B$13,Paramètres!$A$1:$I$89,5,0)</f>
        <v>413.65999999999985</v>
      </c>
      <c r="CV174" s="13">
        <f t="shared" si="173"/>
        <v>94.540585122244352</v>
      </c>
      <c r="CW174" s="20">
        <f t="shared" si="174"/>
        <v>885.11601908790863</v>
      </c>
      <c r="CX174" s="59">
        <f t="shared" si="122"/>
        <v>1178.4493524212419</v>
      </c>
      <c r="CY174" s="59">
        <f ca="1">AVERAGE(OFFSET($CX$3,0,0,'Données projet'!$E$13+1,1))-AVERAGE(OFFSET($H$3,0,0,'Données projet'!$E$13+1,1))</f>
        <v>555.15881087162279</v>
      </c>
      <c r="CZ174" s="59">
        <f t="shared" si="150"/>
        <v>668.20427590250733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13.707493960066868</v>
      </c>
      <c r="DG174" s="21">
        <f>EXP(-LN(2)/25)*DG173+(1-EXP(-LN(2)/25))/(LN(2)/25)*Calculateur!DB174*Calculateur!DD174*VLOOKUP('Données projet'!$B$13,Paramètres!$A$1:$I$89,3,0)*0.475*44/12</f>
        <v>1.1587261112706704</v>
      </c>
      <c r="DH174" s="21">
        <f>EXP(-LN(2)/2)*DH173+(1-EXP(-LN(2)/2))/(LN(2)/2)*DB174*DE174*VLOOKUP('Données projet'!$B$13,Paramètres!$A$1:$I$89,3,0)*0.475*44/12</f>
        <v>5.0939083875758343E-22</v>
      </c>
      <c r="DI174" s="22">
        <f t="shared" si="175"/>
        <v>14.866220071337539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911.99999999999898</v>
      </c>
      <c r="DP174" s="17">
        <f>DO174*VLOOKUP('Données projet'!$B$14,Paramètres!$A$1:$I$89,3,0)*VLOOKUP('Données projet'!$B$14,Paramètres!$A$1:$I$89,5,0)</f>
        <v>426.81599999999946</v>
      </c>
      <c r="DQ174" s="13">
        <f t="shared" si="176"/>
        <v>97.192496986872399</v>
      </c>
      <c r="DR174" s="20">
        <f t="shared" si="177"/>
        <v>912.64813225213504</v>
      </c>
      <c r="DS174" s="59">
        <f t="shared" si="125"/>
        <v>1205.9814655854684</v>
      </c>
      <c r="DT174" s="59">
        <f ca="1">AVERAGE(OFFSET($DS$3,0,0,'Données projet'!$E$14+1,1))-AVERAGE(OFFSET($H$3,0,0,'Données projet'!$E$14+1,1))</f>
        <v>523.79180230463714</v>
      </c>
      <c r="DU174" s="59">
        <f t="shared" si="152"/>
        <v>459.3547783500515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24.514082051516002</v>
      </c>
      <c r="EB174" s="21">
        <f>EXP(-LN(2)/25)*EB173+(1-EXP(-LN(2)/25))/(LN(2)/25)*Calculateur!DW174*Calculateur!DY174*VLOOKUP('Données projet'!$B$14,Paramètres!$A$1:$I$89,3,0)*0.475*44/12</f>
        <v>1.071675009787201</v>
      </c>
      <c r="EC174" s="21">
        <f>EXP(-LN(2)/2)*EC173+(1-EXP(-LN(2)/2))/(LN(2)/2)*DW174*DZ174*VLOOKUP('Données projet'!$B$14,Paramètres!$A$1:$I$89,3,0)*0.475*44/12</f>
        <v>7.1408385833404806E-22</v>
      </c>
      <c r="ED174" s="22">
        <f t="shared" si="178"/>
        <v>25.585757061303202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367.99999999999972</v>
      </c>
      <c r="EK174" s="17">
        <f>EJ174*VLOOKUP('Données projet'!$B$15,Paramètres!$A$1:$I$89,3,0)*VLOOKUP('Données projet'!$B$15,Paramètres!$A$1:$I$89,5,0)</f>
        <v>355.92959999999977</v>
      </c>
      <c r="EL174" s="13">
        <f t="shared" si="179"/>
        <v>82.782281100458206</v>
      </c>
      <c r="EM174" s="20">
        <f t="shared" si="180"/>
        <v>764.08985958329765</v>
      </c>
      <c r="EN174" s="59">
        <f t="shared" si="128"/>
        <v>1057.423192916631</v>
      </c>
      <c r="EO174" s="59">
        <f ca="1">AVERAGE(OFFSET($EN$3,0,0,'Données projet'!$E$15+1,1))-AVERAGE(OFFSET($H$3,0,0,'Données projet'!$E$15+1,1))</f>
        <v>484.41278617935654</v>
      </c>
      <c r="EP174" s="59">
        <f t="shared" si="154"/>
        <v>467.97490540700738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10.026450818707515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10.026450818707515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367.99999999999972</v>
      </c>
      <c r="FF174" s="17">
        <f>FE174*VLOOKUP('Données projet'!$B$16,Paramètres!$A$1:$I$89,3,0)*VLOOKUP('Données projet'!$B$16,Paramètres!$A$1:$I$89,5,0)</f>
        <v>396.11519999999967</v>
      </c>
      <c r="FG174" s="13">
        <f t="shared" si="182"/>
        <v>90.988634849704994</v>
      </c>
      <c r="FH174" s="20">
        <f t="shared" si="183"/>
        <v>848.37251236323561</v>
      </c>
      <c r="FI174" s="59">
        <f t="shared" si="131"/>
        <v>1141.705845696569</v>
      </c>
      <c r="FJ174" s="59">
        <f ca="1">AVERAGE(OFFSET($FI$3,0,0,'Données projet'!$E$16+1,1))-AVERAGE(OFFSET($H$3,0,0,'Données projet'!$E$16+1,1))</f>
        <v>534.54020133239135</v>
      </c>
      <c r="FK174" s="59">
        <f t="shared" si="156"/>
        <v>515.48696069008815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11.158469459529341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11.158469459529341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248.99999999999994</v>
      </c>
      <c r="GA174" s="17">
        <f>FZ174*VLOOKUP('Données projet'!$B$17,Paramètres!$A$1:$I$89,3,0)*VLOOKUP('Données projet'!$B$17,Paramètres!$A$1:$I$89,5,0)</f>
        <v>236.94839999999994</v>
      </c>
      <c r="GB174" s="13">
        <f t="shared" si="185"/>
        <v>57.782475694292401</v>
      </c>
      <c r="GC174" s="20">
        <f t="shared" si="186"/>
        <v>513.32294183422573</v>
      </c>
      <c r="GD174" s="59">
        <f t="shared" si="134"/>
        <v>806.65627516755899</v>
      </c>
      <c r="GE174" s="59">
        <f ca="1">AVERAGE(OFFSET($GD$3,0,0,'Données projet'!$E$17+1,1))-AVERAGE(OFFSET($H$3,0,0,'Données projet'!$E$17+1,1))</f>
        <v>455.71329051283936</v>
      </c>
      <c r="GF174" s="59">
        <f t="shared" si="158"/>
        <v>479.3743231122258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25.916372550047399</v>
      </c>
      <c r="GM174" s="21">
        <f>EXP(-LN(2)/25)*GM173+(1-EXP(-LN(2)/25))/(LN(2)/25)*Calculateur!GH174*Calculateur!GJ174*VLOOKUP('Données projet'!$B$17,Paramètres!$A$1:$I$89,3,0)*0.475*44/12</f>
        <v>0</v>
      </c>
      <c r="GN174" s="21">
        <f>EXP(-LN(2)/2)*GN173+(1-EXP(-LN(2)/2))/(LN(2)/2)*GH174*GK174*VLOOKUP('Données projet'!$B$17,Paramètres!$A$1:$I$89,3,0)*0.475*44/12</f>
        <v>0</v>
      </c>
      <c r="GO174" s="21">
        <f t="shared" si="187"/>
        <v>25.916372550047399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367.99999999999972</v>
      </c>
      <c r="GV174" s="17">
        <f>GU174*VLOOKUP('Données projet'!$B$18,Paramètres!$A$1:$I$89,3,0)*VLOOKUP('Données projet'!$B$18,Paramètres!$A$1:$I$89,5,0)</f>
        <v>298.52159999999981</v>
      </c>
      <c r="GW174" s="13">
        <f t="shared" si="188"/>
        <v>70.866444995542437</v>
      </c>
      <c r="GX174" s="20">
        <f t="shared" si="189"/>
        <v>643.35084503390271</v>
      </c>
      <c r="GY174" s="59">
        <f t="shared" si="137"/>
        <v>936.68417836723597</v>
      </c>
      <c r="GZ174" s="59">
        <f ca="1">AVERAGE(OFFSET($GY$3,0,0,'Données projet'!$E$18+1,1))-AVERAGE(OFFSET($H$3,0,0,'Données projet'!$E$18+1,1))</f>
        <v>412.59676769258488</v>
      </c>
      <c r="HA174" s="59">
        <f t="shared" si="160"/>
        <v>399.90063795152133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8.409281331819205</v>
      </c>
      <c r="HH174" s="21">
        <f>EXP(-LN(2)/25)*HH173+(1-EXP(-LN(2)/25))/(LN(2)/25)*Calculateur!HC174*Calculateur!HE174*VLOOKUP('Données projet'!$B$18,Paramètres!$A$1:$I$89,3,0)*0.475*44/12</f>
        <v>0</v>
      </c>
      <c r="HI174" s="21">
        <f>EXP(-LN(2)/2)*HI173+(1-EXP(-LN(2)/2))/(LN(2)/2)*HC174*HF174*VLOOKUP('Données projet'!$B$18,Paramètres!$A$1:$I$89,3,0)*0.475*44/12</f>
        <v>0</v>
      </c>
      <c r="HJ174" s="22">
        <f t="shared" si="190"/>
        <v>8.409281331819205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306.99999999999994</v>
      </c>
      <c r="O175" s="13">
        <f>N175*VLOOKUP('Données projet'!$B$9,Paramètres!$A$1:$I$89,3,0)*VLOOKUP('Données projet'!$B$9,Paramètres!$A$1:$I$89,5,0)</f>
        <v>277.77359999999993</v>
      </c>
      <c r="P175" s="13">
        <f t="shared" si="141"/>
        <v>66.496288176842356</v>
      </c>
      <c r="Q175" s="20">
        <f t="shared" si="162"/>
        <v>599.60338857466706</v>
      </c>
      <c r="R175" s="59">
        <f t="shared" si="109"/>
        <v>892.93672190800044</v>
      </c>
      <c r="S175" s="59">
        <f ca="1">AVERAGE(OFFSET($R$3,0,0,'Données projet'!$E$9+1,1))-AVERAGE(OFFSET($H$3,0,0,'Données projet'!$E$9+1,1))</f>
        <v>439.19854273764042</v>
      </c>
      <c r="T175" s="59">
        <f t="shared" si="142"/>
        <v>278.21741231699929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32.372299555905542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32.372299555905542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306.99999999999994</v>
      </c>
      <c r="AJ175" s="13">
        <f>AI175*VLOOKUP('Données projet'!$B$10,Paramètres!$A$1:$I$89,3,0)*VLOOKUP('Données projet'!$B$10,Paramètres!$A$1:$I$89,5,0)</f>
        <v>311.298</v>
      </c>
      <c r="AK175" s="13">
        <f t="shared" si="164"/>
        <v>73.539838278528748</v>
      </c>
      <c r="AL175" s="20">
        <f t="shared" si="165"/>
        <v>670.25923500177089</v>
      </c>
      <c r="AM175" s="59">
        <f t="shared" si="113"/>
        <v>963.59256833510426</v>
      </c>
      <c r="AN175" s="59">
        <f ca="1">AVERAGE(OFFSET($AM$3,0,0,'Données projet'!$E$10+1,1))-AVERAGE(OFFSET($H$3,0,0,'Données projet'!$E$10+1,1))</f>
        <v>487.18832528146936</v>
      </c>
      <c r="AO175" s="59">
        <f t="shared" si="144"/>
        <v>306.61893266146666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36.279301226445881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36.279301226445881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369.00000000000023</v>
      </c>
      <c r="BE175" s="13">
        <f>BD175*VLOOKUP('Données projet'!$B$11,Paramètres!$A$1:$I$89,3,0)*VLOOKUP('Données projet'!$B$11,Paramètres!$A$1:$I$89,5,0)</f>
        <v>333.87120000000021</v>
      </c>
      <c r="BF175" s="13">
        <f t="shared" si="167"/>
        <v>78.23236011137638</v>
      </c>
      <c r="BG175" s="20">
        <f t="shared" si="168"/>
        <v>717.74703386064755</v>
      </c>
      <c r="BH175" s="59">
        <f t="shared" si="116"/>
        <v>1011.0803671939809</v>
      </c>
      <c r="BI175" s="59">
        <f ca="1">AVERAGE(OFFSET($BH$3,0,0,'Données projet'!$E$11+1,1))-AVERAGE(OFFSET($H$3,0,0,'Données projet'!$E$11+1,1))</f>
        <v>436.23918637269577</v>
      </c>
      <c r="BJ175" s="59">
        <f t="shared" si="146"/>
        <v>611.43967996341894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0.63504157075846268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0.63504157075846268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224.00000000000006</v>
      </c>
      <c r="BZ175" s="13">
        <f>BY175*VLOOKUP('Données projet'!$B$12,Paramètres!$A$1:$I$89,3,0)*VLOOKUP('Données projet'!$B$12,Paramètres!$A$1:$I$89,5,0)</f>
        <v>195.68640000000008</v>
      </c>
      <c r="CA175" s="13">
        <f t="shared" si="170"/>
        <v>48.794969360985156</v>
      </c>
      <c r="CB175" s="20">
        <f t="shared" si="171"/>
        <v>425.8050516370493</v>
      </c>
      <c r="CC175" s="59">
        <f t="shared" si="119"/>
        <v>719.13838497038262</v>
      </c>
      <c r="CD175" s="59">
        <f ca="1">AVERAGE(OFFSET($CC$3,0,0,'Données projet'!$E$12+1,1))-AVERAGE(OFFSET($H$3,0,0,'Données projet'!$E$12+1,1))</f>
        <v>304.32767345253382</v>
      </c>
      <c r="CE175" s="59">
        <f t="shared" si="148"/>
        <v>427.16091343339173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6.857805858474344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6.857805858474344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739.99999999999966</v>
      </c>
      <c r="CU175" s="17">
        <f>CT175*VLOOKUP('Données projet'!$B$13,Paramètres!$A$1:$I$89,3,0)*VLOOKUP('Données projet'!$B$13,Paramètres!$A$1:$I$89,5,0)</f>
        <v>413.65999999999985</v>
      </c>
      <c r="CV175" s="13">
        <f t="shared" si="173"/>
        <v>94.540585122244352</v>
      </c>
      <c r="CW175" s="20">
        <f t="shared" si="174"/>
        <v>885.11601908790863</v>
      </c>
      <c r="CX175" s="59">
        <f t="shared" si="122"/>
        <v>1178.4493524212419</v>
      </c>
      <c r="CY175" s="59">
        <f ca="1">AVERAGE(OFFSET($CX$3,0,0,'Données projet'!$E$13+1,1))-AVERAGE(OFFSET($H$3,0,0,'Données projet'!$E$13+1,1))</f>
        <v>555.15881087162279</v>
      </c>
      <c r="CZ175" s="59">
        <f t="shared" si="150"/>
        <v>668.20427590250733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13.438698364255718</v>
      </c>
      <c r="DG175" s="21">
        <f>EXP(-LN(2)/25)*DG174+(1-EXP(-LN(2)/25))/(LN(2)/25)*Calculateur!DB175*Calculateur!DD175*VLOOKUP('Données projet'!$B$13,Paramètres!$A$1:$I$89,3,0)*0.475*44/12</f>
        <v>1.127040684823216</v>
      </c>
      <c r="DH175" s="21">
        <f>EXP(-LN(2)/2)*DH174+(1-EXP(-LN(2)/2))/(LN(2)/2)*DB175*DE175*VLOOKUP('Données projet'!$B$13,Paramètres!$A$1:$I$89,3,0)*0.475*44/12</f>
        <v>3.6019371635979047E-22</v>
      </c>
      <c r="DI175" s="22">
        <f t="shared" si="175"/>
        <v>14.565739049078934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911.99999999999898</v>
      </c>
      <c r="DP175" s="17">
        <f>DO175*VLOOKUP('Données projet'!$B$14,Paramètres!$A$1:$I$89,3,0)*VLOOKUP('Données projet'!$B$14,Paramètres!$A$1:$I$89,5,0)</f>
        <v>426.81599999999946</v>
      </c>
      <c r="DQ175" s="13">
        <f t="shared" si="176"/>
        <v>97.192496986872399</v>
      </c>
      <c r="DR175" s="20">
        <f t="shared" si="177"/>
        <v>912.64813225213504</v>
      </c>
      <c r="DS175" s="59">
        <f t="shared" si="125"/>
        <v>1205.9814655854684</v>
      </c>
      <c r="DT175" s="59">
        <f ca="1">AVERAGE(OFFSET($DS$3,0,0,'Données projet'!$E$14+1,1))-AVERAGE(OFFSET($H$3,0,0,'Données projet'!$E$14+1,1))</f>
        <v>523.79180230463714</v>
      </c>
      <c r="DU175" s="59">
        <f t="shared" si="152"/>
        <v>459.3547783500515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24.033375854599427</v>
      </c>
      <c r="EB175" s="21">
        <f>EXP(-LN(2)/25)*EB174+(1-EXP(-LN(2)/25))/(LN(2)/25)*Calculateur!DW175*Calculateur!DY175*VLOOKUP('Données projet'!$B$14,Paramètres!$A$1:$I$89,3,0)*0.475*44/12</f>
        <v>1.0423700002876306</v>
      </c>
      <c r="EC175" s="21">
        <f>EXP(-LN(2)/2)*EC174+(1-EXP(-LN(2)/2))/(LN(2)/2)*DW175*DZ175*VLOOKUP('Données projet'!$B$14,Paramètres!$A$1:$I$89,3,0)*0.475*44/12</f>
        <v>5.0493353856385932E-22</v>
      </c>
      <c r="ED175" s="22">
        <f t="shared" si="178"/>
        <v>25.075745854887057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367.99999999999972</v>
      </c>
      <c r="EK175" s="17">
        <f>EJ175*VLOOKUP('Données projet'!$B$15,Paramètres!$A$1:$I$89,3,0)*VLOOKUP('Données projet'!$B$15,Paramètres!$A$1:$I$89,5,0)</f>
        <v>355.92959999999977</v>
      </c>
      <c r="EL175" s="13">
        <f t="shared" si="179"/>
        <v>82.782281100458206</v>
      </c>
      <c r="EM175" s="20">
        <f t="shared" si="180"/>
        <v>764.08985958329765</v>
      </c>
      <c r="EN175" s="59">
        <f t="shared" si="128"/>
        <v>1057.423192916631</v>
      </c>
      <c r="EO175" s="59">
        <f ca="1">AVERAGE(OFFSET($EN$3,0,0,'Données projet'!$E$15+1,1))-AVERAGE(OFFSET($H$3,0,0,'Données projet'!$E$15+1,1))</f>
        <v>484.41278617935654</v>
      </c>
      <c r="EP175" s="59">
        <f t="shared" si="154"/>
        <v>467.97490540700738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9.8298382336838017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9.8298382336838017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367.99999999999972</v>
      </c>
      <c r="FF175" s="17">
        <f>FE175*VLOOKUP('Données projet'!$B$16,Paramètres!$A$1:$I$89,3,0)*VLOOKUP('Données projet'!$B$16,Paramètres!$A$1:$I$89,5,0)</f>
        <v>396.11519999999967</v>
      </c>
      <c r="FG175" s="13">
        <f t="shared" si="182"/>
        <v>90.988634849704994</v>
      </c>
      <c r="FH175" s="20">
        <f t="shared" si="183"/>
        <v>848.37251236323561</v>
      </c>
      <c r="FI175" s="59">
        <f t="shared" si="131"/>
        <v>1141.705845696569</v>
      </c>
      <c r="FJ175" s="59">
        <f ca="1">AVERAGE(OFFSET($FI$3,0,0,'Données projet'!$E$16+1,1))-AVERAGE(OFFSET($H$3,0,0,'Données projet'!$E$16+1,1))</f>
        <v>534.54020133239135</v>
      </c>
      <c r="FK175" s="59">
        <f t="shared" si="156"/>
        <v>515.48696069008815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10.939658679422305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10.939658679422305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248.99999999999994</v>
      </c>
      <c r="GA175" s="17">
        <f>FZ175*VLOOKUP('Données projet'!$B$17,Paramètres!$A$1:$I$89,3,0)*VLOOKUP('Données projet'!$B$17,Paramètres!$A$1:$I$89,5,0)</f>
        <v>236.94839999999994</v>
      </c>
      <c r="GB175" s="13">
        <f t="shared" si="185"/>
        <v>57.782475694292401</v>
      </c>
      <c r="GC175" s="20">
        <f t="shared" si="186"/>
        <v>513.32294183422573</v>
      </c>
      <c r="GD175" s="59">
        <f t="shared" si="134"/>
        <v>806.65627516755899</v>
      </c>
      <c r="GE175" s="59">
        <f ca="1">AVERAGE(OFFSET($GD$3,0,0,'Données projet'!$E$17+1,1))-AVERAGE(OFFSET($H$3,0,0,'Données projet'!$E$17+1,1))</f>
        <v>455.71329051283936</v>
      </c>
      <c r="GF175" s="59">
        <f t="shared" si="158"/>
        <v>479.3743231122258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25.408168291767371</v>
      </c>
      <c r="GM175" s="21">
        <f>EXP(-LN(2)/25)*GM174+(1-EXP(-LN(2)/25))/(LN(2)/25)*Calculateur!GH175*Calculateur!GJ175*VLOOKUP('Données projet'!$B$17,Paramètres!$A$1:$I$89,3,0)*0.475*44/12</f>
        <v>0</v>
      </c>
      <c r="GN175" s="21">
        <f>EXP(-LN(2)/2)*GN174+(1-EXP(-LN(2)/2))/(LN(2)/2)*GH175*GK175*VLOOKUP('Données projet'!$B$17,Paramètres!$A$1:$I$89,3,0)*0.475*44/12</f>
        <v>0</v>
      </c>
      <c r="GO175" s="21">
        <f t="shared" si="187"/>
        <v>25.408168291767371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367.99999999999972</v>
      </c>
      <c r="GV175" s="17">
        <f>GU175*VLOOKUP('Données projet'!$B$18,Paramètres!$A$1:$I$89,3,0)*VLOOKUP('Données projet'!$B$18,Paramètres!$A$1:$I$89,5,0)</f>
        <v>298.52159999999981</v>
      </c>
      <c r="GW175" s="13">
        <f t="shared" si="188"/>
        <v>70.866444995542437</v>
      </c>
      <c r="GX175" s="20">
        <f t="shared" si="189"/>
        <v>643.35084503390271</v>
      </c>
      <c r="GY175" s="59">
        <f t="shared" si="137"/>
        <v>936.68417836723597</v>
      </c>
      <c r="GZ175" s="59">
        <f ca="1">AVERAGE(OFFSET($GY$3,0,0,'Données projet'!$E$18+1,1))-AVERAGE(OFFSET($H$3,0,0,'Données projet'!$E$18+1,1))</f>
        <v>412.59676769258488</v>
      </c>
      <c r="HA175" s="59">
        <f t="shared" si="160"/>
        <v>399.90063795152133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8.2443804540573815</v>
      </c>
      <c r="HH175" s="21">
        <f>EXP(-LN(2)/25)*HH174+(1-EXP(-LN(2)/25))/(LN(2)/25)*Calculateur!HC175*Calculateur!HE175*VLOOKUP('Données projet'!$B$18,Paramètres!$A$1:$I$89,3,0)*0.475*44/12</f>
        <v>0</v>
      </c>
      <c r="HI175" s="21">
        <f>EXP(-LN(2)/2)*HI174+(1-EXP(-LN(2)/2))/(LN(2)/2)*HC175*HF175*VLOOKUP('Données projet'!$B$18,Paramètres!$A$1:$I$89,3,0)*0.475*44/12</f>
        <v>0</v>
      </c>
      <c r="HJ175" s="22">
        <f t="shared" si="190"/>
        <v>8.2443804540573815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306.99999999999994</v>
      </c>
      <c r="O176" s="13">
        <f>N176*VLOOKUP('Données projet'!$B$9,Paramètres!$A$1:$I$89,3,0)*VLOOKUP('Données projet'!$B$9,Paramètres!$A$1:$I$89,5,0)</f>
        <v>277.77359999999993</v>
      </c>
      <c r="P176" s="13">
        <f t="shared" si="141"/>
        <v>66.496288176842356</v>
      </c>
      <c r="Q176" s="20">
        <f t="shared" si="162"/>
        <v>599.60338857466706</v>
      </c>
      <c r="R176" s="59">
        <f t="shared" si="109"/>
        <v>892.93672190800044</v>
      </c>
      <c r="S176" s="59">
        <f ca="1">AVERAGE(OFFSET($R$3,0,0,'Données projet'!$E$9+1,1))-AVERAGE(OFFSET($H$3,0,0,'Données projet'!$E$9+1,1))</f>
        <v>439.19854273764042</v>
      </c>
      <c r="T176" s="59">
        <f t="shared" si="142"/>
        <v>278.21741231699929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31.737498506767292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31.737498506767292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306.99999999999994</v>
      </c>
      <c r="AJ176" s="13">
        <f>AI176*VLOOKUP('Données projet'!$B$10,Paramètres!$A$1:$I$89,3,0)*VLOOKUP('Données projet'!$B$10,Paramètres!$A$1:$I$89,5,0)</f>
        <v>311.298</v>
      </c>
      <c r="AK176" s="13">
        <f t="shared" si="164"/>
        <v>73.539838278528748</v>
      </c>
      <c r="AL176" s="20">
        <f t="shared" si="165"/>
        <v>670.25923500177089</v>
      </c>
      <c r="AM176" s="59">
        <f t="shared" si="113"/>
        <v>963.59256833510426</v>
      </c>
      <c r="AN176" s="59">
        <f ca="1">AVERAGE(OFFSET($AM$3,0,0,'Données projet'!$E$10+1,1))-AVERAGE(OFFSET($H$3,0,0,'Données projet'!$E$10+1,1))</f>
        <v>487.18832528146936</v>
      </c>
      <c r="AO176" s="59">
        <f t="shared" si="144"/>
        <v>306.61893266146666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35.56788625758405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35.56788625758405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369.00000000000023</v>
      </c>
      <c r="BE176" s="13">
        <f>BD176*VLOOKUP('Données projet'!$B$11,Paramètres!$A$1:$I$89,3,0)*VLOOKUP('Données projet'!$B$11,Paramètres!$A$1:$I$89,5,0)</f>
        <v>333.87120000000021</v>
      </c>
      <c r="BF176" s="13">
        <f t="shared" si="167"/>
        <v>78.23236011137638</v>
      </c>
      <c r="BG176" s="20">
        <f t="shared" si="168"/>
        <v>717.74703386064755</v>
      </c>
      <c r="BH176" s="59">
        <f t="shared" si="116"/>
        <v>1011.0803671939809</v>
      </c>
      <c r="BI176" s="59">
        <f ca="1">AVERAGE(OFFSET($BH$3,0,0,'Données projet'!$E$11+1,1))-AVERAGE(OFFSET($H$3,0,0,'Données projet'!$E$11+1,1))</f>
        <v>436.23918637269577</v>
      </c>
      <c r="BJ176" s="59">
        <f t="shared" si="146"/>
        <v>611.43967996341894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0.62258879289300106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0.62258879289300106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224.00000000000006</v>
      </c>
      <c r="BZ176" s="13">
        <f>BY176*VLOOKUP('Données projet'!$B$12,Paramètres!$A$1:$I$89,3,0)*VLOOKUP('Données projet'!$B$12,Paramètres!$A$1:$I$89,5,0)</f>
        <v>195.68640000000008</v>
      </c>
      <c r="CA176" s="13">
        <f t="shared" si="170"/>
        <v>48.794969360985156</v>
      </c>
      <c r="CB176" s="20">
        <f t="shared" si="171"/>
        <v>425.8050516370493</v>
      </c>
      <c r="CC176" s="59">
        <f t="shared" si="119"/>
        <v>719.13838497038262</v>
      </c>
      <c r="CD176" s="59">
        <f ca="1">AVERAGE(OFFSET($CC$3,0,0,'Données projet'!$E$12+1,1))-AVERAGE(OFFSET($H$3,0,0,'Données projet'!$E$12+1,1))</f>
        <v>304.32767345253382</v>
      </c>
      <c r="CE176" s="59">
        <f t="shared" si="148"/>
        <v>427.16091343339173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6.723328468438214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6.723328468438214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739.99999999999966</v>
      </c>
      <c r="CU176" s="17">
        <f>CT176*VLOOKUP('Données projet'!$B$13,Paramètres!$A$1:$I$89,3,0)*VLOOKUP('Données projet'!$B$13,Paramètres!$A$1:$I$89,5,0)</f>
        <v>413.65999999999985</v>
      </c>
      <c r="CV176" s="13">
        <f t="shared" si="173"/>
        <v>94.540585122244352</v>
      </c>
      <c r="CW176" s="20">
        <f t="shared" si="174"/>
        <v>885.11601908790863</v>
      </c>
      <c r="CX176" s="59">
        <f t="shared" si="122"/>
        <v>1178.4493524212419</v>
      </c>
      <c r="CY176" s="59">
        <f ca="1">AVERAGE(OFFSET($CX$3,0,0,'Données projet'!$E$13+1,1))-AVERAGE(OFFSET($H$3,0,0,'Données projet'!$E$13+1,1))</f>
        <v>555.15881087162279</v>
      </c>
      <c r="CZ176" s="59">
        <f t="shared" si="150"/>
        <v>668.20427590250733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13.175173686129298</v>
      </c>
      <c r="DG176" s="21">
        <f>EXP(-LN(2)/25)*DG175+(1-EXP(-LN(2)/25))/(LN(2)/25)*Calculateur!DB176*Calculateur!DD176*VLOOKUP('Données projet'!$B$13,Paramètres!$A$1:$I$89,3,0)*0.475*44/12</f>
        <v>1.0962216980282313</v>
      </c>
      <c r="DH176" s="21">
        <f>EXP(-LN(2)/2)*DH175+(1-EXP(-LN(2)/2))/(LN(2)/2)*DB176*DE176*VLOOKUP('Données projet'!$B$13,Paramètres!$A$1:$I$89,3,0)*0.475*44/12</f>
        <v>2.5469541937879172E-22</v>
      </c>
      <c r="DI176" s="22">
        <f t="shared" si="175"/>
        <v>14.271395384157529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911.99999999999898</v>
      </c>
      <c r="DP176" s="17">
        <f>DO176*VLOOKUP('Données projet'!$B$14,Paramètres!$A$1:$I$89,3,0)*VLOOKUP('Données projet'!$B$14,Paramètres!$A$1:$I$89,5,0)</f>
        <v>426.81599999999946</v>
      </c>
      <c r="DQ176" s="13">
        <f t="shared" si="176"/>
        <v>97.192496986872399</v>
      </c>
      <c r="DR176" s="20">
        <f t="shared" si="177"/>
        <v>912.64813225213504</v>
      </c>
      <c r="DS176" s="59">
        <f t="shared" si="125"/>
        <v>1205.9814655854684</v>
      </c>
      <c r="DT176" s="59">
        <f ca="1">AVERAGE(OFFSET($DS$3,0,0,'Données projet'!$E$14+1,1))-AVERAGE(OFFSET($H$3,0,0,'Données projet'!$E$14+1,1))</f>
        <v>523.79180230463714</v>
      </c>
      <c r="DU176" s="59">
        <f t="shared" si="152"/>
        <v>459.3547783500515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23.562096013002556</v>
      </c>
      <c r="EB176" s="21">
        <f>EXP(-LN(2)/25)*EB175+(1-EXP(-LN(2)/25))/(LN(2)/25)*Calculateur!DW176*Calculateur!DY176*VLOOKUP('Données projet'!$B$14,Paramètres!$A$1:$I$89,3,0)*0.475*44/12</f>
        <v>1.0138663378139094</v>
      </c>
      <c r="EC176" s="21">
        <f>EXP(-LN(2)/2)*EC175+(1-EXP(-LN(2)/2))/(LN(2)/2)*DW176*DZ176*VLOOKUP('Données projet'!$B$14,Paramètres!$A$1:$I$89,3,0)*0.475*44/12</f>
        <v>3.5704192916702403E-22</v>
      </c>
      <c r="ED176" s="22">
        <f t="shared" si="178"/>
        <v>24.575962350816464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367.99999999999972</v>
      </c>
      <c r="EK176" s="17">
        <f>EJ176*VLOOKUP('Données projet'!$B$15,Paramètres!$A$1:$I$89,3,0)*VLOOKUP('Données projet'!$B$15,Paramètres!$A$1:$I$89,5,0)</f>
        <v>355.92959999999977</v>
      </c>
      <c r="EL176" s="13">
        <f t="shared" si="179"/>
        <v>82.782281100458206</v>
      </c>
      <c r="EM176" s="20">
        <f t="shared" si="180"/>
        <v>764.08985958329765</v>
      </c>
      <c r="EN176" s="59">
        <f t="shared" si="128"/>
        <v>1057.423192916631</v>
      </c>
      <c r="EO176" s="59">
        <f ca="1">AVERAGE(OFFSET($EN$3,0,0,'Données projet'!$E$15+1,1))-AVERAGE(OFFSET($H$3,0,0,'Données projet'!$E$15+1,1))</f>
        <v>484.41278617935654</v>
      </c>
      <c r="EP176" s="59">
        <f t="shared" si="154"/>
        <v>467.97490540700738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9.6370811015305673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9.6370811015305673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367.99999999999972</v>
      </c>
      <c r="FF176" s="17">
        <f>FE176*VLOOKUP('Données projet'!$B$16,Paramètres!$A$1:$I$89,3,0)*VLOOKUP('Données projet'!$B$16,Paramètres!$A$1:$I$89,5,0)</f>
        <v>396.11519999999967</v>
      </c>
      <c r="FG176" s="13">
        <f t="shared" si="182"/>
        <v>90.988634849704994</v>
      </c>
      <c r="FH176" s="20">
        <f t="shared" si="183"/>
        <v>848.37251236323561</v>
      </c>
      <c r="FI176" s="59">
        <f t="shared" si="131"/>
        <v>1141.705845696569</v>
      </c>
      <c r="FJ176" s="59">
        <f ca="1">AVERAGE(OFFSET($FI$3,0,0,'Données projet'!$E$16+1,1))-AVERAGE(OFFSET($H$3,0,0,'Données projet'!$E$16+1,1))</f>
        <v>534.54020133239135</v>
      </c>
      <c r="FK176" s="59">
        <f t="shared" si="156"/>
        <v>515.48696069008815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10.72513864525177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10.72513864525177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248.99999999999994</v>
      </c>
      <c r="GA176" s="17">
        <f>FZ176*VLOOKUP('Données projet'!$B$17,Paramètres!$A$1:$I$89,3,0)*VLOOKUP('Données projet'!$B$17,Paramètres!$A$1:$I$89,5,0)</f>
        <v>236.94839999999994</v>
      </c>
      <c r="GB176" s="13">
        <f t="shared" si="185"/>
        <v>57.782475694292401</v>
      </c>
      <c r="GC176" s="20">
        <f t="shared" si="186"/>
        <v>513.32294183422573</v>
      </c>
      <c r="GD176" s="59">
        <f t="shared" si="134"/>
        <v>806.65627516755899</v>
      </c>
      <c r="GE176" s="59">
        <f ca="1">AVERAGE(OFFSET($GD$3,0,0,'Données projet'!$E$17+1,1))-AVERAGE(OFFSET($H$3,0,0,'Données projet'!$E$17+1,1))</f>
        <v>455.71329051283936</v>
      </c>
      <c r="GF176" s="59">
        <f t="shared" si="158"/>
        <v>479.3743231122258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24.909929609018224</v>
      </c>
      <c r="GM176" s="21">
        <f>EXP(-LN(2)/25)*GM175+(1-EXP(-LN(2)/25))/(LN(2)/25)*Calculateur!GH176*Calculateur!GJ176*VLOOKUP('Données projet'!$B$17,Paramètres!$A$1:$I$89,3,0)*0.475*44/12</f>
        <v>0</v>
      </c>
      <c r="GN176" s="21">
        <f>EXP(-LN(2)/2)*GN175+(1-EXP(-LN(2)/2))/(LN(2)/2)*GH176*GK176*VLOOKUP('Données projet'!$B$17,Paramètres!$A$1:$I$89,3,0)*0.475*44/12</f>
        <v>0</v>
      </c>
      <c r="GO176" s="21">
        <f t="shared" si="187"/>
        <v>24.909929609018224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367.99999999999972</v>
      </c>
      <c r="GV176" s="17">
        <f>GU176*VLOOKUP('Données projet'!$B$18,Paramètres!$A$1:$I$89,3,0)*VLOOKUP('Données projet'!$B$18,Paramètres!$A$1:$I$89,5,0)</f>
        <v>298.52159999999981</v>
      </c>
      <c r="GW176" s="13">
        <f t="shared" si="188"/>
        <v>70.866444995542437</v>
      </c>
      <c r="GX176" s="20">
        <f t="shared" si="189"/>
        <v>643.35084503390271</v>
      </c>
      <c r="GY176" s="59">
        <f t="shared" si="137"/>
        <v>936.68417836723597</v>
      </c>
      <c r="GZ176" s="59">
        <f ca="1">AVERAGE(OFFSET($GY$3,0,0,'Données projet'!$E$18+1,1))-AVERAGE(OFFSET($H$3,0,0,'Données projet'!$E$18+1,1))</f>
        <v>412.59676769258488</v>
      </c>
      <c r="HA176" s="59">
        <f t="shared" si="160"/>
        <v>399.90063795152133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8.0827131819288631</v>
      </c>
      <c r="HH176" s="21">
        <f>EXP(-LN(2)/25)*HH175+(1-EXP(-LN(2)/25))/(LN(2)/25)*Calculateur!HC176*Calculateur!HE176*VLOOKUP('Données projet'!$B$18,Paramètres!$A$1:$I$89,3,0)*0.475*44/12</f>
        <v>0</v>
      </c>
      <c r="HI176" s="21">
        <f>EXP(-LN(2)/2)*HI175+(1-EXP(-LN(2)/2))/(LN(2)/2)*HC176*HF176*VLOOKUP('Données projet'!$B$18,Paramètres!$A$1:$I$89,3,0)*0.475*44/12</f>
        <v>0</v>
      </c>
      <c r="HJ176" s="22">
        <f t="shared" si="190"/>
        <v>8.0827131819288631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306.99999999999994</v>
      </c>
      <c r="O177" s="13">
        <f>N177*VLOOKUP('Données projet'!$B$9,Paramètres!$A$1:$I$89,3,0)*VLOOKUP('Données projet'!$B$9,Paramètres!$A$1:$I$89,5,0)</f>
        <v>277.77359999999993</v>
      </c>
      <c r="P177" s="13">
        <f t="shared" si="141"/>
        <v>66.496288176842356</v>
      </c>
      <c r="Q177" s="20">
        <f t="shared" si="162"/>
        <v>599.60338857466706</v>
      </c>
      <c r="R177" s="59">
        <f t="shared" si="109"/>
        <v>892.93672190800044</v>
      </c>
      <c r="S177" s="59">
        <f ca="1">AVERAGE(OFFSET($R$3,0,0,'Données projet'!$E$9+1,1))-AVERAGE(OFFSET($H$3,0,0,'Données projet'!$E$9+1,1))</f>
        <v>439.19854273764042</v>
      </c>
      <c r="T177" s="59">
        <f t="shared" si="142"/>
        <v>278.21741231699929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31.115145519012234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31.115145519012234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306.99999999999994</v>
      </c>
      <c r="AJ177" s="13">
        <f>AI177*VLOOKUP('Données projet'!$B$10,Paramètres!$A$1:$I$89,3,0)*VLOOKUP('Données projet'!$B$10,Paramètres!$A$1:$I$89,5,0)</f>
        <v>311.298</v>
      </c>
      <c r="AK177" s="13">
        <f t="shared" si="164"/>
        <v>73.539838278528748</v>
      </c>
      <c r="AL177" s="20">
        <f t="shared" si="165"/>
        <v>670.25923500177089</v>
      </c>
      <c r="AM177" s="59">
        <f t="shared" si="113"/>
        <v>963.59256833510426</v>
      </c>
      <c r="AN177" s="59">
        <f ca="1">AVERAGE(OFFSET($AM$3,0,0,'Données projet'!$E$10+1,1))-AVERAGE(OFFSET($H$3,0,0,'Données projet'!$E$10+1,1))</f>
        <v>487.18832528146936</v>
      </c>
      <c r="AO177" s="59">
        <f t="shared" si="144"/>
        <v>306.61893266146666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34.870421702341311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34.870421702341311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369.00000000000023</v>
      </c>
      <c r="BE177" s="13">
        <f>BD177*VLOOKUP('Données projet'!$B$11,Paramètres!$A$1:$I$89,3,0)*VLOOKUP('Données projet'!$B$11,Paramètres!$A$1:$I$89,5,0)</f>
        <v>333.87120000000021</v>
      </c>
      <c r="BF177" s="13">
        <f t="shared" si="167"/>
        <v>78.23236011137638</v>
      </c>
      <c r="BG177" s="20">
        <f t="shared" si="168"/>
        <v>717.74703386064755</v>
      </c>
      <c r="BH177" s="59">
        <f t="shared" si="116"/>
        <v>1011.0803671939809</v>
      </c>
      <c r="BI177" s="59">
        <f ca="1">AVERAGE(OFFSET($BH$3,0,0,'Données projet'!$E$11+1,1))-AVERAGE(OFFSET($H$3,0,0,'Données projet'!$E$11+1,1))</f>
        <v>436.23918637269577</v>
      </c>
      <c r="BJ177" s="59">
        <f t="shared" si="146"/>
        <v>611.43967996341894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0.61038020640603663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0.61038020640603663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224.00000000000006</v>
      </c>
      <c r="BZ177" s="13">
        <f>BY177*VLOOKUP('Données projet'!$B$12,Paramètres!$A$1:$I$89,3,0)*VLOOKUP('Données projet'!$B$12,Paramètres!$A$1:$I$89,5,0)</f>
        <v>195.68640000000008</v>
      </c>
      <c r="CA177" s="13">
        <f t="shared" si="170"/>
        <v>48.794969360985156</v>
      </c>
      <c r="CB177" s="20">
        <f t="shared" si="171"/>
        <v>425.8050516370493</v>
      </c>
      <c r="CC177" s="59">
        <f t="shared" si="119"/>
        <v>719.13838497038262</v>
      </c>
      <c r="CD177" s="59">
        <f ca="1">AVERAGE(OFFSET($CC$3,0,0,'Données projet'!$E$12+1,1))-AVERAGE(OFFSET($H$3,0,0,'Données projet'!$E$12+1,1))</f>
        <v>304.32767345253382</v>
      </c>
      <c r="CE177" s="59">
        <f t="shared" si="148"/>
        <v>427.16091343339173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6.5914880979975834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6.5914880979975834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739.99999999999966</v>
      </c>
      <c r="CU177" s="17">
        <f>CT177*VLOOKUP('Données projet'!$B$13,Paramètres!$A$1:$I$89,3,0)*VLOOKUP('Données projet'!$B$13,Paramètres!$A$1:$I$89,5,0)</f>
        <v>413.65999999999985</v>
      </c>
      <c r="CV177" s="13">
        <f t="shared" si="173"/>
        <v>94.540585122244352</v>
      </c>
      <c r="CW177" s="20">
        <f t="shared" si="174"/>
        <v>885.11601908790863</v>
      </c>
      <c r="CX177" s="59">
        <f t="shared" si="122"/>
        <v>1178.4493524212419</v>
      </c>
      <c r="CY177" s="59">
        <f ca="1">AVERAGE(OFFSET($CX$3,0,0,'Données projet'!$E$13+1,1))-AVERAGE(OFFSET($H$3,0,0,'Données projet'!$E$13+1,1))</f>
        <v>555.15881087162279</v>
      </c>
      <c r="CZ177" s="59">
        <f t="shared" si="150"/>
        <v>668.20427590250733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12.916816566206757</v>
      </c>
      <c r="DG177" s="21">
        <f>EXP(-LN(2)/25)*DG176+(1-EXP(-LN(2)/25))/(LN(2)/25)*Calculateur!DB177*Calculateur!DD177*VLOOKUP('Données projet'!$B$13,Paramètres!$A$1:$I$89,3,0)*0.475*44/12</f>
        <v>1.0662454580478558</v>
      </c>
      <c r="DH177" s="21">
        <f>EXP(-LN(2)/2)*DH176+(1-EXP(-LN(2)/2))/(LN(2)/2)*DB177*DE177*VLOOKUP('Données projet'!$B$13,Paramètres!$A$1:$I$89,3,0)*0.475*44/12</f>
        <v>1.8009685817989523E-22</v>
      </c>
      <c r="DI177" s="22">
        <f t="shared" si="175"/>
        <v>13.983062024254613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911.99999999999898</v>
      </c>
      <c r="DP177" s="17">
        <f>DO177*VLOOKUP('Données projet'!$B$14,Paramètres!$A$1:$I$89,3,0)*VLOOKUP('Données projet'!$B$14,Paramètres!$A$1:$I$89,5,0)</f>
        <v>426.81599999999946</v>
      </c>
      <c r="DQ177" s="13">
        <f t="shared" si="176"/>
        <v>97.192496986872399</v>
      </c>
      <c r="DR177" s="20">
        <f t="shared" si="177"/>
        <v>912.64813225213504</v>
      </c>
      <c r="DS177" s="59">
        <f t="shared" si="125"/>
        <v>1205.9814655854684</v>
      </c>
      <c r="DT177" s="59">
        <f ca="1">AVERAGE(OFFSET($DS$3,0,0,'Données projet'!$E$14+1,1))-AVERAGE(OFFSET($H$3,0,0,'Données projet'!$E$14+1,1))</f>
        <v>523.79180230463714</v>
      </c>
      <c r="DU177" s="59">
        <f t="shared" si="152"/>
        <v>459.3547783500515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23.10005768164708</v>
      </c>
      <c r="EB177" s="21">
        <f>EXP(-LN(2)/25)*EB176+(1-EXP(-LN(2)/25))/(LN(2)/25)*Calculateur!DW177*Calculateur!DY177*VLOOKUP('Données projet'!$B$14,Paramètres!$A$1:$I$89,3,0)*0.475*44/12</f>
        <v>0.98614210948947456</v>
      </c>
      <c r="EC177" s="21">
        <f>EXP(-LN(2)/2)*EC176+(1-EXP(-LN(2)/2))/(LN(2)/2)*DW177*DZ177*VLOOKUP('Données projet'!$B$14,Paramètres!$A$1:$I$89,3,0)*0.475*44/12</f>
        <v>2.5246676928192966E-22</v>
      </c>
      <c r="ED177" s="22">
        <f t="shared" si="178"/>
        <v>24.086199791136554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367.99999999999972</v>
      </c>
      <c r="EK177" s="17">
        <f>EJ177*VLOOKUP('Données projet'!$B$15,Paramètres!$A$1:$I$89,3,0)*VLOOKUP('Données projet'!$B$15,Paramètres!$A$1:$I$89,5,0)</f>
        <v>355.92959999999977</v>
      </c>
      <c r="EL177" s="13">
        <f t="shared" si="179"/>
        <v>82.782281100458206</v>
      </c>
      <c r="EM177" s="20">
        <f t="shared" si="180"/>
        <v>764.08985958329765</v>
      </c>
      <c r="EN177" s="59">
        <f t="shared" si="128"/>
        <v>1057.423192916631</v>
      </c>
      <c r="EO177" s="59">
        <f ca="1">AVERAGE(OFFSET($EN$3,0,0,'Données projet'!$E$15+1,1))-AVERAGE(OFFSET($H$3,0,0,'Données projet'!$E$15+1,1))</f>
        <v>484.41278617935654</v>
      </c>
      <c r="EP177" s="59">
        <f t="shared" si="154"/>
        <v>467.97490540700738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9.4481038191686171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9.4481038191686171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367.99999999999972</v>
      </c>
      <c r="FF177" s="17">
        <f>FE177*VLOOKUP('Données projet'!$B$16,Paramètres!$A$1:$I$89,3,0)*VLOOKUP('Données projet'!$B$16,Paramètres!$A$1:$I$89,5,0)</f>
        <v>396.11519999999967</v>
      </c>
      <c r="FG177" s="13">
        <f t="shared" si="182"/>
        <v>90.988634849704994</v>
      </c>
      <c r="FH177" s="20">
        <f t="shared" si="183"/>
        <v>848.37251236323561</v>
      </c>
      <c r="FI177" s="59">
        <f t="shared" si="131"/>
        <v>1141.705845696569</v>
      </c>
      <c r="FJ177" s="59">
        <f ca="1">AVERAGE(OFFSET($FI$3,0,0,'Données projet'!$E$16+1,1))-AVERAGE(OFFSET($H$3,0,0,'Données projet'!$E$16+1,1))</f>
        <v>534.54020133239135</v>
      </c>
      <c r="FK177" s="59">
        <f t="shared" si="156"/>
        <v>515.48696069008815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10.514825218107019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10.514825218107019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248.99999999999994</v>
      </c>
      <c r="GA177" s="17">
        <f>FZ177*VLOOKUP('Données projet'!$B$17,Paramètres!$A$1:$I$89,3,0)*VLOOKUP('Données projet'!$B$17,Paramètres!$A$1:$I$89,5,0)</f>
        <v>236.94839999999994</v>
      </c>
      <c r="GB177" s="13">
        <f t="shared" si="185"/>
        <v>57.782475694292401</v>
      </c>
      <c r="GC177" s="20">
        <f t="shared" si="186"/>
        <v>513.32294183422573</v>
      </c>
      <c r="GD177" s="59">
        <f t="shared" si="134"/>
        <v>806.65627516755899</v>
      </c>
      <c r="GE177" s="59">
        <f ca="1">AVERAGE(OFFSET($GD$3,0,0,'Données projet'!$E$17+1,1))-AVERAGE(OFFSET($H$3,0,0,'Données projet'!$E$17+1,1))</f>
        <v>455.71329051283936</v>
      </c>
      <c r="GF177" s="59">
        <f t="shared" si="158"/>
        <v>479.3743231122258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24.421461082942198</v>
      </c>
      <c r="GM177" s="21">
        <f>EXP(-LN(2)/25)*GM176+(1-EXP(-LN(2)/25))/(LN(2)/25)*Calculateur!GH177*Calculateur!GJ177*VLOOKUP('Données projet'!$B$17,Paramètres!$A$1:$I$89,3,0)*0.475*44/12</f>
        <v>0</v>
      </c>
      <c r="GN177" s="21">
        <f>EXP(-LN(2)/2)*GN176+(1-EXP(-LN(2)/2))/(LN(2)/2)*GH177*GK177*VLOOKUP('Données projet'!$B$17,Paramètres!$A$1:$I$89,3,0)*0.475*44/12</f>
        <v>0</v>
      </c>
      <c r="GO177" s="21">
        <f t="shared" si="187"/>
        <v>24.421461082942198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367.99999999999972</v>
      </c>
      <c r="GV177" s="17">
        <f>GU177*VLOOKUP('Données projet'!$B$18,Paramètres!$A$1:$I$89,3,0)*VLOOKUP('Données projet'!$B$18,Paramètres!$A$1:$I$89,5,0)</f>
        <v>298.52159999999981</v>
      </c>
      <c r="GW177" s="13">
        <f t="shared" si="188"/>
        <v>70.866444995542437</v>
      </c>
      <c r="GX177" s="20">
        <f t="shared" si="189"/>
        <v>643.35084503390271</v>
      </c>
      <c r="GY177" s="59">
        <f t="shared" si="137"/>
        <v>936.68417836723597</v>
      </c>
      <c r="GZ177" s="59">
        <f ca="1">AVERAGE(OFFSET($GY$3,0,0,'Données projet'!$E$18+1,1))-AVERAGE(OFFSET($H$3,0,0,'Données projet'!$E$18+1,1))</f>
        <v>412.59676769258488</v>
      </c>
      <c r="HA177" s="59">
        <f t="shared" si="160"/>
        <v>399.90063795152133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7.9242161063994851</v>
      </c>
      <c r="HH177" s="21">
        <f>EXP(-LN(2)/25)*HH176+(1-EXP(-LN(2)/25))/(LN(2)/25)*Calculateur!HC177*Calculateur!HE177*VLOOKUP('Données projet'!$B$18,Paramètres!$A$1:$I$89,3,0)*0.475*44/12</f>
        <v>0</v>
      </c>
      <c r="HI177" s="21">
        <f>EXP(-LN(2)/2)*HI176+(1-EXP(-LN(2)/2))/(LN(2)/2)*HC177*HF177*VLOOKUP('Données projet'!$B$18,Paramètres!$A$1:$I$89,3,0)*0.475*44/12</f>
        <v>0</v>
      </c>
      <c r="HJ177" s="22">
        <f t="shared" si="190"/>
        <v>7.9242161063994851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306.99999999999994</v>
      </c>
      <c r="O178" s="13">
        <f>N178*VLOOKUP('Données projet'!$B$9,Paramètres!$A$1:$I$89,3,0)*VLOOKUP('Données projet'!$B$9,Paramètres!$A$1:$I$89,5,0)</f>
        <v>277.77359999999993</v>
      </c>
      <c r="P178" s="13">
        <f t="shared" si="141"/>
        <v>66.496288176842356</v>
      </c>
      <c r="Q178" s="20">
        <f t="shared" si="162"/>
        <v>599.60338857466706</v>
      </c>
      <c r="R178" s="59">
        <f t="shared" si="109"/>
        <v>892.93672190800044</v>
      </c>
      <c r="S178" s="59">
        <f ca="1">AVERAGE(OFFSET($R$3,0,0,'Données projet'!$E$9+1,1))-AVERAGE(OFFSET($H$3,0,0,'Données projet'!$E$9+1,1))</f>
        <v>439.19854273764042</v>
      </c>
      <c r="T178" s="59">
        <f t="shared" si="142"/>
        <v>278.21741231699929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30.504996493749214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30.504996493749214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306.99999999999994</v>
      </c>
      <c r="AJ178" s="13">
        <f>AI178*VLOOKUP('Données projet'!$B$10,Paramètres!$A$1:$I$89,3,0)*VLOOKUP('Données projet'!$B$10,Paramètres!$A$1:$I$89,5,0)</f>
        <v>311.298</v>
      </c>
      <c r="AK178" s="13">
        <f t="shared" si="164"/>
        <v>73.539838278528748</v>
      </c>
      <c r="AL178" s="20">
        <f t="shared" si="165"/>
        <v>670.25923500177089</v>
      </c>
      <c r="AM178" s="59">
        <f t="shared" si="113"/>
        <v>963.59256833510426</v>
      </c>
      <c r="AN178" s="59">
        <f ca="1">AVERAGE(OFFSET($AM$3,0,0,'Données projet'!$E$10+1,1))-AVERAGE(OFFSET($H$3,0,0,'Données projet'!$E$10+1,1))</f>
        <v>487.18832528146936</v>
      </c>
      <c r="AO178" s="59">
        <f t="shared" si="144"/>
        <v>306.61893266146666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34.186634001615509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34.186634001615509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369.00000000000023</v>
      </c>
      <c r="BE178" s="13">
        <f>BD178*VLOOKUP('Données projet'!$B$11,Paramètres!$A$1:$I$89,3,0)*VLOOKUP('Données projet'!$B$11,Paramètres!$A$1:$I$89,5,0)</f>
        <v>333.87120000000021</v>
      </c>
      <c r="BF178" s="13">
        <f t="shared" si="167"/>
        <v>78.23236011137638</v>
      </c>
      <c r="BG178" s="20">
        <f t="shared" si="168"/>
        <v>717.74703386064755</v>
      </c>
      <c r="BH178" s="59">
        <f t="shared" si="116"/>
        <v>1011.0803671939809</v>
      </c>
      <c r="BI178" s="59">
        <f ca="1">AVERAGE(OFFSET($BH$3,0,0,'Données projet'!$E$11+1,1))-AVERAGE(OFFSET($H$3,0,0,'Données projet'!$E$11+1,1))</f>
        <v>436.23918637269577</v>
      </c>
      <c r="BJ178" s="59">
        <f t="shared" si="146"/>
        <v>611.43967996341894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0.59841102285357906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0.59841102285357906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224.00000000000006</v>
      </c>
      <c r="BZ178" s="13">
        <f>BY178*VLOOKUP('Données projet'!$B$12,Paramètres!$A$1:$I$89,3,0)*VLOOKUP('Données projet'!$B$12,Paramètres!$A$1:$I$89,5,0)</f>
        <v>195.68640000000008</v>
      </c>
      <c r="CA178" s="13">
        <f t="shared" si="170"/>
        <v>48.794969360985156</v>
      </c>
      <c r="CB178" s="20">
        <f t="shared" si="171"/>
        <v>425.8050516370493</v>
      </c>
      <c r="CC178" s="59">
        <f t="shared" si="119"/>
        <v>719.13838497038262</v>
      </c>
      <c r="CD178" s="59">
        <f ca="1">AVERAGE(OFFSET($CC$3,0,0,'Données projet'!$E$12+1,1))-AVERAGE(OFFSET($H$3,0,0,'Données projet'!$E$12+1,1))</f>
        <v>304.32767345253382</v>
      </c>
      <c r="CE178" s="59">
        <f t="shared" si="148"/>
        <v>427.16091343339173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6.4622330368066079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6.4622330368066079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739.99999999999966</v>
      </c>
      <c r="CU178" s="17">
        <f>CT178*VLOOKUP('Données projet'!$B$13,Paramètres!$A$1:$I$89,3,0)*VLOOKUP('Données projet'!$B$13,Paramètres!$A$1:$I$89,5,0)</f>
        <v>413.65999999999985</v>
      </c>
      <c r="CV178" s="13">
        <f t="shared" si="173"/>
        <v>94.540585122244352</v>
      </c>
      <c r="CW178" s="20">
        <f t="shared" si="174"/>
        <v>885.11601908790863</v>
      </c>
      <c r="CX178" s="59">
        <f t="shared" si="122"/>
        <v>1178.4493524212419</v>
      </c>
      <c r="CY178" s="59">
        <f ca="1">AVERAGE(OFFSET($CX$3,0,0,'Données projet'!$E$13+1,1))-AVERAGE(OFFSET($H$3,0,0,'Données projet'!$E$13+1,1))</f>
        <v>555.15881087162279</v>
      </c>
      <c r="CZ178" s="59">
        <f t="shared" si="150"/>
        <v>668.20427590250733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12.663525671823612</v>
      </c>
      <c r="DG178" s="21">
        <f>EXP(-LN(2)/25)*DG177+(1-EXP(-LN(2)/25))/(LN(2)/25)*Calculateur!DB178*Calculateur!DD178*VLOOKUP('Données projet'!$B$13,Paramètres!$A$1:$I$89,3,0)*0.475*44/12</f>
        <v>1.0370889199261255</v>
      </c>
      <c r="DH178" s="21">
        <f>EXP(-LN(2)/2)*DH177+(1-EXP(-LN(2)/2))/(LN(2)/2)*DB178*DE178*VLOOKUP('Données projet'!$B$13,Paramètres!$A$1:$I$89,3,0)*0.475*44/12</f>
        <v>1.2734770968939586E-22</v>
      </c>
      <c r="DI178" s="22">
        <f t="shared" si="175"/>
        <v>13.700614591749737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911.99999999999898</v>
      </c>
      <c r="DP178" s="17">
        <f>DO178*VLOOKUP('Données projet'!$B$14,Paramètres!$A$1:$I$89,3,0)*VLOOKUP('Données projet'!$B$14,Paramètres!$A$1:$I$89,5,0)</f>
        <v>426.81599999999946</v>
      </c>
      <c r="DQ178" s="13">
        <f t="shared" si="176"/>
        <v>97.192496986872399</v>
      </c>
      <c r="DR178" s="20">
        <f t="shared" si="177"/>
        <v>912.64813225213504</v>
      </c>
      <c r="DS178" s="59">
        <f t="shared" si="125"/>
        <v>1205.9814655854684</v>
      </c>
      <c r="DT178" s="59">
        <f ca="1">AVERAGE(OFFSET($DS$3,0,0,'Données projet'!$E$14+1,1))-AVERAGE(OFFSET($H$3,0,0,'Données projet'!$E$14+1,1))</f>
        <v>523.79180230463714</v>
      </c>
      <c r="DU178" s="59">
        <f t="shared" si="152"/>
        <v>459.3547783500515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22.64707964015393</v>
      </c>
      <c r="EB178" s="21">
        <f>EXP(-LN(2)/25)*EB177+(1-EXP(-LN(2)/25))/(LN(2)/25)*Calculateur!DW178*Calculateur!DY178*VLOOKUP('Données projet'!$B$14,Paramètres!$A$1:$I$89,3,0)*0.475*44/12</f>
        <v>0.95917600164652517</v>
      </c>
      <c r="EC178" s="21">
        <f>EXP(-LN(2)/2)*EC177+(1-EXP(-LN(2)/2))/(LN(2)/2)*DW178*DZ178*VLOOKUP('Données projet'!$B$14,Paramètres!$A$1:$I$89,3,0)*0.475*44/12</f>
        <v>1.7852096458351202E-22</v>
      </c>
      <c r="ED178" s="22">
        <f t="shared" si="178"/>
        <v>23.606255641800455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367.99999999999972</v>
      </c>
      <c r="EK178" s="17">
        <f>EJ178*VLOOKUP('Données projet'!$B$15,Paramètres!$A$1:$I$89,3,0)*VLOOKUP('Données projet'!$B$15,Paramètres!$A$1:$I$89,5,0)</f>
        <v>355.92959999999977</v>
      </c>
      <c r="EL178" s="13">
        <f t="shared" si="179"/>
        <v>82.782281100458206</v>
      </c>
      <c r="EM178" s="20">
        <f t="shared" si="180"/>
        <v>764.08985958329765</v>
      </c>
      <c r="EN178" s="59">
        <f t="shared" si="128"/>
        <v>1057.423192916631</v>
      </c>
      <c r="EO178" s="59">
        <f ca="1">AVERAGE(OFFSET($EN$3,0,0,'Données projet'!$E$15+1,1))-AVERAGE(OFFSET($H$3,0,0,'Données projet'!$E$15+1,1))</f>
        <v>484.41278617935654</v>
      </c>
      <c r="EP178" s="59">
        <f t="shared" si="154"/>
        <v>467.97490540700738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9.2628322660490241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9.2628322660490241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367.99999999999972</v>
      </c>
      <c r="FF178" s="17">
        <f>FE178*VLOOKUP('Données projet'!$B$16,Paramètres!$A$1:$I$89,3,0)*VLOOKUP('Données projet'!$B$16,Paramètres!$A$1:$I$89,5,0)</f>
        <v>396.11519999999967</v>
      </c>
      <c r="FG178" s="13">
        <f t="shared" si="182"/>
        <v>90.988634849704994</v>
      </c>
      <c r="FH178" s="20">
        <f t="shared" si="183"/>
        <v>848.37251236323561</v>
      </c>
      <c r="FI178" s="59">
        <f t="shared" si="131"/>
        <v>1141.705845696569</v>
      </c>
      <c r="FJ178" s="59">
        <f ca="1">AVERAGE(OFFSET($FI$3,0,0,'Données projet'!$E$16+1,1))-AVERAGE(OFFSET($H$3,0,0,'Données projet'!$E$16+1,1))</f>
        <v>534.54020133239135</v>
      </c>
      <c r="FK178" s="59">
        <f t="shared" si="156"/>
        <v>515.48696069008815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10.308635908990052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10.308635908990052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248.99999999999994</v>
      </c>
      <c r="GA178" s="17">
        <f>FZ178*VLOOKUP('Données projet'!$B$17,Paramètres!$A$1:$I$89,3,0)*VLOOKUP('Données projet'!$B$17,Paramètres!$A$1:$I$89,5,0)</f>
        <v>236.94839999999994</v>
      </c>
      <c r="GB178" s="13">
        <f t="shared" si="185"/>
        <v>57.782475694292401</v>
      </c>
      <c r="GC178" s="20">
        <f t="shared" si="186"/>
        <v>513.32294183422573</v>
      </c>
      <c r="GD178" s="59">
        <f t="shared" si="134"/>
        <v>806.65627516755899</v>
      </c>
      <c r="GE178" s="59">
        <f ca="1">AVERAGE(OFFSET($GD$3,0,0,'Données projet'!$E$17+1,1))-AVERAGE(OFFSET($H$3,0,0,'Données projet'!$E$17+1,1))</f>
        <v>455.71329051283936</v>
      </c>
      <c r="GF178" s="59">
        <f t="shared" si="158"/>
        <v>479.3743231122258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23.94257112672614</v>
      </c>
      <c r="GM178" s="21">
        <f>EXP(-LN(2)/25)*GM177+(1-EXP(-LN(2)/25))/(LN(2)/25)*Calculateur!GH178*Calculateur!GJ178*VLOOKUP('Données projet'!$B$17,Paramètres!$A$1:$I$89,3,0)*0.475*44/12</f>
        <v>0</v>
      </c>
      <c r="GN178" s="21">
        <f>EXP(-LN(2)/2)*GN177+(1-EXP(-LN(2)/2))/(LN(2)/2)*GH178*GK178*VLOOKUP('Données projet'!$B$17,Paramètres!$A$1:$I$89,3,0)*0.475*44/12</f>
        <v>0</v>
      </c>
      <c r="GO178" s="21">
        <f t="shared" si="187"/>
        <v>23.94257112672614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367.99999999999972</v>
      </c>
      <c r="GV178" s="17">
        <f>GU178*VLOOKUP('Données projet'!$B$18,Paramètres!$A$1:$I$89,3,0)*VLOOKUP('Données projet'!$B$18,Paramètres!$A$1:$I$89,5,0)</f>
        <v>298.52159999999981</v>
      </c>
      <c r="GW178" s="13">
        <f t="shared" si="188"/>
        <v>70.866444995542437</v>
      </c>
      <c r="GX178" s="20">
        <f t="shared" si="189"/>
        <v>643.35084503390271</v>
      </c>
      <c r="GY178" s="59">
        <f t="shared" si="137"/>
        <v>936.68417836723597</v>
      </c>
      <c r="GZ178" s="59">
        <f ca="1">AVERAGE(OFFSET($GY$3,0,0,'Données projet'!$E$18+1,1))-AVERAGE(OFFSET($H$3,0,0,'Données projet'!$E$18+1,1))</f>
        <v>412.59676769258488</v>
      </c>
      <c r="HA178" s="59">
        <f t="shared" si="160"/>
        <v>399.90063795152133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7.7688270618475679</v>
      </c>
      <c r="HH178" s="21">
        <f>EXP(-LN(2)/25)*HH177+(1-EXP(-LN(2)/25))/(LN(2)/25)*Calculateur!HC178*Calculateur!HE178*VLOOKUP('Données projet'!$B$18,Paramètres!$A$1:$I$89,3,0)*0.475*44/12</f>
        <v>0</v>
      </c>
      <c r="HI178" s="21">
        <f>EXP(-LN(2)/2)*HI177+(1-EXP(-LN(2)/2))/(LN(2)/2)*HC178*HF178*VLOOKUP('Données projet'!$B$18,Paramètres!$A$1:$I$89,3,0)*0.475*44/12</f>
        <v>0</v>
      </c>
      <c r="HJ178" s="22">
        <f t="shared" si="190"/>
        <v>7.7688270618475679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306.99999999999994</v>
      </c>
      <c r="O179" s="13">
        <f>N179*VLOOKUP('Données projet'!$B$9,Paramètres!$A$1:$I$89,3,0)*VLOOKUP('Données projet'!$B$9,Paramètres!$A$1:$I$89,5,0)</f>
        <v>277.77359999999993</v>
      </c>
      <c r="P179" s="13">
        <f t="shared" si="141"/>
        <v>66.496288176842356</v>
      </c>
      <c r="Q179" s="20">
        <f t="shared" si="162"/>
        <v>599.60338857466706</v>
      </c>
      <c r="R179" s="59">
        <f t="shared" si="109"/>
        <v>892.93672190800044</v>
      </c>
      <c r="S179" s="59">
        <f ca="1">AVERAGE(OFFSET($R$3,0,0,'Données projet'!$E$9+1,1))-AVERAGE(OFFSET($H$3,0,0,'Données projet'!$E$9+1,1))</f>
        <v>439.19854273764042</v>
      </c>
      <c r="T179" s="59">
        <f t="shared" si="142"/>
        <v>278.21741231699929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29.906812118717443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29.906812118717443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306.99999999999994</v>
      </c>
      <c r="AJ179" s="13">
        <f>AI179*VLOOKUP('Données projet'!$B$10,Paramètres!$A$1:$I$89,3,0)*VLOOKUP('Données projet'!$B$10,Paramètres!$A$1:$I$89,5,0)</f>
        <v>311.298</v>
      </c>
      <c r="AK179" s="13">
        <f t="shared" si="164"/>
        <v>73.539838278528748</v>
      </c>
      <c r="AL179" s="20">
        <f t="shared" si="165"/>
        <v>670.25923500177089</v>
      </c>
      <c r="AM179" s="59">
        <f t="shared" si="113"/>
        <v>963.59256833510426</v>
      </c>
      <c r="AN179" s="59">
        <f ca="1">AVERAGE(OFFSET($AM$3,0,0,'Données projet'!$E$10+1,1))-AVERAGE(OFFSET($H$3,0,0,'Données projet'!$E$10+1,1))</f>
        <v>487.18832528146936</v>
      </c>
      <c r="AO179" s="59">
        <f t="shared" si="144"/>
        <v>306.61893266146666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33.516254960631628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33.516254960631628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369.00000000000023</v>
      </c>
      <c r="BE179" s="13">
        <f>BD179*VLOOKUP('Données projet'!$B$11,Paramètres!$A$1:$I$89,3,0)*VLOOKUP('Données projet'!$B$11,Paramètres!$A$1:$I$89,5,0)</f>
        <v>333.87120000000021</v>
      </c>
      <c r="BF179" s="13">
        <f t="shared" si="167"/>
        <v>78.23236011137638</v>
      </c>
      <c r="BG179" s="20">
        <f t="shared" si="168"/>
        <v>717.74703386064755</v>
      </c>
      <c r="BH179" s="59">
        <f t="shared" si="116"/>
        <v>1011.0803671939809</v>
      </c>
      <c r="BI179" s="59">
        <f ca="1">AVERAGE(OFFSET($BH$3,0,0,'Données projet'!$E$11+1,1))-AVERAGE(OFFSET($H$3,0,0,'Données projet'!$E$11+1,1))</f>
        <v>436.23918637269577</v>
      </c>
      <c r="BJ179" s="59">
        <f t="shared" si="146"/>
        <v>611.43967996341894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0.58667654769010413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0.58667654769010413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224.00000000000006</v>
      </c>
      <c r="BZ179" s="13">
        <f>BY179*VLOOKUP('Données projet'!$B$12,Paramètres!$A$1:$I$89,3,0)*VLOOKUP('Données projet'!$B$12,Paramètres!$A$1:$I$89,5,0)</f>
        <v>195.68640000000008</v>
      </c>
      <c r="CA179" s="13">
        <f t="shared" si="170"/>
        <v>48.794969360985156</v>
      </c>
      <c r="CB179" s="20">
        <f t="shared" si="171"/>
        <v>425.8050516370493</v>
      </c>
      <c r="CC179" s="59">
        <f t="shared" si="119"/>
        <v>719.13838497038262</v>
      </c>
      <c r="CD179" s="59">
        <f ca="1">AVERAGE(OFFSET($CC$3,0,0,'Données projet'!$E$12+1,1))-AVERAGE(OFFSET($H$3,0,0,'Données projet'!$E$12+1,1))</f>
        <v>304.32767345253382</v>
      </c>
      <c r="CE179" s="59">
        <f t="shared" si="148"/>
        <v>427.16091343339173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6.3355125885277843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6.3355125885277843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739.99999999999966</v>
      </c>
      <c r="CU179" s="17">
        <f>CT179*VLOOKUP('Données projet'!$B$13,Paramètres!$A$1:$I$89,3,0)*VLOOKUP('Données projet'!$B$13,Paramètres!$A$1:$I$89,5,0)</f>
        <v>413.65999999999985</v>
      </c>
      <c r="CV179" s="13">
        <f t="shared" si="173"/>
        <v>94.540585122244352</v>
      </c>
      <c r="CW179" s="20">
        <f t="shared" si="174"/>
        <v>885.11601908790863</v>
      </c>
      <c r="CX179" s="59">
        <f t="shared" si="122"/>
        <v>1178.4493524212419</v>
      </c>
      <c r="CY179" s="59">
        <f ca="1">AVERAGE(OFFSET($CX$3,0,0,'Données projet'!$E$13+1,1))-AVERAGE(OFFSET($H$3,0,0,'Données projet'!$E$13+1,1))</f>
        <v>555.15881087162279</v>
      </c>
      <c r="CZ179" s="59">
        <f t="shared" si="150"/>
        <v>668.20427590250733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12.415201657387129</v>
      </c>
      <c r="DG179" s="21">
        <f>EXP(-LN(2)/25)*DG178+(1-EXP(-LN(2)/25))/(LN(2)/25)*Calculateur!DB179*Calculateur!DD179*VLOOKUP('Données projet'!$B$13,Paramètres!$A$1:$I$89,3,0)*0.475*44/12</f>
        <v>1.0087296688726095</v>
      </c>
      <c r="DH179" s="21">
        <f>EXP(-LN(2)/2)*DH178+(1-EXP(-LN(2)/2))/(LN(2)/2)*DB179*DE179*VLOOKUP('Données projet'!$B$13,Paramètres!$A$1:$I$89,3,0)*0.475*44/12</f>
        <v>9.0048429089947617E-23</v>
      </c>
      <c r="DI179" s="22">
        <f t="shared" si="175"/>
        <v>13.423931326259739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911.99999999999898</v>
      </c>
      <c r="DP179" s="17">
        <f>DO179*VLOOKUP('Données projet'!$B$14,Paramètres!$A$1:$I$89,3,0)*VLOOKUP('Données projet'!$B$14,Paramètres!$A$1:$I$89,5,0)</f>
        <v>426.81599999999946</v>
      </c>
      <c r="DQ179" s="13">
        <f t="shared" si="176"/>
        <v>97.192496986872399</v>
      </c>
      <c r="DR179" s="20">
        <f t="shared" si="177"/>
        <v>912.64813225213504</v>
      </c>
      <c r="DS179" s="59">
        <f t="shared" si="125"/>
        <v>1205.9814655854684</v>
      </c>
      <c r="DT179" s="59">
        <f ca="1">AVERAGE(OFFSET($DS$3,0,0,'Données projet'!$E$14+1,1))-AVERAGE(OFFSET($H$3,0,0,'Données projet'!$E$14+1,1))</f>
        <v>523.79180230463714</v>
      </c>
      <c r="DU179" s="59">
        <f t="shared" si="152"/>
        <v>459.3547783500515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22.202984221765135</v>
      </c>
      <c r="EB179" s="21">
        <f>EXP(-LN(2)/25)*EB178+(1-EXP(-LN(2)/25))/(LN(2)/25)*Calculateur!DW179*Calculateur!DY179*VLOOKUP('Données projet'!$B$14,Paramètres!$A$1:$I$89,3,0)*0.475*44/12</f>
        <v>0.93294728344062727</v>
      </c>
      <c r="EC179" s="21">
        <f>EXP(-LN(2)/2)*EC178+(1-EXP(-LN(2)/2))/(LN(2)/2)*DW179*DZ179*VLOOKUP('Données projet'!$B$14,Paramètres!$A$1:$I$89,3,0)*0.475*44/12</f>
        <v>1.2623338464096483E-22</v>
      </c>
      <c r="ED179" s="22">
        <f t="shared" si="178"/>
        <v>23.135931505205761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367.99999999999972</v>
      </c>
      <c r="EK179" s="17">
        <f>EJ179*VLOOKUP('Données projet'!$B$15,Paramètres!$A$1:$I$89,3,0)*VLOOKUP('Données projet'!$B$15,Paramètres!$A$1:$I$89,5,0)</f>
        <v>355.92959999999977</v>
      </c>
      <c r="EL179" s="13">
        <f t="shared" si="179"/>
        <v>82.782281100458206</v>
      </c>
      <c r="EM179" s="20">
        <f t="shared" si="180"/>
        <v>764.08985958329765</v>
      </c>
      <c r="EN179" s="59">
        <f t="shared" si="128"/>
        <v>1057.423192916631</v>
      </c>
      <c r="EO179" s="59">
        <f ca="1">AVERAGE(OFFSET($EN$3,0,0,'Données projet'!$E$15+1,1))-AVERAGE(OFFSET($H$3,0,0,'Données projet'!$E$15+1,1))</f>
        <v>484.41278617935654</v>
      </c>
      <c r="EP179" s="59">
        <f t="shared" si="154"/>
        <v>467.97490540700738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9.0811937750816174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9.0811937750816174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367.99999999999972</v>
      </c>
      <c r="FF179" s="17">
        <f>FE179*VLOOKUP('Données projet'!$B$16,Paramètres!$A$1:$I$89,3,0)*VLOOKUP('Données projet'!$B$16,Paramètres!$A$1:$I$89,5,0)</f>
        <v>396.11519999999967</v>
      </c>
      <c r="FG179" s="13">
        <f t="shared" si="182"/>
        <v>90.988634849704994</v>
      </c>
      <c r="FH179" s="20">
        <f t="shared" si="183"/>
        <v>848.37251236323561</v>
      </c>
      <c r="FI179" s="59">
        <f t="shared" si="131"/>
        <v>1141.705845696569</v>
      </c>
      <c r="FJ179" s="59">
        <f ca="1">AVERAGE(OFFSET($FI$3,0,0,'Données projet'!$E$16+1,1))-AVERAGE(OFFSET($H$3,0,0,'Données projet'!$E$16+1,1))</f>
        <v>534.54020133239135</v>
      </c>
      <c r="FK179" s="59">
        <f t="shared" si="156"/>
        <v>515.48696069008815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10.106489846461807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10.106489846461807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248.99999999999994</v>
      </c>
      <c r="GA179" s="17">
        <f>FZ179*VLOOKUP('Données projet'!$B$17,Paramètres!$A$1:$I$89,3,0)*VLOOKUP('Données projet'!$B$17,Paramètres!$A$1:$I$89,5,0)</f>
        <v>236.94839999999994</v>
      </c>
      <c r="GB179" s="13">
        <f t="shared" si="185"/>
        <v>57.782475694292401</v>
      </c>
      <c r="GC179" s="20">
        <f t="shared" si="186"/>
        <v>513.32294183422573</v>
      </c>
      <c r="GD179" s="59">
        <f t="shared" si="134"/>
        <v>806.65627516755899</v>
      </c>
      <c r="GE179" s="59">
        <f ca="1">AVERAGE(OFFSET($GD$3,0,0,'Données projet'!$E$17+1,1))-AVERAGE(OFFSET($H$3,0,0,'Données projet'!$E$17+1,1))</f>
        <v>455.71329051283936</v>
      </c>
      <c r="GF179" s="59">
        <f t="shared" si="158"/>
        <v>479.3743231122258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23.473071910457449</v>
      </c>
      <c r="GM179" s="21">
        <f>EXP(-LN(2)/25)*GM178+(1-EXP(-LN(2)/25))/(LN(2)/25)*Calculateur!GH179*Calculateur!GJ179*VLOOKUP('Données projet'!$B$17,Paramètres!$A$1:$I$89,3,0)*0.475*44/12</f>
        <v>0</v>
      </c>
      <c r="GN179" s="21">
        <f>EXP(-LN(2)/2)*GN178+(1-EXP(-LN(2)/2))/(LN(2)/2)*GH179*GK179*VLOOKUP('Données projet'!$B$17,Paramètres!$A$1:$I$89,3,0)*0.475*44/12</f>
        <v>0</v>
      </c>
      <c r="GO179" s="21">
        <f t="shared" si="187"/>
        <v>23.473071910457449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367.99999999999972</v>
      </c>
      <c r="GV179" s="17">
        <f>GU179*VLOOKUP('Données projet'!$B$18,Paramètres!$A$1:$I$89,3,0)*VLOOKUP('Données projet'!$B$18,Paramètres!$A$1:$I$89,5,0)</f>
        <v>298.52159999999981</v>
      </c>
      <c r="GW179" s="13">
        <f t="shared" si="188"/>
        <v>70.866444995542437</v>
      </c>
      <c r="GX179" s="20">
        <f t="shared" si="189"/>
        <v>643.35084503390271</v>
      </c>
      <c r="GY179" s="59">
        <f t="shared" si="137"/>
        <v>936.68417836723597</v>
      </c>
      <c r="GZ179" s="59">
        <f ca="1">AVERAGE(OFFSET($GY$3,0,0,'Données projet'!$E$18+1,1))-AVERAGE(OFFSET($H$3,0,0,'Données projet'!$E$18+1,1))</f>
        <v>412.59676769258488</v>
      </c>
      <c r="HA179" s="59">
        <f t="shared" si="160"/>
        <v>399.90063795152133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7.6164851016813548</v>
      </c>
      <c r="HH179" s="21">
        <f>EXP(-LN(2)/25)*HH178+(1-EXP(-LN(2)/25))/(LN(2)/25)*Calculateur!HC179*Calculateur!HE179*VLOOKUP('Données projet'!$B$18,Paramètres!$A$1:$I$89,3,0)*0.475*44/12</f>
        <v>0</v>
      </c>
      <c r="HI179" s="21">
        <f>EXP(-LN(2)/2)*HI178+(1-EXP(-LN(2)/2))/(LN(2)/2)*HC179*HF179*VLOOKUP('Données projet'!$B$18,Paramètres!$A$1:$I$89,3,0)*0.475*44/12</f>
        <v>0</v>
      </c>
      <c r="HJ179" s="22">
        <f t="shared" si="190"/>
        <v>7.6164851016813548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306.99999999999994</v>
      </c>
      <c r="O180" s="13">
        <f>N180*VLOOKUP('Données projet'!$B$9,Paramètres!$A$1:$I$89,3,0)*VLOOKUP('Données projet'!$B$9,Paramètres!$A$1:$I$89,5,0)</f>
        <v>277.77359999999993</v>
      </c>
      <c r="P180" s="13">
        <f t="shared" si="141"/>
        <v>66.496288176842356</v>
      </c>
      <c r="Q180" s="20">
        <f t="shared" si="162"/>
        <v>599.60338857466706</v>
      </c>
      <c r="R180" s="59">
        <f t="shared" si="109"/>
        <v>892.93672190800044</v>
      </c>
      <c r="S180" s="59">
        <f ca="1">AVERAGE(OFFSET($R$3,0,0,'Données projet'!$E$9+1,1))-AVERAGE(OFFSET($H$3,0,0,'Données projet'!$E$9+1,1))</f>
        <v>439.19854273764042</v>
      </c>
      <c r="T180" s="59">
        <f t="shared" si="142"/>
        <v>278.21741231699929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29.320357774423602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29.320357774423602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306.99999999999994</v>
      </c>
      <c r="AJ180" s="13">
        <f>AI180*VLOOKUP('Données projet'!$B$10,Paramètres!$A$1:$I$89,3,0)*VLOOKUP('Données projet'!$B$10,Paramètres!$A$1:$I$89,5,0)</f>
        <v>311.298</v>
      </c>
      <c r="AK180" s="13">
        <f t="shared" si="164"/>
        <v>73.539838278528748</v>
      </c>
      <c r="AL180" s="20">
        <f t="shared" si="165"/>
        <v>670.25923500177089</v>
      </c>
      <c r="AM180" s="59">
        <f t="shared" si="113"/>
        <v>963.59256833510426</v>
      </c>
      <c r="AN180" s="59">
        <f ca="1">AVERAGE(OFFSET($AM$3,0,0,'Données projet'!$E$10+1,1))-AVERAGE(OFFSET($H$3,0,0,'Données projet'!$E$10+1,1))</f>
        <v>487.18832528146936</v>
      </c>
      <c r="AO180" s="59">
        <f t="shared" si="144"/>
        <v>306.61893266146666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32.859021643750602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32.859021643750602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369.00000000000023</v>
      </c>
      <c r="BE180" s="13">
        <f>BD180*VLOOKUP('Données projet'!$B$11,Paramètres!$A$1:$I$89,3,0)*VLOOKUP('Données projet'!$B$11,Paramètres!$A$1:$I$89,5,0)</f>
        <v>333.87120000000021</v>
      </c>
      <c r="BF180" s="13">
        <f t="shared" si="167"/>
        <v>78.23236011137638</v>
      </c>
      <c r="BG180" s="20">
        <f t="shared" si="168"/>
        <v>717.74703386064755</v>
      </c>
      <c r="BH180" s="59">
        <f t="shared" si="116"/>
        <v>1011.0803671939809</v>
      </c>
      <c r="BI180" s="59">
        <f ca="1">AVERAGE(OFFSET($BH$3,0,0,'Données projet'!$E$11+1,1))-AVERAGE(OFFSET($H$3,0,0,'Données projet'!$E$11+1,1))</f>
        <v>436.23918637269577</v>
      </c>
      <c r="BJ180" s="59">
        <f t="shared" si="146"/>
        <v>611.43967996341894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0.57517217842726176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0.57517217842726176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224.00000000000006</v>
      </c>
      <c r="BZ180" s="13">
        <f>BY180*VLOOKUP('Données projet'!$B$12,Paramètres!$A$1:$I$89,3,0)*VLOOKUP('Données projet'!$B$12,Paramètres!$A$1:$I$89,5,0)</f>
        <v>195.68640000000008</v>
      </c>
      <c r="CA180" s="13">
        <f t="shared" si="170"/>
        <v>48.794969360985156</v>
      </c>
      <c r="CB180" s="20">
        <f t="shared" si="171"/>
        <v>425.8050516370493</v>
      </c>
      <c r="CC180" s="59">
        <f t="shared" si="119"/>
        <v>719.13838497038262</v>
      </c>
      <c r="CD180" s="59">
        <f ca="1">AVERAGE(OFFSET($CC$3,0,0,'Données projet'!$E$12+1,1))-AVERAGE(OFFSET($H$3,0,0,'Données projet'!$E$12+1,1))</f>
        <v>304.32767345253382</v>
      </c>
      <c r="CE180" s="59">
        <f t="shared" si="148"/>
        <v>427.16091343339173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6.2112770509478672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6.2112770509478672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739.99999999999966</v>
      </c>
      <c r="CU180" s="17">
        <f>CT180*VLOOKUP('Données projet'!$B$13,Paramètres!$A$1:$I$89,3,0)*VLOOKUP('Données projet'!$B$13,Paramètres!$A$1:$I$89,5,0)</f>
        <v>413.65999999999985</v>
      </c>
      <c r="CV180" s="13">
        <f t="shared" si="173"/>
        <v>94.540585122244352</v>
      </c>
      <c r="CW180" s="20">
        <f t="shared" si="174"/>
        <v>885.11601908790863</v>
      </c>
      <c r="CX180" s="59">
        <f t="shared" si="122"/>
        <v>1178.4493524212419</v>
      </c>
      <c r="CY180" s="59">
        <f ca="1">AVERAGE(OFFSET($CX$3,0,0,'Données projet'!$E$13+1,1))-AVERAGE(OFFSET($H$3,0,0,'Données projet'!$E$13+1,1))</f>
        <v>555.15881087162279</v>
      </c>
      <c r="CZ180" s="59">
        <f t="shared" si="150"/>
        <v>668.20427590250733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12.171747125411054</v>
      </c>
      <c r="DG180" s="21">
        <f>EXP(-LN(2)/25)*DG179+(1-EXP(-LN(2)/25))/(LN(2)/25)*Calculateur!DB180*Calculateur!DD180*VLOOKUP('Données projet'!$B$13,Paramètres!$A$1:$I$89,3,0)*0.475*44/12</f>
        <v>0.9811459030305002</v>
      </c>
      <c r="DH180" s="21">
        <f>EXP(-LN(2)/2)*DH179+(1-EXP(-LN(2)/2))/(LN(2)/2)*DB180*DE180*VLOOKUP('Données projet'!$B$13,Paramètres!$A$1:$I$89,3,0)*0.475*44/12</f>
        <v>6.3673854844697929E-23</v>
      </c>
      <c r="DI180" s="22">
        <f t="shared" si="175"/>
        <v>13.152893028441554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911.99999999999898</v>
      </c>
      <c r="DP180" s="17">
        <f>DO180*VLOOKUP('Données projet'!$B$14,Paramètres!$A$1:$I$89,3,0)*VLOOKUP('Données projet'!$B$14,Paramètres!$A$1:$I$89,5,0)</f>
        <v>426.81599999999946</v>
      </c>
      <c r="DQ180" s="13">
        <f t="shared" si="176"/>
        <v>97.192496986872399</v>
      </c>
      <c r="DR180" s="20">
        <f t="shared" si="177"/>
        <v>912.64813225213504</v>
      </c>
      <c r="DS180" s="59">
        <f t="shared" si="125"/>
        <v>1205.9814655854684</v>
      </c>
      <c r="DT180" s="59">
        <f ca="1">AVERAGE(OFFSET($DS$3,0,0,'Données projet'!$E$14+1,1))-AVERAGE(OFFSET($H$3,0,0,'Données projet'!$E$14+1,1))</f>
        <v>523.79180230463714</v>
      </c>
      <c r="DU180" s="59">
        <f t="shared" si="152"/>
        <v>459.3547783500515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21.767597243659488</v>
      </c>
      <c r="EB180" s="21">
        <f>EXP(-LN(2)/25)*EB179+(1-EXP(-LN(2)/25))/(LN(2)/25)*Calculateur!DW180*Calculateur!DY180*VLOOKUP('Données projet'!$B$14,Paramètres!$A$1:$I$89,3,0)*0.475*44/12</f>
        <v>0.907435790913378</v>
      </c>
      <c r="EC180" s="21">
        <f>EXP(-LN(2)/2)*EC179+(1-EXP(-LN(2)/2))/(LN(2)/2)*DW180*DZ180*VLOOKUP('Données projet'!$B$14,Paramètres!$A$1:$I$89,3,0)*0.475*44/12</f>
        <v>8.9260482291756008E-23</v>
      </c>
      <c r="ED180" s="22">
        <f t="shared" si="178"/>
        <v>22.675033034572866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367.99999999999972</v>
      </c>
      <c r="EK180" s="17">
        <f>EJ180*VLOOKUP('Données projet'!$B$15,Paramètres!$A$1:$I$89,3,0)*VLOOKUP('Données projet'!$B$15,Paramètres!$A$1:$I$89,5,0)</f>
        <v>355.92959999999977</v>
      </c>
      <c r="EL180" s="13">
        <f t="shared" si="179"/>
        <v>82.782281100458206</v>
      </c>
      <c r="EM180" s="20">
        <f t="shared" si="180"/>
        <v>764.08985958329765</v>
      </c>
      <c r="EN180" s="59">
        <f t="shared" si="128"/>
        <v>1057.423192916631</v>
      </c>
      <c r="EO180" s="59">
        <f ca="1">AVERAGE(OFFSET($EN$3,0,0,'Données projet'!$E$15+1,1))-AVERAGE(OFFSET($H$3,0,0,'Données projet'!$E$15+1,1))</f>
        <v>484.41278617935654</v>
      </c>
      <c r="EP180" s="59">
        <f t="shared" si="154"/>
        <v>467.97490540700738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8.9031171041335408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8.9031171041335408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367.99999999999972</v>
      </c>
      <c r="FF180" s="17">
        <f>FE180*VLOOKUP('Données projet'!$B$16,Paramètres!$A$1:$I$89,3,0)*VLOOKUP('Données projet'!$B$16,Paramètres!$A$1:$I$89,5,0)</f>
        <v>396.11519999999967</v>
      </c>
      <c r="FG180" s="13">
        <f t="shared" si="182"/>
        <v>90.988634849704994</v>
      </c>
      <c r="FH180" s="20">
        <f t="shared" si="183"/>
        <v>848.37251236323561</v>
      </c>
      <c r="FI180" s="59">
        <f t="shared" si="131"/>
        <v>1141.705845696569</v>
      </c>
      <c r="FJ180" s="59">
        <f ca="1">AVERAGE(OFFSET($FI$3,0,0,'Données projet'!$E$16+1,1))-AVERAGE(OFFSET($H$3,0,0,'Données projet'!$E$16+1,1))</f>
        <v>534.54020133239135</v>
      </c>
      <c r="FK180" s="59">
        <f t="shared" si="156"/>
        <v>515.48696069008815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9.9083077449228192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9.9083077449228192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248.99999999999994</v>
      </c>
      <c r="GA180" s="17">
        <f>FZ180*VLOOKUP('Données projet'!$B$17,Paramètres!$A$1:$I$89,3,0)*VLOOKUP('Données projet'!$B$17,Paramètres!$A$1:$I$89,5,0)</f>
        <v>236.94839999999994</v>
      </c>
      <c r="GB180" s="13">
        <f t="shared" si="185"/>
        <v>57.782475694292401</v>
      </c>
      <c r="GC180" s="20">
        <f t="shared" si="186"/>
        <v>513.32294183422573</v>
      </c>
      <c r="GD180" s="59">
        <f t="shared" si="134"/>
        <v>806.65627516755899</v>
      </c>
      <c r="GE180" s="59">
        <f ca="1">AVERAGE(OFFSET($GD$3,0,0,'Données projet'!$E$17+1,1))-AVERAGE(OFFSET($H$3,0,0,'Données projet'!$E$17+1,1))</f>
        <v>455.71329051283936</v>
      </c>
      <c r="GF180" s="59">
        <f t="shared" si="158"/>
        <v>479.3743231122258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23.01277928745354</v>
      </c>
      <c r="GM180" s="21">
        <f>EXP(-LN(2)/25)*GM179+(1-EXP(-LN(2)/25))/(LN(2)/25)*Calculateur!GH180*Calculateur!GJ180*VLOOKUP('Données projet'!$B$17,Paramètres!$A$1:$I$89,3,0)*0.475*44/12</f>
        <v>0</v>
      </c>
      <c r="GN180" s="21">
        <f>EXP(-LN(2)/2)*GN179+(1-EXP(-LN(2)/2))/(LN(2)/2)*GH180*GK180*VLOOKUP('Données projet'!$B$17,Paramètres!$A$1:$I$89,3,0)*0.475*44/12</f>
        <v>0</v>
      </c>
      <c r="GO180" s="21">
        <f t="shared" si="187"/>
        <v>23.01277928745354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367.99999999999972</v>
      </c>
      <c r="GV180" s="17">
        <f>GU180*VLOOKUP('Données projet'!$B$18,Paramètres!$A$1:$I$89,3,0)*VLOOKUP('Données projet'!$B$18,Paramètres!$A$1:$I$89,5,0)</f>
        <v>298.52159999999981</v>
      </c>
      <c r="GW180" s="13">
        <f t="shared" si="188"/>
        <v>70.866444995542437</v>
      </c>
      <c r="GX180" s="20">
        <f t="shared" si="189"/>
        <v>643.35084503390271</v>
      </c>
      <c r="GY180" s="59">
        <f t="shared" si="137"/>
        <v>936.68417836723597</v>
      </c>
      <c r="GZ180" s="59">
        <f ca="1">AVERAGE(OFFSET($GY$3,0,0,'Données projet'!$E$18+1,1))-AVERAGE(OFFSET($H$3,0,0,'Données projet'!$E$18+1,1))</f>
        <v>412.59676769258488</v>
      </c>
      <c r="HA180" s="59">
        <f t="shared" si="160"/>
        <v>399.90063795152133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7.4671304744345806</v>
      </c>
      <c r="HH180" s="21">
        <f>EXP(-LN(2)/25)*HH179+(1-EXP(-LN(2)/25))/(LN(2)/25)*Calculateur!HC180*Calculateur!HE180*VLOOKUP('Données projet'!$B$18,Paramètres!$A$1:$I$89,3,0)*0.475*44/12</f>
        <v>0</v>
      </c>
      <c r="HI180" s="21">
        <f>EXP(-LN(2)/2)*HI179+(1-EXP(-LN(2)/2))/(LN(2)/2)*HC180*HF180*VLOOKUP('Données projet'!$B$18,Paramètres!$A$1:$I$89,3,0)*0.475*44/12</f>
        <v>0</v>
      </c>
      <c r="HJ180" s="22">
        <f t="shared" si="190"/>
        <v>7.4671304744345806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306.99999999999994</v>
      </c>
      <c r="O181" s="13">
        <f>N181*VLOOKUP('Données projet'!$B$9,Paramètres!$A$1:$I$89,3,0)*VLOOKUP('Données projet'!$B$9,Paramètres!$A$1:$I$89,5,0)</f>
        <v>277.77359999999993</v>
      </c>
      <c r="P181" s="13">
        <f t="shared" si="141"/>
        <v>66.496288176842356</v>
      </c>
      <c r="Q181" s="20">
        <f t="shared" si="162"/>
        <v>599.60338857466706</v>
      </c>
      <c r="R181" s="59">
        <f t="shared" si="109"/>
        <v>892.93672190800044</v>
      </c>
      <c r="S181" s="59">
        <f ca="1">AVERAGE(OFFSET($R$3,0,0,'Données projet'!$E$9+1,1))-AVERAGE(OFFSET($H$3,0,0,'Données projet'!$E$9+1,1))</f>
        <v>439.19854273764042</v>
      </c>
      <c r="T181" s="59">
        <f t="shared" si="142"/>
        <v>278.21741231699929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28.745403442119535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28.745403442119535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306.99999999999994</v>
      </c>
      <c r="AJ181" s="13">
        <f>AI181*VLOOKUP('Données projet'!$B$10,Paramètres!$A$1:$I$89,3,0)*VLOOKUP('Données projet'!$B$10,Paramètres!$A$1:$I$89,5,0)</f>
        <v>311.298</v>
      </c>
      <c r="AK181" s="13">
        <f t="shared" si="164"/>
        <v>73.539838278528748</v>
      </c>
      <c r="AL181" s="20">
        <f t="shared" si="165"/>
        <v>670.25923500177089</v>
      </c>
      <c r="AM181" s="59">
        <f t="shared" si="113"/>
        <v>963.59256833510426</v>
      </c>
      <c r="AN181" s="59">
        <f ca="1">AVERAGE(OFFSET($AM$3,0,0,'Données projet'!$E$10+1,1))-AVERAGE(OFFSET($H$3,0,0,'Données projet'!$E$10+1,1))</f>
        <v>487.18832528146936</v>
      </c>
      <c r="AO181" s="59">
        <f t="shared" si="144"/>
        <v>306.61893266146666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32.214676271340871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32.214676271340871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369.00000000000023</v>
      </c>
      <c r="BE181" s="13">
        <f>BD181*VLOOKUP('Données projet'!$B$11,Paramètres!$A$1:$I$89,3,0)*VLOOKUP('Données projet'!$B$11,Paramètres!$A$1:$I$89,5,0)</f>
        <v>333.87120000000021</v>
      </c>
      <c r="BF181" s="13">
        <f t="shared" si="167"/>
        <v>78.23236011137638</v>
      </c>
      <c r="BG181" s="20">
        <f t="shared" si="168"/>
        <v>717.74703386064755</v>
      </c>
      <c r="BH181" s="59">
        <f t="shared" si="116"/>
        <v>1011.0803671939809</v>
      </c>
      <c r="BI181" s="59">
        <f ca="1">AVERAGE(OFFSET($BH$3,0,0,'Données projet'!$E$11+1,1))-AVERAGE(OFFSET($H$3,0,0,'Données projet'!$E$11+1,1))</f>
        <v>436.23918637269577</v>
      </c>
      <c r="BJ181" s="59">
        <f t="shared" si="146"/>
        <v>611.43967996341894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0.56389340282869138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0.56389340282869138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224.00000000000006</v>
      </c>
      <c r="BZ181" s="13">
        <f>BY181*VLOOKUP('Données projet'!$B$12,Paramètres!$A$1:$I$89,3,0)*VLOOKUP('Données projet'!$B$12,Paramètres!$A$1:$I$89,5,0)</f>
        <v>195.68640000000008</v>
      </c>
      <c r="CA181" s="13">
        <f t="shared" si="170"/>
        <v>48.794969360985156</v>
      </c>
      <c r="CB181" s="20">
        <f t="shared" si="171"/>
        <v>425.8050516370493</v>
      </c>
      <c r="CC181" s="59">
        <f t="shared" si="119"/>
        <v>719.13838497038262</v>
      </c>
      <c r="CD181" s="59">
        <f ca="1">AVERAGE(OFFSET($CC$3,0,0,'Données projet'!$E$12+1,1))-AVERAGE(OFFSET($H$3,0,0,'Données projet'!$E$12+1,1))</f>
        <v>304.32767345253382</v>
      </c>
      <c r="CE181" s="59">
        <f t="shared" si="148"/>
        <v>427.16091343339173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6.089477696483697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6.089477696483697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739.99999999999966</v>
      </c>
      <c r="CU181" s="17">
        <f>CT181*VLOOKUP('Données projet'!$B$13,Paramètres!$A$1:$I$89,3,0)*VLOOKUP('Données projet'!$B$13,Paramètres!$A$1:$I$89,5,0)</f>
        <v>413.65999999999985</v>
      </c>
      <c r="CV181" s="13">
        <f t="shared" si="173"/>
        <v>94.540585122244352</v>
      </c>
      <c r="CW181" s="20">
        <f t="shared" si="174"/>
        <v>885.11601908790863</v>
      </c>
      <c r="CX181" s="59">
        <f t="shared" si="122"/>
        <v>1178.4493524212419</v>
      </c>
      <c r="CY181" s="59">
        <f ca="1">AVERAGE(OFFSET($CX$3,0,0,'Données projet'!$E$13+1,1))-AVERAGE(OFFSET($H$3,0,0,'Données projet'!$E$13+1,1))</f>
        <v>555.15881087162279</v>
      </c>
      <c r="CZ181" s="59">
        <f t="shared" si="150"/>
        <v>668.20427590250733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11.933066588314427</v>
      </c>
      <c r="DG181" s="21">
        <f>EXP(-LN(2)/25)*DG180+(1-EXP(-LN(2)/25))/(LN(2)/25)*Calculateur!DB181*Calculateur!DD181*VLOOKUP('Données projet'!$B$13,Paramètres!$A$1:$I$89,3,0)*0.475*44/12</f>
        <v>0.95431641671591061</v>
      </c>
      <c r="DH181" s="21">
        <f>EXP(-LN(2)/2)*DH180+(1-EXP(-LN(2)/2))/(LN(2)/2)*DB181*DE181*VLOOKUP('Données projet'!$B$13,Paramètres!$A$1:$I$89,3,0)*0.475*44/12</f>
        <v>4.5024214544973809E-23</v>
      </c>
      <c r="DI181" s="22">
        <f t="shared" si="175"/>
        <v>12.887383005030337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911.99999999999898</v>
      </c>
      <c r="DP181" s="17">
        <f>DO181*VLOOKUP('Données projet'!$B$14,Paramètres!$A$1:$I$89,3,0)*VLOOKUP('Données projet'!$B$14,Paramètres!$A$1:$I$89,5,0)</f>
        <v>426.81599999999946</v>
      </c>
      <c r="DQ181" s="13">
        <f t="shared" si="176"/>
        <v>97.192496986872399</v>
      </c>
      <c r="DR181" s="20">
        <f t="shared" si="177"/>
        <v>912.64813225213504</v>
      </c>
      <c r="DS181" s="59">
        <f t="shared" si="125"/>
        <v>1205.9814655854684</v>
      </c>
      <c r="DT181" s="59">
        <f ca="1">AVERAGE(OFFSET($DS$3,0,0,'Données projet'!$E$14+1,1))-AVERAGE(OFFSET($H$3,0,0,'Données projet'!$E$14+1,1))</f>
        <v>523.79180230463714</v>
      </c>
      <c r="DU181" s="59">
        <f t="shared" si="152"/>
        <v>459.3547783500515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21.340747938634657</v>
      </c>
      <c r="EB181" s="21">
        <f>EXP(-LN(2)/25)*EB180+(1-EXP(-LN(2)/25))/(LN(2)/25)*Calculateur!DW181*Calculateur!DY181*VLOOKUP('Données projet'!$B$14,Paramètres!$A$1:$I$89,3,0)*0.475*44/12</f>
        <v>0.88262191149087743</v>
      </c>
      <c r="EC181" s="21">
        <f>EXP(-LN(2)/2)*EC180+(1-EXP(-LN(2)/2))/(LN(2)/2)*DW181*DZ181*VLOOKUP('Données projet'!$B$14,Paramètres!$A$1:$I$89,3,0)*0.475*44/12</f>
        <v>6.3116692320482415E-23</v>
      </c>
      <c r="ED181" s="22">
        <f t="shared" si="178"/>
        <v>22.223369850125533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367.99999999999972</v>
      </c>
      <c r="EK181" s="17">
        <f>EJ181*VLOOKUP('Données projet'!$B$15,Paramètres!$A$1:$I$89,3,0)*VLOOKUP('Données projet'!$B$15,Paramètres!$A$1:$I$89,5,0)</f>
        <v>355.92959999999977</v>
      </c>
      <c r="EL181" s="13">
        <f t="shared" si="179"/>
        <v>82.782281100458206</v>
      </c>
      <c r="EM181" s="20">
        <f t="shared" si="180"/>
        <v>764.08985958329765</v>
      </c>
      <c r="EN181" s="59">
        <f t="shared" si="128"/>
        <v>1057.423192916631</v>
      </c>
      <c r="EO181" s="59">
        <f ca="1">AVERAGE(OFFSET($EN$3,0,0,'Données projet'!$E$15+1,1))-AVERAGE(OFFSET($H$3,0,0,'Données projet'!$E$15+1,1))</f>
        <v>484.41278617935654</v>
      </c>
      <c r="EP181" s="59">
        <f t="shared" si="154"/>
        <v>467.97490540700738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8.7285324080867124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8.7285324080867124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367.99999999999972</v>
      </c>
      <c r="FF181" s="17">
        <f>FE181*VLOOKUP('Données projet'!$B$16,Paramètres!$A$1:$I$89,3,0)*VLOOKUP('Données projet'!$B$16,Paramètres!$A$1:$I$89,5,0)</f>
        <v>396.11519999999967</v>
      </c>
      <c r="FG181" s="13">
        <f t="shared" si="182"/>
        <v>90.988634849704994</v>
      </c>
      <c r="FH181" s="20">
        <f t="shared" si="183"/>
        <v>848.37251236323561</v>
      </c>
      <c r="FI181" s="59">
        <f t="shared" si="131"/>
        <v>1141.705845696569</v>
      </c>
      <c r="FJ181" s="59">
        <f ca="1">AVERAGE(OFFSET($FI$3,0,0,'Données projet'!$E$16+1,1))-AVERAGE(OFFSET($H$3,0,0,'Données projet'!$E$16+1,1))</f>
        <v>534.54020133239135</v>
      </c>
      <c r="FK181" s="59">
        <f t="shared" si="156"/>
        <v>515.48696069008815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9.7140118735158634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9.7140118735158634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248.99999999999994</v>
      </c>
      <c r="GA181" s="17">
        <f>FZ181*VLOOKUP('Données projet'!$B$17,Paramètres!$A$1:$I$89,3,0)*VLOOKUP('Données projet'!$B$17,Paramètres!$A$1:$I$89,5,0)</f>
        <v>236.94839999999994</v>
      </c>
      <c r="GB181" s="13">
        <f t="shared" si="185"/>
        <v>57.782475694292401</v>
      </c>
      <c r="GC181" s="20">
        <f t="shared" si="186"/>
        <v>513.32294183422573</v>
      </c>
      <c r="GD181" s="59">
        <f t="shared" si="134"/>
        <v>806.65627516755899</v>
      </c>
      <c r="GE181" s="59">
        <f ca="1">AVERAGE(OFFSET($GD$3,0,0,'Données projet'!$E$17+1,1))-AVERAGE(OFFSET($H$3,0,0,'Données projet'!$E$17+1,1))</f>
        <v>455.71329051283936</v>
      </c>
      <c r="GF181" s="59">
        <f t="shared" si="158"/>
        <v>479.3743231122258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22.56151272203596</v>
      </c>
      <c r="GM181" s="21">
        <f>EXP(-LN(2)/25)*GM180+(1-EXP(-LN(2)/25))/(LN(2)/25)*Calculateur!GH181*Calculateur!GJ181*VLOOKUP('Données projet'!$B$17,Paramètres!$A$1:$I$89,3,0)*0.475*44/12</f>
        <v>0</v>
      </c>
      <c r="GN181" s="21">
        <f>EXP(-LN(2)/2)*GN180+(1-EXP(-LN(2)/2))/(LN(2)/2)*GH181*GK181*VLOOKUP('Données projet'!$B$17,Paramètres!$A$1:$I$89,3,0)*0.475*44/12</f>
        <v>0</v>
      </c>
      <c r="GO181" s="21">
        <f t="shared" si="187"/>
        <v>22.56151272203596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367.99999999999972</v>
      </c>
      <c r="GV181" s="17">
        <f>GU181*VLOOKUP('Données projet'!$B$18,Paramètres!$A$1:$I$89,3,0)*VLOOKUP('Données projet'!$B$18,Paramètres!$A$1:$I$89,5,0)</f>
        <v>298.52159999999981</v>
      </c>
      <c r="GW181" s="13">
        <f t="shared" si="188"/>
        <v>70.866444995542437</v>
      </c>
      <c r="GX181" s="20">
        <f t="shared" si="189"/>
        <v>643.35084503390271</v>
      </c>
      <c r="GY181" s="59">
        <f t="shared" si="137"/>
        <v>936.68417836723597</v>
      </c>
      <c r="GZ181" s="59">
        <f ca="1">AVERAGE(OFFSET($GY$3,0,0,'Données projet'!$E$18+1,1))-AVERAGE(OFFSET($H$3,0,0,'Données projet'!$E$18+1,1))</f>
        <v>412.59676769258488</v>
      </c>
      <c r="HA181" s="59">
        <f t="shared" si="160"/>
        <v>399.90063795152133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7.3207046003307887</v>
      </c>
      <c r="HH181" s="21">
        <f>EXP(-LN(2)/25)*HH180+(1-EXP(-LN(2)/25))/(LN(2)/25)*Calculateur!HC181*Calculateur!HE181*VLOOKUP('Données projet'!$B$18,Paramètres!$A$1:$I$89,3,0)*0.475*44/12</f>
        <v>0</v>
      </c>
      <c r="HI181" s="21">
        <f>EXP(-LN(2)/2)*HI180+(1-EXP(-LN(2)/2))/(LN(2)/2)*HC181*HF181*VLOOKUP('Données projet'!$B$18,Paramètres!$A$1:$I$89,3,0)*0.475*44/12</f>
        <v>0</v>
      </c>
      <c r="HJ181" s="22">
        <f t="shared" si="190"/>
        <v>7.3207046003307887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306.99999999999994</v>
      </c>
      <c r="O182" s="13">
        <f>N182*VLOOKUP('Données projet'!$B$9,Paramètres!$A$1:$I$89,3,0)*VLOOKUP('Données projet'!$B$9,Paramètres!$A$1:$I$89,5,0)</f>
        <v>277.77359999999993</v>
      </c>
      <c r="P182" s="13">
        <f t="shared" si="141"/>
        <v>66.496288176842356</v>
      </c>
      <c r="Q182" s="20">
        <f t="shared" si="162"/>
        <v>599.60338857466706</v>
      </c>
      <c r="R182" s="59">
        <f t="shared" si="109"/>
        <v>892.93672190800044</v>
      </c>
      <c r="S182" s="59">
        <f ca="1">AVERAGE(OFFSET($R$3,0,0,'Données projet'!$E$9+1,1))-AVERAGE(OFFSET($H$3,0,0,'Données projet'!$E$9+1,1))</f>
        <v>439.19854273764042</v>
      </c>
      <c r="T182" s="59">
        <f t="shared" si="142"/>
        <v>278.21741231699929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28.181723613584435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28.181723613584435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306.99999999999994</v>
      </c>
      <c r="AJ182" s="13">
        <f>AI182*VLOOKUP('Données projet'!$B$10,Paramètres!$A$1:$I$89,3,0)*VLOOKUP('Données projet'!$B$10,Paramètres!$A$1:$I$89,5,0)</f>
        <v>311.298</v>
      </c>
      <c r="AK182" s="13">
        <f t="shared" si="164"/>
        <v>73.539838278528748</v>
      </c>
      <c r="AL182" s="20">
        <f t="shared" si="165"/>
        <v>670.25923500177089</v>
      </c>
      <c r="AM182" s="59">
        <f t="shared" si="113"/>
        <v>963.59256833510426</v>
      </c>
      <c r="AN182" s="59">
        <f ca="1">AVERAGE(OFFSET($AM$3,0,0,'Données projet'!$E$10+1,1))-AVERAGE(OFFSET($H$3,0,0,'Données projet'!$E$10+1,1))</f>
        <v>487.18832528146936</v>
      </c>
      <c r="AO182" s="59">
        <f t="shared" si="144"/>
        <v>306.61893266146666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31.582966118672221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31.582966118672221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369.00000000000023</v>
      </c>
      <c r="BE182" s="13">
        <f>BD182*VLOOKUP('Données projet'!$B$11,Paramètres!$A$1:$I$89,3,0)*VLOOKUP('Données projet'!$B$11,Paramètres!$A$1:$I$89,5,0)</f>
        <v>333.87120000000021</v>
      </c>
      <c r="BF182" s="13">
        <f t="shared" si="167"/>
        <v>78.23236011137638</v>
      </c>
      <c r="BG182" s="20">
        <f t="shared" si="168"/>
        <v>717.74703386064755</v>
      </c>
      <c r="BH182" s="59">
        <f t="shared" si="116"/>
        <v>1011.0803671939809</v>
      </c>
      <c r="BI182" s="59">
        <f ca="1">AVERAGE(OFFSET($BH$3,0,0,'Données projet'!$E$11+1,1))-AVERAGE(OFFSET($H$3,0,0,'Données projet'!$E$11+1,1))</f>
        <v>436.23918637269577</v>
      </c>
      <c r="BJ182" s="59">
        <f t="shared" si="146"/>
        <v>611.43967996341894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0.55283579714023512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0.55283579714023512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224.00000000000006</v>
      </c>
      <c r="BZ182" s="13">
        <f>BY182*VLOOKUP('Données projet'!$B$12,Paramètres!$A$1:$I$89,3,0)*VLOOKUP('Données projet'!$B$12,Paramètres!$A$1:$I$89,5,0)</f>
        <v>195.68640000000008</v>
      </c>
      <c r="CA182" s="13">
        <f t="shared" si="170"/>
        <v>48.794969360985156</v>
      </c>
      <c r="CB182" s="20">
        <f t="shared" si="171"/>
        <v>425.8050516370493</v>
      </c>
      <c r="CC182" s="59">
        <f t="shared" si="119"/>
        <v>719.13838497038262</v>
      </c>
      <c r="CD182" s="59">
        <f ca="1">AVERAGE(OFFSET($CC$3,0,0,'Données projet'!$E$12+1,1))-AVERAGE(OFFSET($H$3,0,0,'Données projet'!$E$12+1,1))</f>
        <v>304.32767345253382</v>
      </c>
      <c r="CE182" s="59">
        <f t="shared" si="148"/>
        <v>427.16091343339173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5.9700667530702987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5.9700667530702987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739.99999999999966</v>
      </c>
      <c r="CU182" s="17">
        <f>CT182*VLOOKUP('Données projet'!$B$13,Paramètres!$A$1:$I$89,3,0)*VLOOKUP('Données projet'!$B$13,Paramètres!$A$1:$I$89,5,0)</f>
        <v>413.65999999999985</v>
      </c>
      <c r="CV182" s="13">
        <f t="shared" si="173"/>
        <v>94.540585122244352</v>
      </c>
      <c r="CW182" s="20">
        <f t="shared" si="174"/>
        <v>885.11601908790863</v>
      </c>
      <c r="CX182" s="59">
        <f t="shared" si="122"/>
        <v>1178.4493524212419</v>
      </c>
      <c r="CY182" s="59">
        <f ca="1">AVERAGE(OFFSET($CX$3,0,0,'Données projet'!$E$13+1,1))-AVERAGE(OFFSET($H$3,0,0,'Données projet'!$E$13+1,1))</f>
        <v>555.15881087162279</v>
      </c>
      <c r="CZ182" s="59">
        <f t="shared" si="150"/>
        <v>668.20427590250733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11.699066430969513</v>
      </c>
      <c r="DG182" s="21">
        <f>EXP(-LN(2)/25)*DG181+(1-EXP(-LN(2)/25))/(LN(2)/25)*Calculateur!DB182*Calculateur!DD182*VLOOKUP('Données projet'!$B$13,Paramètres!$A$1:$I$89,3,0)*0.475*44/12</f>
        <v>0.9282205841154948</v>
      </c>
      <c r="DH182" s="21">
        <f>EXP(-LN(2)/2)*DH181+(1-EXP(-LN(2)/2))/(LN(2)/2)*DB182*DE182*VLOOKUP('Données projet'!$B$13,Paramètres!$A$1:$I$89,3,0)*0.475*44/12</f>
        <v>3.1836927422348965E-23</v>
      </c>
      <c r="DI182" s="22">
        <f t="shared" si="175"/>
        <v>12.627287015085008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911.99999999999898</v>
      </c>
      <c r="DP182" s="17">
        <f>DO182*VLOOKUP('Données projet'!$B$14,Paramètres!$A$1:$I$89,3,0)*VLOOKUP('Données projet'!$B$14,Paramètres!$A$1:$I$89,5,0)</f>
        <v>426.81599999999946</v>
      </c>
      <c r="DQ182" s="13">
        <f t="shared" si="176"/>
        <v>97.192496986872399</v>
      </c>
      <c r="DR182" s="20">
        <f t="shared" si="177"/>
        <v>912.64813225213504</v>
      </c>
      <c r="DS182" s="59">
        <f t="shared" si="125"/>
        <v>1205.9814655854684</v>
      </c>
      <c r="DT182" s="59">
        <f ca="1">AVERAGE(OFFSET($DS$3,0,0,'Données projet'!$E$14+1,1))-AVERAGE(OFFSET($H$3,0,0,'Données projet'!$E$14+1,1))</f>
        <v>523.79180230463714</v>
      </c>
      <c r="DU182" s="59">
        <f t="shared" si="152"/>
        <v>459.3547783500515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20.922268888128993</v>
      </c>
      <c r="EB182" s="21">
        <f>EXP(-LN(2)/25)*EB181+(1-EXP(-LN(2)/25))/(LN(2)/25)*Calculateur!DW182*Calculateur!DY182*VLOOKUP('Données projet'!$B$14,Paramètres!$A$1:$I$89,3,0)*0.475*44/12</f>
        <v>0.85848656890609032</v>
      </c>
      <c r="EC182" s="21">
        <f>EXP(-LN(2)/2)*EC181+(1-EXP(-LN(2)/2))/(LN(2)/2)*DW182*DZ182*VLOOKUP('Données projet'!$B$14,Paramètres!$A$1:$I$89,3,0)*0.475*44/12</f>
        <v>4.4630241145878004E-23</v>
      </c>
      <c r="ED182" s="22">
        <f t="shared" si="178"/>
        <v>21.780755457035085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367.99999999999972</v>
      </c>
      <c r="EK182" s="17">
        <f>EJ182*VLOOKUP('Données projet'!$B$15,Paramètres!$A$1:$I$89,3,0)*VLOOKUP('Données projet'!$B$15,Paramètres!$A$1:$I$89,5,0)</f>
        <v>355.92959999999977</v>
      </c>
      <c r="EL182" s="13">
        <f t="shared" si="179"/>
        <v>82.782281100458206</v>
      </c>
      <c r="EM182" s="20">
        <f t="shared" si="180"/>
        <v>764.08985958329765</v>
      </c>
      <c r="EN182" s="59">
        <f t="shared" si="128"/>
        <v>1057.423192916631</v>
      </c>
      <c r="EO182" s="59">
        <f ca="1">AVERAGE(OFFSET($EN$3,0,0,'Données projet'!$E$15+1,1))-AVERAGE(OFFSET($H$3,0,0,'Données projet'!$E$15+1,1))</f>
        <v>484.41278617935654</v>
      </c>
      <c r="EP182" s="59">
        <f t="shared" si="154"/>
        <v>467.97490540700738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8.5573712114432112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8.5573712114432112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367.99999999999972</v>
      </c>
      <c r="FF182" s="17">
        <f>FE182*VLOOKUP('Données projet'!$B$16,Paramètres!$A$1:$I$89,3,0)*VLOOKUP('Données projet'!$B$16,Paramètres!$A$1:$I$89,5,0)</f>
        <v>396.11519999999967</v>
      </c>
      <c r="FG182" s="13">
        <f t="shared" si="182"/>
        <v>90.988634849704994</v>
      </c>
      <c r="FH182" s="20">
        <f t="shared" si="183"/>
        <v>848.37251236323561</v>
      </c>
      <c r="FI182" s="59">
        <f t="shared" si="131"/>
        <v>1141.705845696569</v>
      </c>
      <c r="FJ182" s="59">
        <f ca="1">AVERAGE(OFFSET($FI$3,0,0,'Données projet'!$E$16+1,1))-AVERAGE(OFFSET($H$3,0,0,'Données projet'!$E$16+1,1))</f>
        <v>534.54020133239135</v>
      </c>
      <c r="FK182" s="59">
        <f t="shared" si="156"/>
        <v>515.48696069008815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9.523526025638418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9.523526025638418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248.99999999999994</v>
      </c>
      <c r="GA182" s="17">
        <f>FZ182*VLOOKUP('Données projet'!$B$17,Paramètres!$A$1:$I$89,3,0)*VLOOKUP('Données projet'!$B$17,Paramètres!$A$1:$I$89,5,0)</f>
        <v>236.94839999999994</v>
      </c>
      <c r="GB182" s="13">
        <f t="shared" si="185"/>
        <v>57.782475694292401</v>
      </c>
      <c r="GC182" s="20">
        <f t="shared" si="186"/>
        <v>513.32294183422573</v>
      </c>
      <c r="GD182" s="59">
        <f t="shared" si="134"/>
        <v>806.65627516755899</v>
      </c>
      <c r="GE182" s="59">
        <f ca="1">AVERAGE(OFFSET($GD$3,0,0,'Données projet'!$E$17+1,1))-AVERAGE(OFFSET($H$3,0,0,'Données projet'!$E$17+1,1))</f>
        <v>455.71329051283936</v>
      </c>
      <c r="GF182" s="59">
        <f t="shared" si="158"/>
        <v>479.3743231122258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22.119095218720794</v>
      </c>
      <c r="GM182" s="21">
        <f>EXP(-LN(2)/25)*GM181+(1-EXP(-LN(2)/25))/(LN(2)/25)*Calculateur!GH182*Calculateur!GJ182*VLOOKUP('Données projet'!$B$17,Paramètres!$A$1:$I$89,3,0)*0.475*44/12</f>
        <v>0</v>
      </c>
      <c r="GN182" s="21">
        <f>EXP(-LN(2)/2)*GN181+(1-EXP(-LN(2)/2))/(LN(2)/2)*GH182*GK182*VLOOKUP('Données projet'!$B$17,Paramètres!$A$1:$I$89,3,0)*0.475*44/12</f>
        <v>0</v>
      </c>
      <c r="GO182" s="21">
        <f t="shared" si="187"/>
        <v>22.119095218720794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367.99999999999972</v>
      </c>
      <c r="GV182" s="17">
        <f>GU182*VLOOKUP('Données projet'!$B$18,Paramètres!$A$1:$I$89,3,0)*VLOOKUP('Données projet'!$B$18,Paramètres!$A$1:$I$89,5,0)</f>
        <v>298.52159999999981</v>
      </c>
      <c r="GW182" s="13">
        <f t="shared" si="188"/>
        <v>70.866444995542437</v>
      </c>
      <c r="GX182" s="20">
        <f t="shared" si="189"/>
        <v>643.35084503390271</v>
      </c>
      <c r="GY182" s="59">
        <f t="shared" si="137"/>
        <v>936.68417836723597</v>
      </c>
      <c r="GZ182" s="59">
        <f ca="1">AVERAGE(OFFSET($GY$3,0,0,'Données projet'!$E$18+1,1))-AVERAGE(OFFSET($H$3,0,0,'Données projet'!$E$18+1,1))</f>
        <v>412.59676769258488</v>
      </c>
      <c r="HA182" s="59">
        <f t="shared" si="160"/>
        <v>399.90063795152133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7.1771500483072073</v>
      </c>
      <c r="HH182" s="21">
        <f>EXP(-LN(2)/25)*HH181+(1-EXP(-LN(2)/25))/(LN(2)/25)*Calculateur!HC182*Calculateur!HE182*VLOOKUP('Données projet'!$B$18,Paramètres!$A$1:$I$89,3,0)*0.475*44/12</f>
        <v>0</v>
      </c>
      <c r="HI182" s="21">
        <f>EXP(-LN(2)/2)*HI181+(1-EXP(-LN(2)/2))/(LN(2)/2)*HC182*HF182*VLOOKUP('Données projet'!$B$18,Paramètres!$A$1:$I$89,3,0)*0.475*44/12</f>
        <v>0</v>
      </c>
      <c r="HJ182" s="22">
        <f t="shared" si="190"/>
        <v>7.1771500483072073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306.99999999999994</v>
      </c>
      <c r="O183" s="13">
        <f>N183*VLOOKUP('Données projet'!$B$9,Paramètres!$A$1:$I$89,3,0)*VLOOKUP('Données projet'!$B$9,Paramètres!$A$1:$I$89,5,0)</f>
        <v>277.77359999999993</v>
      </c>
      <c r="P183" s="13">
        <f t="shared" si="141"/>
        <v>66.496288176842356</v>
      </c>
      <c r="Q183" s="20">
        <f t="shared" si="162"/>
        <v>599.60338857466706</v>
      </c>
      <c r="R183" s="59">
        <f t="shared" si="109"/>
        <v>892.93672190800044</v>
      </c>
      <c r="S183" s="59">
        <f ca="1">AVERAGE(OFFSET($R$3,0,0,'Données projet'!$E$9+1,1))-AVERAGE(OFFSET($H$3,0,0,'Données projet'!$E$9+1,1))</f>
        <v>439.19854273764042</v>
      </c>
      <c r="T183" s="59">
        <f t="shared" si="142"/>
        <v>278.21741231699929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27.62909720267616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27.62909720267616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306.99999999999994</v>
      </c>
      <c r="AJ183" s="13">
        <f>AI183*VLOOKUP('Données projet'!$B$10,Paramètres!$A$1:$I$89,3,0)*VLOOKUP('Données projet'!$B$10,Paramètres!$A$1:$I$89,5,0)</f>
        <v>311.298</v>
      </c>
      <c r="AK183" s="13">
        <f t="shared" si="164"/>
        <v>73.539838278528748</v>
      </c>
      <c r="AL183" s="20">
        <f t="shared" si="165"/>
        <v>670.25923500177089</v>
      </c>
      <c r="AM183" s="59">
        <f t="shared" si="113"/>
        <v>963.59256833510426</v>
      </c>
      <c r="AN183" s="59">
        <f ca="1">AVERAGE(OFFSET($AM$3,0,0,'Données projet'!$E$10+1,1))-AVERAGE(OFFSET($H$3,0,0,'Données projet'!$E$10+1,1))</f>
        <v>487.18832528146936</v>
      </c>
      <c r="AO183" s="59">
        <f t="shared" si="144"/>
        <v>306.61893266146666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30.963643416792259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30.963643416792259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369.00000000000023</v>
      </c>
      <c r="BE183" s="13">
        <f>BD183*VLOOKUP('Données projet'!$B$11,Paramètres!$A$1:$I$89,3,0)*VLOOKUP('Données projet'!$B$11,Paramètres!$A$1:$I$89,5,0)</f>
        <v>333.87120000000021</v>
      </c>
      <c r="BF183" s="13">
        <f t="shared" si="167"/>
        <v>78.23236011137638</v>
      </c>
      <c r="BG183" s="20">
        <f t="shared" si="168"/>
        <v>717.74703386064755</v>
      </c>
      <c r="BH183" s="59">
        <f t="shared" si="116"/>
        <v>1011.0803671939809</v>
      </c>
      <c r="BI183" s="59">
        <f ca="1">AVERAGE(OFFSET($BH$3,0,0,'Données projet'!$E$11+1,1))-AVERAGE(OFFSET($H$3,0,0,'Données projet'!$E$11+1,1))</f>
        <v>436.23918637269577</v>
      </c>
      <c r="BJ183" s="59">
        <f t="shared" si="146"/>
        <v>611.43967996341894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0.54199502435485603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0.54199502435485603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224.00000000000006</v>
      </c>
      <c r="BZ183" s="13">
        <f>BY183*VLOOKUP('Données projet'!$B$12,Paramètres!$A$1:$I$89,3,0)*VLOOKUP('Données projet'!$B$12,Paramètres!$A$1:$I$89,5,0)</f>
        <v>195.68640000000008</v>
      </c>
      <c r="CA183" s="13">
        <f t="shared" si="170"/>
        <v>48.794969360985156</v>
      </c>
      <c r="CB183" s="20">
        <f t="shared" si="171"/>
        <v>425.8050516370493</v>
      </c>
      <c r="CC183" s="59">
        <f t="shared" si="119"/>
        <v>719.13838497038262</v>
      </c>
      <c r="CD183" s="59">
        <f ca="1">AVERAGE(OFFSET($CC$3,0,0,'Données projet'!$E$12+1,1))-AVERAGE(OFFSET($H$3,0,0,'Données projet'!$E$12+1,1))</f>
        <v>304.32767345253382</v>
      </c>
      <c r="CE183" s="59">
        <f t="shared" si="148"/>
        <v>427.16091343339173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5.8529973854237527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5.8529973854237527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739.99999999999966</v>
      </c>
      <c r="CU183" s="17">
        <f>CT183*VLOOKUP('Données projet'!$B$13,Paramètres!$A$1:$I$89,3,0)*VLOOKUP('Données projet'!$B$13,Paramètres!$A$1:$I$89,5,0)</f>
        <v>413.65999999999985</v>
      </c>
      <c r="CV183" s="13">
        <f t="shared" si="173"/>
        <v>94.540585122244352</v>
      </c>
      <c r="CW183" s="20">
        <f t="shared" si="174"/>
        <v>885.11601908790863</v>
      </c>
      <c r="CX183" s="59">
        <f t="shared" si="122"/>
        <v>1178.4493524212419</v>
      </c>
      <c r="CY183" s="59">
        <f ca="1">AVERAGE(OFFSET($CX$3,0,0,'Données projet'!$E$13+1,1))-AVERAGE(OFFSET($H$3,0,0,'Données projet'!$E$13+1,1))</f>
        <v>555.15881087162279</v>
      </c>
      <c r="CZ183" s="59">
        <f t="shared" si="150"/>
        <v>668.20427590250733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11.46965487398413</v>
      </c>
      <c r="DG183" s="21">
        <f>EXP(-LN(2)/25)*DG182+(1-EXP(-LN(2)/25))/(LN(2)/25)*Calculateur!DB183*Calculateur!DD183*VLOOKUP('Données projet'!$B$13,Paramètres!$A$1:$I$89,3,0)*0.475*44/12</f>
        <v>0.90283834342985758</v>
      </c>
      <c r="DH183" s="21">
        <f>EXP(-LN(2)/2)*DH182+(1-EXP(-LN(2)/2))/(LN(2)/2)*DB183*DE183*VLOOKUP('Données projet'!$B$13,Paramètres!$A$1:$I$89,3,0)*0.475*44/12</f>
        <v>2.2512107272486904E-23</v>
      </c>
      <c r="DI183" s="22">
        <f t="shared" si="175"/>
        <v>12.372493217413988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911.99999999999898</v>
      </c>
      <c r="DP183" s="17">
        <f>DO183*VLOOKUP('Données projet'!$B$14,Paramètres!$A$1:$I$89,3,0)*VLOOKUP('Données projet'!$B$14,Paramètres!$A$1:$I$89,5,0)</f>
        <v>426.81599999999946</v>
      </c>
      <c r="DQ183" s="13">
        <f t="shared" si="176"/>
        <v>97.192496986872399</v>
      </c>
      <c r="DR183" s="20">
        <f t="shared" si="177"/>
        <v>912.64813225213504</v>
      </c>
      <c r="DS183" s="59">
        <f t="shared" si="125"/>
        <v>1205.9814655854684</v>
      </c>
      <c r="DT183" s="59">
        <f ca="1">AVERAGE(OFFSET($DS$3,0,0,'Données projet'!$E$14+1,1))-AVERAGE(OFFSET($H$3,0,0,'Données projet'!$E$14+1,1))</f>
        <v>523.79180230463714</v>
      </c>
      <c r="DU183" s="59">
        <f t="shared" si="152"/>
        <v>459.3547783500515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20.511995956556728</v>
      </c>
      <c r="EB183" s="21">
        <f>EXP(-LN(2)/25)*EB182+(1-EXP(-LN(2)/25))/(LN(2)/25)*Calculateur!DW183*Calculateur!DY183*VLOOKUP('Données projet'!$B$14,Paramètres!$A$1:$I$89,3,0)*0.475*44/12</f>
        <v>0.83501120853350674</v>
      </c>
      <c r="EC183" s="21">
        <f>EXP(-LN(2)/2)*EC182+(1-EXP(-LN(2)/2))/(LN(2)/2)*DW183*DZ183*VLOOKUP('Données projet'!$B$14,Paramètres!$A$1:$I$89,3,0)*0.475*44/12</f>
        <v>3.1558346160241207E-23</v>
      </c>
      <c r="ED183" s="22">
        <f t="shared" si="178"/>
        <v>21.347007165090236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367.99999999999972</v>
      </c>
      <c r="EK183" s="17">
        <f>EJ183*VLOOKUP('Données projet'!$B$15,Paramètres!$A$1:$I$89,3,0)*VLOOKUP('Données projet'!$B$15,Paramètres!$A$1:$I$89,5,0)</f>
        <v>355.92959999999977</v>
      </c>
      <c r="EL183" s="13">
        <f t="shared" si="179"/>
        <v>82.782281100458206</v>
      </c>
      <c r="EM183" s="20">
        <f t="shared" si="180"/>
        <v>764.08985958329765</v>
      </c>
      <c r="EN183" s="59">
        <f t="shared" si="128"/>
        <v>1057.423192916631</v>
      </c>
      <c r="EO183" s="59">
        <f ca="1">AVERAGE(OFFSET($EN$3,0,0,'Données projet'!$E$15+1,1))-AVERAGE(OFFSET($H$3,0,0,'Données projet'!$E$15+1,1))</f>
        <v>484.41278617935654</v>
      </c>
      <c r="EP183" s="59">
        <f t="shared" si="154"/>
        <v>467.97490540700738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8.3895663814678674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8.3895663814678674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367.99999999999972</v>
      </c>
      <c r="FF183" s="17">
        <f>FE183*VLOOKUP('Données projet'!$B$16,Paramètres!$A$1:$I$89,3,0)*VLOOKUP('Données projet'!$B$16,Paramètres!$A$1:$I$89,5,0)</f>
        <v>396.11519999999967</v>
      </c>
      <c r="FG183" s="13">
        <f t="shared" si="182"/>
        <v>90.988634849704994</v>
      </c>
      <c r="FH183" s="20">
        <f t="shared" si="183"/>
        <v>848.37251236323561</v>
      </c>
      <c r="FI183" s="59">
        <f t="shared" si="131"/>
        <v>1141.705845696569</v>
      </c>
      <c r="FJ183" s="59">
        <f ca="1">AVERAGE(OFFSET($FI$3,0,0,'Données projet'!$E$16+1,1))-AVERAGE(OFFSET($H$3,0,0,'Données projet'!$E$16+1,1))</f>
        <v>534.54020133239135</v>
      </c>
      <c r="FK183" s="59">
        <f t="shared" si="156"/>
        <v>515.48696069008815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9.3367754890529557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9.3367754890529557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248.99999999999994</v>
      </c>
      <c r="GA183" s="17">
        <f>FZ183*VLOOKUP('Données projet'!$B$17,Paramètres!$A$1:$I$89,3,0)*VLOOKUP('Données projet'!$B$17,Paramètres!$A$1:$I$89,5,0)</f>
        <v>236.94839999999994</v>
      </c>
      <c r="GB183" s="13">
        <f t="shared" si="185"/>
        <v>57.782475694292401</v>
      </c>
      <c r="GC183" s="20">
        <f t="shared" si="186"/>
        <v>513.32294183422573</v>
      </c>
      <c r="GD183" s="59">
        <f t="shared" si="134"/>
        <v>806.65627516755899</v>
      </c>
      <c r="GE183" s="59">
        <f ca="1">AVERAGE(OFFSET($GD$3,0,0,'Données projet'!$E$17+1,1))-AVERAGE(OFFSET($H$3,0,0,'Données projet'!$E$17+1,1))</f>
        <v>455.71329051283936</v>
      </c>
      <c r="GF183" s="59">
        <f t="shared" si="158"/>
        <v>479.3743231122258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21.685353252797604</v>
      </c>
      <c r="GM183" s="21">
        <f>EXP(-LN(2)/25)*GM182+(1-EXP(-LN(2)/25))/(LN(2)/25)*Calculateur!GH183*Calculateur!GJ183*VLOOKUP('Données projet'!$B$17,Paramètres!$A$1:$I$89,3,0)*0.475*44/12</f>
        <v>0</v>
      </c>
      <c r="GN183" s="21">
        <f>EXP(-LN(2)/2)*GN182+(1-EXP(-LN(2)/2))/(LN(2)/2)*GH183*GK183*VLOOKUP('Données projet'!$B$17,Paramètres!$A$1:$I$89,3,0)*0.475*44/12</f>
        <v>0</v>
      </c>
      <c r="GO183" s="21">
        <f t="shared" si="187"/>
        <v>21.685353252797604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367.99999999999972</v>
      </c>
      <c r="GV183" s="17">
        <f>GU183*VLOOKUP('Données projet'!$B$18,Paramètres!$A$1:$I$89,3,0)*VLOOKUP('Données projet'!$B$18,Paramètres!$A$1:$I$89,5,0)</f>
        <v>298.52159999999981</v>
      </c>
      <c r="GW183" s="13">
        <f t="shared" si="188"/>
        <v>70.866444995542437</v>
      </c>
      <c r="GX183" s="20">
        <f t="shared" si="189"/>
        <v>643.35084503390271</v>
      </c>
      <c r="GY183" s="59">
        <f t="shared" si="137"/>
        <v>936.68417836723597</v>
      </c>
      <c r="GZ183" s="59">
        <f ca="1">AVERAGE(OFFSET($GY$3,0,0,'Données projet'!$E$18+1,1))-AVERAGE(OFFSET($H$3,0,0,'Données projet'!$E$18+1,1))</f>
        <v>412.59676769258488</v>
      </c>
      <c r="HA183" s="59">
        <f t="shared" si="160"/>
        <v>399.90063795152133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7.0364105134891775</v>
      </c>
      <c r="HH183" s="21">
        <f>EXP(-LN(2)/25)*HH182+(1-EXP(-LN(2)/25))/(LN(2)/25)*Calculateur!HC183*Calculateur!HE183*VLOOKUP('Données projet'!$B$18,Paramètres!$A$1:$I$89,3,0)*0.475*44/12</f>
        <v>0</v>
      </c>
      <c r="HI183" s="21">
        <f>EXP(-LN(2)/2)*HI182+(1-EXP(-LN(2)/2))/(LN(2)/2)*HC183*HF183*VLOOKUP('Données projet'!$B$18,Paramètres!$A$1:$I$89,3,0)*0.475*44/12</f>
        <v>0</v>
      </c>
      <c r="HJ183" s="22">
        <f t="shared" si="190"/>
        <v>7.0364105134891775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306.99999999999994</v>
      </c>
      <c r="O184" s="13">
        <f>N184*VLOOKUP('Données projet'!$B$9,Paramètres!$A$1:$I$89,3,0)*VLOOKUP('Données projet'!$B$9,Paramètres!$A$1:$I$89,5,0)</f>
        <v>277.77359999999993</v>
      </c>
      <c r="P184" s="13">
        <f t="shared" si="141"/>
        <v>66.496288176842356</v>
      </c>
      <c r="Q184" s="20">
        <f t="shared" si="162"/>
        <v>599.60338857466706</v>
      </c>
      <c r="R184" s="59">
        <f t="shared" si="109"/>
        <v>892.93672190800044</v>
      </c>
      <c r="S184" s="59">
        <f ca="1">AVERAGE(OFFSET($R$3,0,0,'Données projet'!$E$9+1,1))-AVERAGE(OFFSET($H$3,0,0,'Données projet'!$E$9+1,1))</f>
        <v>439.19854273764042</v>
      </c>
      <c r="T184" s="59">
        <f t="shared" si="142"/>
        <v>278.21741231699929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27.087307458616969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27.087307458616969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306.99999999999994</v>
      </c>
      <c r="AJ184" s="13">
        <f>AI184*VLOOKUP('Données projet'!$B$10,Paramètres!$A$1:$I$89,3,0)*VLOOKUP('Données projet'!$B$10,Paramètres!$A$1:$I$89,5,0)</f>
        <v>311.298</v>
      </c>
      <c r="AK184" s="13">
        <f t="shared" si="164"/>
        <v>73.539838278528748</v>
      </c>
      <c r="AL184" s="20">
        <f t="shared" si="165"/>
        <v>670.25923500177089</v>
      </c>
      <c r="AM184" s="59">
        <f t="shared" si="113"/>
        <v>963.59256833510426</v>
      </c>
      <c r="AN184" s="59">
        <f ca="1">AVERAGE(OFFSET($AM$3,0,0,'Données projet'!$E$10+1,1))-AVERAGE(OFFSET($H$3,0,0,'Données projet'!$E$10+1,1))</f>
        <v>487.18832528146936</v>
      </c>
      <c r="AO184" s="59">
        <f t="shared" si="144"/>
        <v>306.61893266146666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30.356465255346613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30.356465255346613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369.00000000000023</v>
      </c>
      <c r="BE184" s="13">
        <f>BD184*VLOOKUP('Données projet'!$B$11,Paramètres!$A$1:$I$89,3,0)*VLOOKUP('Données projet'!$B$11,Paramètres!$A$1:$I$89,5,0)</f>
        <v>333.87120000000021</v>
      </c>
      <c r="BF184" s="13">
        <f t="shared" si="167"/>
        <v>78.23236011137638</v>
      </c>
      <c r="BG184" s="20">
        <f t="shared" si="168"/>
        <v>717.74703386064755</v>
      </c>
      <c r="BH184" s="59">
        <f t="shared" si="116"/>
        <v>1011.0803671939809</v>
      </c>
      <c r="BI184" s="59">
        <f ca="1">AVERAGE(OFFSET($BH$3,0,0,'Données projet'!$E$11+1,1))-AVERAGE(OFFSET($H$3,0,0,'Données projet'!$E$11+1,1))</f>
        <v>436.23918637269577</v>
      </c>
      <c r="BJ184" s="59">
        <f t="shared" si="146"/>
        <v>611.43967996341894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0.53136683251157968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0.53136683251157968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224.00000000000006</v>
      </c>
      <c r="BZ184" s="13">
        <f>BY184*VLOOKUP('Données projet'!$B$12,Paramètres!$A$1:$I$89,3,0)*VLOOKUP('Données projet'!$B$12,Paramètres!$A$1:$I$89,5,0)</f>
        <v>195.68640000000008</v>
      </c>
      <c r="CA184" s="13">
        <f t="shared" si="170"/>
        <v>48.794969360985156</v>
      </c>
      <c r="CB184" s="20">
        <f t="shared" si="171"/>
        <v>425.8050516370493</v>
      </c>
      <c r="CC184" s="59">
        <f t="shared" si="119"/>
        <v>719.13838497038262</v>
      </c>
      <c r="CD184" s="59">
        <f ca="1">AVERAGE(OFFSET($CC$3,0,0,'Données projet'!$E$12+1,1))-AVERAGE(OFFSET($H$3,0,0,'Données projet'!$E$12+1,1))</f>
        <v>304.32767345253382</v>
      </c>
      <c r="CE184" s="59">
        <f t="shared" si="148"/>
        <v>427.16091343339173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5.7382236766714918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5.7382236766714918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739.99999999999966</v>
      </c>
      <c r="CU184" s="17">
        <f>CT184*VLOOKUP('Données projet'!$B$13,Paramètres!$A$1:$I$89,3,0)*VLOOKUP('Données projet'!$B$13,Paramètres!$A$1:$I$89,5,0)</f>
        <v>413.65999999999985</v>
      </c>
      <c r="CV184" s="13">
        <f t="shared" si="173"/>
        <v>94.540585122244352</v>
      </c>
      <c r="CW184" s="20">
        <f t="shared" si="174"/>
        <v>885.11601908790863</v>
      </c>
      <c r="CX184" s="59">
        <f t="shared" si="122"/>
        <v>1178.4493524212419</v>
      </c>
      <c r="CY184" s="59">
        <f ca="1">AVERAGE(OFFSET($CX$3,0,0,'Données projet'!$E$13+1,1))-AVERAGE(OFFSET($H$3,0,0,'Données projet'!$E$13+1,1))</f>
        <v>555.15881087162279</v>
      </c>
      <c r="CZ184" s="59">
        <f t="shared" si="150"/>
        <v>668.20427590250733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11.244741937703996</v>
      </c>
      <c r="DG184" s="21">
        <f>EXP(-LN(2)/25)*DG183+(1-EXP(-LN(2)/25))/(LN(2)/25)*Calculateur!DB184*Calculateur!DD184*VLOOKUP('Données projet'!$B$13,Paramètres!$A$1:$I$89,3,0)*0.475*44/12</f>
        <v>0.87815018145056312</v>
      </c>
      <c r="DH184" s="21">
        <f>EXP(-LN(2)/2)*DH183+(1-EXP(-LN(2)/2))/(LN(2)/2)*DB184*DE184*VLOOKUP('Données projet'!$B$13,Paramètres!$A$1:$I$89,3,0)*0.475*44/12</f>
        <v>1.5918463711174482E-23</v>
      </c>
      <c r="DI184" s="22">
        <f t="shared" si="175"/>
        <v>12.122892119154558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911.99999999999898</v>
      </c>
      <c r="DP184" s="17">
        <f>DO184*VLOOKUP('Données projet'!$B$14,Paramètres!$A$1:$I$89,3,0)*VLOOKUP('Données projet'!$B$14,Paramètres!$A$1:$I$89,5,0)</f>
        <v>426.81599999999946</v>
      </c>
      <c r="DQ184" s="13">
        <f t="shared" si="176"/>
        <v>97.192496986872399</v>
      </c>
      <c r="DR184" s="20">
        <f t="shared" si="177"/>
        <v>912.64813225213504</v>
      </c>
      <c r="DS184" s="59">
        <f t="shared" si="125"/>
        <v>1205.9814655854684</v>
      </c>
      <c r="DT184" s="59">
        <f ca="1">AVERAGE(OFFSET($DS$3,0,0,'Données projet'!$E$14+1,1))-AVERAGE(OFFSET($H$3,0,0,'Données projet'!$E$14+1,1))</f>
        <v>523.79180230463714</v>
      </c>
      <c r="DU184" s="59">
        <f t="shared" si="152"/>
        <v>459.3547783500515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20.109768226930818</v>
      </c>
      <c r="EB184" s="21">
        <f>EXP(-LN(2)/25)*EB183+(1-EXP(-LN(2)/25))/(LN(2)/25)*Calculateur!DW184*Calculateur!DY184*VLOOKUP('Données projet'!$B$14,Paramètres!$A$1:$I$89,3,0)*0.475*44/12</f>
        <v>0.81217778312482702</v>
      </c>
      <c r="EC184" s="21">
        <f>EXP(-LN(2)/2)*EC183+(1-EXP(-LN(2)/2))/(LN(2)/2)*DW184*DZ184*VLOOKUP('Données projet'!$B$14,Paramètres!$A$1:$I$89,3,0)*0.475*44/12</f>
        <v>2.2315120572939002E-23</v>
      </c>
      <c r="ED184" s="22">
        <f t="shared" si="178"/>
        <v>20.921946010055645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367.99999999999972</v>
      </c>
      <c r="EK184" s="17">
        <f>EJ184*VLOOKUP('Données projet'!$B$15,Paramètres!$A$1:$I$89,3,0)*VLOOKUP('Données projet'!$B$15,Paramètres!$A$1:$I$89,5,0)</f>
        <v>355.92959999999977</v>
      </c>
      <c r="EL184" s="13">
        <f t="shared" si="179"/>
        <v>82.782281100458206</v>
      </c>
      <c r="EM184" s="20">
        <f t="shared" si="180"/>
        <v>764.08985958329765</v>
      </c>
      <c r="EN184" s="59">
        <f t="shared" si="128"/>
        <v>1057.423192916631</v>
      </c>
      <c r="EO184" s="59">
        <f ca="1">AVERAGE(OFFSET($EN$3,0,0,'Données projet'!$E$15+1,1))-AVERAGE(OFFSET($H$3,0,0,'Données projet'!$E$15+1,1))</f>
        <v>484.41278617935654</v>
      </c>
      <c r="EP184" s="59">
        <f t="shared" si="154"/>
        <v>467.97490540700738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8.2250521018575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8.2250521018575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367.99999999999972</v>
      </c>
      <c r="FF184" s="17">
        <f>FE184*VLOOKUP('Données projet'!$B$16,Paramètres!$A$1:$I$89,3,0)*VLOOKUP('Données projet'!$B$16,Paramètres!$A$1:$I$89,5,0)</f>
        <v>396.11519999999967</v>
      </c>
      <c r="FG184" s="13">
        <f t="shared" si="182"/>
        <v>90.988634849704994</v>
      </c>
      <c r="FH184" s="20">
        <f t="shared" si="183"/>
        <v>848.37251236323561</v>
      </c>
      <c r="FI184" s="59">
        <f t="shared" si="131"/>
        <v>1141.705845696569</v>
      </c>
      <c r="FJ184" s="59">
        <f ca="1">AVERAGE(OFFSET($FI$3,0,0,'Données projet'!$E$16+1,1))-AVERAGE(OFFSET($H$3,0,0,'Données projet'!$E$16+1,1))</f>
        <v>534.54020133239135</v>
      </c>
      <c r="FK184" s="59">
        <f t="shared" si="156"/>
        <v>515.48696069008815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9.153687016583353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9.153687016583353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248.99999999999994</v>
      </c>
      <c r="GA184" s="17">
        <f>FZ184*VLOOKUP('Données projet'!$B$17,Paramètres!$A$1:$I$89,3,0)*VLOOKUP('Données projet'!$B$17,Paramètres!$A$1:$I$89,5,0)</f>
        <v>236.94839999999994</v>
      </c>
      <c r="GB184" s="13">
        <f t="shared" si="185"/>
        <v>57.782475694292401</v>
      </c>
      <c r="GC184" s="20">
        <f t="shared" si="186"/>
        <v>513.32294183422573</v>
      </c>
      <c r="GD184" s="59">
        <f t="shared" si="134"/>
        <v>806.65627516755899</v>
      </c>
      <c r="GE184" s="59">
        <f ca="1">AVERAGE(OFFSET($GD$3,0,0,'Données projet'!$E$17+1,1))-AVERAGE(OFFSET($H$3,0,0,'Données projet'!$E$17+1,1))</f>
        <v>455.71329051283936</v>
      </c>
      <c r="GF184" s="59">
        <f t="shared" si="158"/>
        <v>479.3743231122258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21.260116702269695</v>
      </c>
      <c r="GM184" s="21">
        <f>EXP(-LN(2)/25)*GM183+(1-EXP(-LN(2)/25))/(LN(2)/25)*Calculateur!GH184*Calculateur!GJ184*VLOOKUP('Données projet'!$B$17,Paramètres!$A$1:$I$89,3,0)*0.475*44/12</f>
        <v>0</v>
      </c>
      <c r="GN184" s="21">
        <f>EXP(-LN(2)/2)*GN183+(1-EXP(-LN(2)/2))/(LN(2)/2)*GH184*GK184*VLOOKUP('Données projet'!$B$17,Paramètres!$A$1:$I$89,3,0)*0.475*44/12</f>
        <v>0</v>
      </c>
      <c r="GO184" s="21">
        <f t="shared" si="187"/>
        <v>21.260116702269695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367.99999999999972</v>
      </c>
      <c r="GV184" s="17">
        <f>GU184*VLOOKUP('Données projet'!$B$18,Paramètres!$A$1:$I$89,3,0)*VLOOKUP('Données projet'!$B$18,Paramètres!$A$1:$I$89,5,0)</f>
        <v>298.52159999999981</v>
      </c>
      <c r="GW184" s="13">
        <f t="shared" si="188"/>
        <v>70.866444995542437</v>
      </c>
      <c r="GX184" s="20">
        <f t="shared" si="189"/>
        <v>643.35084503390271</v>
      </c>
      <c r="GY184" s="59">
        <f t="shared" si="137"/>
        <v>936.68417836723597</v>
      </c>
      <c r="GZ184" s="59">
        <f ca="1">AVERAGE(OFFSET($GY$3,0,0,'Données projet'!$E$18+1,1))-AVERAGE(OFFSET($H$3,0,0,'Données projet'!$E$18+1,1))</f>
        <v>412.59676769258488</v>
      </c>
      <c r="HA184" s="59">
        <f t="shared" si="160"/>
        <v>399.90063795152133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6.8984307951062895</v>
      </c>
      <c r="HH184" s="21">
        <f>EXP(-LN(2)/25)*HH183+(1-EXP(-LN(2)/25))/(LN(2)/25)*Calculateur!HC184*Calculateur!HE184*VLOOKUP('Données projet'!$B$18,Paramètres!$A$1:$I$89,3,0)*0.475*44/12</f>
        <v>0</v>
      </c>
      <c r="HI184" s="21">
        <f>EXP(-LN(2)/2)*HI183+(1-EXP(-LN(2)/2))/(LN(2)/2)*HC184*HF184*VLOOKUP('Données projet'!$B$18,Paramètres!$A$1:$I$89,3,0)*0.475*44/12</f>
        <v>0</v>
      </c>
      <c r="HJ184" s="22">
        <f t="shared" si="190"/>
        <v>6.8984307951062895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306.99999999999994</v>
      </c>
      <c r="O185" s="13">
        <f>N185*VLOOKUP('Données projet'!$B$9,Paramètres!$A$1:$I$89,3,0)*VLOOKUP('Données projet'!$B$9,Paramètres!$A$1:$I$89,5,0)</f>
        <v>277.77359999999993</v>
      </c>
      <c r="P185" s="13">
        <f t="shared" si="141"/>
        <v>66.496288176842356</v>
      </c>
      <c r="Q185" s="20">
        <f t="shared" si="162"/>
        <v>599.60338857466706</v>
      </c>
      <c r="R185" s="59">
        <f t="shared" si="109"/>
        <v>892.93672190800044</v>
      </c>
      <c r="S185" s="59">
        <f ca="1">AVERAGE(OFFSET($R$3,0,0,'Données projet'!$E$9+1,1))-AVERAGE(OFFSET($H$3,0,0,'Données projet'!$E$9+1,1))</f>
        <v>439.19854273764042</v>
      </c>
      <c r="T185" s="59">
        <f t="shared" si="142"/>
        <v>278.21741231699929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26.556141880979666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26.556141880979666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306.99999999999994</v>
      </c>
      <c r="AJ185" s="13">
        <f>AI185*VLOOKUP('Données projet'!$B$10,Paramètres!$A$1:$I$89,3,0)*VLOOKUP('Données projet'!$B$10,Paramètres!$A$1:$I$89,5,0)</f>
        <v>311.298</v>
      </c>
      <c r="AK185" s="13">
        <f t="shared" si="164"/>
        <v>73.539838278528748</v>
      </c>
      <c r="AL185" s="20">
        <f t="shared" si="165"/>
        <v>670.25923500177089</v>
      </c>
      <c r="AM185" s="59">
        <f t="shared" si="113"/>
        <v>963.59256833510426</v>
      </c>
      <c r="AN185" s="59">
        <f ca="1">AVERAGE(OFFSET($AM$3,0,0,'Données projet'!$E$10+1,1))-AVERAGE(OFFSET($H$3,0,0,'Données projet'!$E$10+1,1))</f>
        <v>487.18832528146936</v>
      </c>
      <c r="AO185" s="59">
        <f t="shared" si="144"/>
        <v>306.61893266146666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29.761193487304805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29.761193487304805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369.00000000000023</v>
      </c>
      <c r="BE185" s="13">
        <f>BD185*VLOOKUP('Données projet'!$B$11,Paramètres!$A$1:$I$89,3,0)*VLOOKUP('Données projet'!$B$11,Paramètres!$A$1:$I$89,5,0)</f>
        <v>333.87120000000021</v>
      </c>
      <c r="BF185" s="13">
        <f t="shared" si="167"/>
        <v>78.23236011137638</v>
      </c>
      <c r="BG185" s="20">
        <f t="shared" si="168"/>
        <v>717.74703386064755</v>
      </c>
      <c r="BH185" s="59">
        <f t="shared" si="116"/>
        <v>1011.0803671939809</v>
      </c>
      <c r="BI185" s="59">
        <f ca="1">AVERAGE(OFFSET($BH$3,0,0,'Données projet'!$E$11+1,1))-AVERAGE(OFFSET($H$3,0,0,'Données projet'!$E$11+1,1))</f>
        <v>436.23918637269577</v>
      </c>
      <c r="BJ185" s="59">
        <f t="shared" si="146"/>
        <v>611.43967996341894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0.52094705302779309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0.52094705302779309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224.00000000000006</v>
      </c>
      <c r="BZ185" s="13">
        <f>BY185*VLOOKUP('Données projet'!$B$12,Paramètres!$A$1:$I$89,3,0)*VLOOKUP('Données projet'!$B$12,Paramètres!$A$1:$I$89,5,0)</f>
        <v>195.68640000000008</v>
      </c>
      <c r="CA185" s="13">
        <f t="shared" si="170"/>
        <v>48.794969360985156</v>
      </c>
      <c r="CB185" s="20">
        <f t="shared" si="171"/>
        <v>425.8050516370493</v>
      </c>
      <c r="CC185" s="59">
        <f t="shared" si="119"/>
        <v>719.13838497038262</v>
      </c>
      <c r="CD185" s="59">
        <f ca="1">AVERAGE(OFFSET($CC$3,0,0,'Données projet'!$E$12+1,1))-AVERAGE(OFFSET($H$3,0,0,'Données projet'!$E$12+1,1))</f>
        <v>304.32767345253382</v>
      </c>
      <c r="CE185" s="59">
        <f t="shared" si="148"/>
        <v>427.16091343339173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5.6257006103428129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5.6257006103428129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739.99999999999966</v>
      </c>
      <c r="CU185" s="17">
        <f>CT185*VLOOKUP('Données projet'!$B$13,Paramètres!$A$1:$I$89,3,0)*VLOOKUP('Données projet'!$B$13,Paramètres!$A$1:$I$89,5,0)</f>
        <v>413.65999999999985</v>
      </c>
      <c r="CV185" s="13">
        <f t="shared" si="173"/>
        <v>94.540585122244352</v>
      </c>
      <c r="CW185" s="20">
        <f t="shared" si="174"/>
        <v>885.11601908790863</v>
      </c>
      <c r="CX185" s="59">
        <f t="shared" si="122"/>
        <v>1178.4493524212419</v>
      </c>
      <c r="CY185" s="59">
        <f ca="1">AVERAGE(OFFSET($CX$3,0,0,'Données projet'!$E$13+1,1))-AVERAGE(OFFSET($H$3,0,0,'Données projet'!$E$13+1,1))</f>
        <v>555.15881087162279</v>
      </c>
      <c r="CZ185" s="59">
        <f t="shared" si="150"/>
        <v>668.20427590250733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11.024239406920969</v>
      </c>
      <c r="DG185" s="21">
        <f>EXP(-LN(2)/25)*DG184+(1-EXP(-LN(2)/25))/(LN(2)/25)*Calculateur!DB185*Calculateur!DD185*VLOOKUP('Données projet'!$B$13,Paramètres!$A$1:$I$89,3,0)*0.475*44/12</f>
        <v>0.85413711855888641</v>
      </c>
      <c r="DH185" s="21">
        <f>EXP(-LN(2)/2)*DH184+(1-EXP(-LN(2)/2))/(LN(2)/2)*DB185*DE185*VLOOKUP('Données projet'!$B$13,Paramètres!$A$1:$I$89,3,0)*0.475*44/12</f>
        <v>1.1256053636243452E-23</v>
      </c>
      <c r="DI185" s="22">
        <f t="shared" si="175"/>
        <v>11.878376525479856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911.99999999999898</v>
      </c>
      <c r="DP185" s="17">
        <f>DO185*VLOOKUP('Données projet'!$B$14,Paramètres!$A$1:$I$89,3,0)*VLOOKUP('Données projet'!$B$14,Paramètres!$A$1:$I$89,5,0)</f>
        <v>426.81599999999946</v>
      </c>
      <c r="DQ185" s="13">
        <f t="shared" si="176"/>
        <v>97.192496986872399</v>
      </c>
      <c r="DR185" s="20">
        <f t="shared" si="177"/>
        <v>912.64813225213504</v>
      </c>
      <c r="DS185" s="59">
        <f t="shared" si="125"/>
        <v>1205.9814655854684</v>
      </c>
      <c r="DT185" s="59">
        <f ca="1">AVERAGE(OFFSET($DS$3,0,0,'Données projet'!$E$14+1,1))-AVERAGE(OFFSET($H$3,0,0,'Données projet'!$E$14+1,1))</f>
        <v>523.79180230463714</v>
      </c>
      <c r="DU185" s="59">
        <f t="shared" si="152"/>
        <v>459.3547783500515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19.715427937748181</v>
      </c>
      <c r="EB185" s="21">
        <f>EXP(-LN(2)/25)*EB184+(1-EXP(-LN(2)/25))/(LN(2)/25)*Calculateur!DW185*Calculateur!DY185*VLOOKUP('Données projet'!$B$14,Paramètres!$A$1:$I$89,3,0)*0.475*44/12</f>
        <v>0.78996873893470532</v>
      </c>
      <c r="EC185" s="21">
        <f>EXP(-LN(2)/2)*EC184+(1-EXP(-LN(2)/2))/(LN(2)/2)*DW185*DZ185*VLOOKUP('Données projet'!$B$14,Paramètres!$A$1:$I$89,3,0)*0.475*44/12</f>
        <v>1.5779173080120604E-23</v>
      </c>
      <c r="ED185" s="22">
        <f t="shared" si="178"/>
        <v>20.505396676682885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367.99999999999972</v>
      </c>
      <c r="EK185" s="17">
        <f>EJ185*VLOOKUP('Données projet'!$B$15,Paramètres!$A$1:$I$89,3,0)*VLOOKUP('Données projet'!$B$15,Paramètres!$A$1:$I$89,5,0)</f>
        <v>355.92959999999977</v>
      </c>
      <c r="EL185" s="13">
        <f t="shared" si="179"/>
        <v>82.782281100458206</v>
      </c>
      <c r="EM185" s="20">
        <f t="shared" si="180"/>
        <v>764.08985958329765</v>
      </c>
      <c r="EN185" s="59">
        <f t="shared" si="128"/>
        <v>1057.423192916631</v>
      </c>
      <c r="EO185" s="59">
        <f ca="1">AVERAGE(OFFSET($EN$3,0,0,'Données projet'!$E$15+1,1))-AVERAGE(OFFSET($H$3,0,0,'Données projet'!$E$15+1,1))</f>
        <v>484.41278617935654</v>
      </c>
      <c r="EP185" s="59">
        <f t="shared" si="154"/>
        <v>467.97490540700738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8.0637638469264896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8.0637638469264896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367.99999999999972</v>
      </c>
      <c r="FF185" s="17">
        <f>FE185*VLOOKUP('Données projet'!$B$16,Paramètres!$A$1:$I$89,3,0)*VLOOKUP('Données projet'!$B$16,Paramètres!$A$1:$I$89,5,0)</f>
        <v>396.11519999999967</v>
      </c>
      <c r="FG185" s="13">
        <f t="shared" si="182"/>
        <v>90.988634849704994</v>
      </c>
      <c r="FH185" s="20">
        <f t="shared" si="183"/>
        <v>848.37251236323561</v>
      </c>
      <c r="FI185" s="59">
        <f t="shared" si="131"/>
        <v>1141.705845696569</v>
      </c>
      <c r="FJ185" s="59">
        <f ca="1">AVERAGE(OFFSET($FI$3,0,0,'Données projet'!$E$16+1,1))-AVERAGE(OFFSET($H$3,0,0,'Données projet'!$E$16+1,1))</f>
        <v>534.54020133239135</v>
      </c>
      <c r="FK185" s="59">
        <f t="shared" si="156"/>
        <v>515.48696069008815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8.9741887973859384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8.9741887973859384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248.99999999999994</v>
      </c>
      <c r="GA185" s="17">
        <f>FZ185*VLOOKUP('Données projet'!$B$17,Paramètres!$A$1:$I$89,3,0)*VLOOKUP('Données projet'!$B$17,Paramètres!$A$1:$I$89,5,0)</f>
        <v>236.94839999999994</v>
      </c>
      <c r="GB185" s="13">
        <f t="shared" si="185"/>
        <v>57.782475694292401</v>
      </c>
      <c r="GC185" s="20">
        <f t="shared" si="186"/>
        <v>513.32294183422573</v>
      </c>
      <c r="GD185" s="59">
        <f t="shared" si="134"/>
        <v>806.65627516755899</v>
      </c>
      <c r="GE185" s="59">
        <f ca="1">AVERAGE(OFFSET($GD$3,0,0,'Données projet'!$E$17+1,1))-AVERAGE(OFFSET($H$3,0,0,'Données projet'!$E$17+1,1))</f>
        <v>455.71329051283936</v>
      </c>
      <c r="GF185" s="59">
        <f t="shared" si="158"/>
        <v>479.3743231122258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20.84321878112895</v>
      </c>
      <c r="GM185" s="21">
        <f>EXP(-LN(2)/25)*GM184+(1-EXP(-LN(2)/25))/(LN(2)/25)*Calculateur!GH185*Calculateur!GJ185*VLOOKUP('Données projet'!$B$17,Paramètres!$A$1:$I$89,3,0)*0.475*44/12</f>
        <v>0</v>
      </c>
      <c r="GN185" s="21">
        <f>EXP(-LN(2)/2)*GN184+(1-EXP(-LN(2)/2))/(LN(2)/2)*GH185*GK185*VLOOKUP('Données projet'!$B$17,Paramètres!$A$1:$I$89,3,0)*0.475*44/12</f>
        <v>0</v>
      </c>
      <c r="GO185" s="21">
        <f t="shared" si="187"/>
        <v>20.84321878112895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367.99999999999972</v>
      </c>
      <c r="GV185" s="17">
        <f>GU185*VLOOKUP('Données projet'!$B$18,Paramètres!$A$1:$I$89,3,0)*VLOOKUP('Données projet'!$B$18,Paramètres!$A$1:$I$89,5,0)</f>
        <v>298.52159999999981</v>
      </c>
      <c r="GW185" s="13">
        <f t="shared" si="188"/>
        <v>70.866444995542437</v>
      </c>
      <c r="GX185" s="20">
        <f t="shared" si="189"/>
        <v>643.35084503390271</v>
      </c>
      <c r="GY185" s="59">
        <f t="shared" si="137"/>
        <v>936.68417836723597</v>
      </c>
      <c r="GZ185" s="59">
        <f ca="1">AVERAGE(OFFSET($GY$3,0,0,'Données projet'!$E$18+1,1))-AVERAGE(OFFSET($H$3,0,0,'Données projet'!$E$18+1,1))</f>
        <v>412.59676769258488</v>
      </c>
      <c r="HA185" s="59">
        <f t="shared" si="160"/>
        <v>399.90063795152133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6.7631567748415717</v>
      </c>
      <c r="HH185" s="21">
        <f>EXP(-LN(2)/25)*HH184+(1-EXP(-LN(2)/25))/(LN(2)/25)*Calculateur!HC185*Calculateur!HE185*VLOOKUP('Données projet'!$B$18,Paramètres!$A$1:$I$89,3,0)*0.475*44/12</f>
        <v>0</v>
      </c>
      <c r="HI185" s="21">
        <f>EXP(-LN(2)/2)*HI184+(1-EXP(-LN(2)/2))/(LN(2)/2)*HC185*HF185*VLOOKUP('Données projet'!$B$18,Paramètres!$A$1:$I$89,3,0)*0.475*44/12</f>
        <v>0</v>
      </c>
      <c r="HJ185" s="22">
        <f t="shared" si="190"/>
        <v>6.7631567748415717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306.99999999999994</v>
      </c>
      <c r="O186" s="13">
        <f>N186*VLOOKUP('Données projet'!$B$9,Paramètres!$A$1:$I$89,3,0)*VLOOKUP('Données projet'!$B$9,Paramètres!$A$1:$I$89,5,0)</f>
        <v>277.77359999999993</v>
      </c>
      <c r="P186" s="13">
        <f t="shared" si="141"/>
        <v>66.496288176842356</v>
      </c>
      <c r="Q186" s="20">
        <f t="shared" si="162"/>
        <v>599.60338857466706</v>
      </c>
      <c r="R186" s="59">
        <f t="shared" si="109"/>
        <v>892.93672190800044</v>
      </c>
      <c r="S186" s="59">
        <f ca="1">AVERAGE(OFFSET($R$3,0,0,'Données projet'!$E$9+1,1))-AVERAGE(OFFSET($H$3,0,0,'Données projet'!$E$9+1,1))</f>
        <v>439.19854273764042</v>
      </c>
      <c r="T186" s="59">
        <f t="shared" si="142"/>
        <v>278.21741231699929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26.035392136340818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26.035392136340818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306.99999999999994</v>
      </c>
      <c r="AJ186" s="13">
        <f>AI186*VLOOKUP('Données projet'!$B$10,Paramètres!$A$1:$I$89,3,0)*VLOOKUP('Données projet'!$B$10,Paramètres!$A$1:$I$89,5,0)</f>
        <v>311.298</v>
      </c>
      <c r="AK186" s="13">
        <f t="shared" si="164"/>
        <v>73.539838278528748</v>
      </c>
      <c r="AL186" s="20">
        <f t="shared" si="165"/>
        <v>670.25923500177089</v>
      </c>
      <c r="AM186" s="59">
        <f t="shared" si="113"/>
        <v>963.59256833510426</v>
      </c>
      <c r="AN186" s="59">
        <f ca="1">AVERAGE(OFFSET($AM$3,0,0,'Données projet'!$E$10+1,1))-AVERAGE(OFFSET($H$3,0,0,'Données projet'!$E$10+1,1))</f>
        <v>487.18832528146936</v>
      </c>
      <c r="AO186" s="59">
        <f t="shared" si="144"/>
        <v>306.61893266146666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29.177594635554371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29.177594635554371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369.00000000000023</v>
      </c>
      <c r="BE186" s="13">
        <f>BD186*VLOOKUP('Données projet'!$B$11,Paramètres!$A$1:$I$89,3,0)*VLOOKUP('Données projet'!$B$11,Paramètres!$A$1:$I$89,5,0)</f>
        <v>333.87120000000021</v>
      </c>
      <c r="BF186" s="13">
        <f t="shared" si="167"/>
        <v>78.23236011137638</v>
      </c>
      <c r="BG186" s="20">
        <f t="shared" si="168"/>
        <v>717.74703386064755</v>
      </c>
      <c r="BH186" s="59">
        <f t="shared" si="116"/>
        <v>1011.0803671939809</v>
      </c>
      <c r="BI186" s="59">
        <f ca="1">AVERAGE(OFFSET($BH$3,0,0,'Données projet'!$E$11+1,1))-AVERAGE(OFFSET($H$3,0,0,'Données projet'!$E$11+1,1))</f>
        <v>436.23918637269577</v>
      </c>
      <c r="BJ186" s="59">
        <f t="shared" si="146"/>
        <v>611.43967996341894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0.51073159906424559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0.51073159906424559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224.00000000000006</v>
      </c>
      <c r="BZ186" s="13">
        <f>BY186*VLOOKUP('Données projet'!$B$12,Paramètres!$A$1:$I$89,3,0)*VLOOKUP('Données projet'!$B$12,Paramètres!$A$1:$I$89,5,0)</f>
        <v>195.68640000000008</v>
      </c>
      <c r="CA186" s="13">
        <f t="shared" si="170"/>
        <v>48.794969360985156</v>
      </c>
      <c r="CB186" s="20">
        <f t="shared" si="171"/>
        <v>425.8050516370493</v>
      </c>
      <c r="CC186" s="59">
        <f t="shared" si="119"/>
        <v>719.13838497038262</v>
      </c>
      <c r="CD186" s="59">
        <f ca="1">AVERAGE(OFFSET($CC$3,0,0,'Données projet'!$E$12+1,1))-AVERAGE(OFFSET($H$3,0,0,'Données projet'!$E$12+1,1))</f>
        <v>304.32767345253382</v>
      </c>
      <c r="CE186" s="59">
        <f t="shared" si="148"/>
        <v>427.16091343339173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5.5153840527125464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5.5153840527125464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739.99999999999966</v>
      </c>
      <c r="CU186" s="17">
        <f>CT186*VLOOKUP('Données projet'!$B$13,Paramètres!$A$1:$I$89,3,0)*VLOOKUP('Données projet'!$B$13,Paramètres!$A$1:$I$89,5,0)</f>
        <v>413.65999999999985</v>
      </c>
      <c r="CV186" s="13">
        <f t="shared" si="173"/>
        <v>94.540585122244352</v>
      </c>
      <c r="CW186" s="20">
        <f t="shared" si="174"/>
        <v>885.11601908790863</v>
      </c>
      <c r="CX186" s="59">
        <f t="shared" si="122"/>
        <v>1178.4493524212419</v>
      </c>
      <c r="CY186" s="59">
        <f ca="1">AVERAGE(OFFSET($CX$3,0,0,'Données projet'!$E$13+1,1))-AVERAGE(OFFSET($H$3,0,0,'Données projet'!$E$13+1,1))</f>
        <v>555.15881087162279</v>
      </c>
      <c r="CZ186" s="59">
        <f t="shared" si="150"/>
        <v>668.20427590250733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10.808060796273336</v>
      </c>
      <c r="DG186" s="21">
        <f>EXP(-LN(2)/25)*DG185+(1-EXP(-LN(2)/25))/(LN(2)/25)*Calculateur!DB186*Calculateur!DD186*VLOOKUP('Données projet'!$B$13,Paramètres!$A$1:$I$89,3,0)*0.475*44/12</f>
        <v>0.83078069413477473</v>
      </c>
      <c r="DH186" s="21">
        <f>EXP(-LN(2)/2)*DH185+(1-EXP(-LN(2)/2))/(LN(2)/2)*DB186*DE186*VLOOKUP('Données projet'!$B$13,Paramètres!$A$1:$I$89,3,0)*0.475*44/12</f>
        <v>7.9592318555872412E-24</v>
      </c>
      <c r="DI186" s="22">
        <f t="shared" si="175"/>
        <v>11.638841490408112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911.99999999999898</v>
      </c>
      <c r="DP186" s="17">
        <f>DO186*VLOOKUP('Données projet'!$B$14,Paramètres!$A$1:$I$89,3,0)*VLOOKUP('Données projet'!$B$14,Paramètres!$A$1:$I$89,5,0)</f>
        <v>426.81599999999946</v>
      </c>
      <c r="DQ186" s="13">
        <f t="shared" si="176"/>
        <v>97.192496986872399</v>
      </c>
      <c r="DR186" s="20">
        <f t="shared" si="177"/>
        <v>912.64813225213504</v>
      </c>
      <c r="DS186" s="59">
        <f t="shared" si="125"/>
        <v>1205.9814655854684</v>
      </c>
      <c r="DT186" s="59">
        <f ca="1">AVERAGE(OFFSET($DS$3,0,0,'Données projet'!$E$14+1,1))-AVERAGE(OFFSET($H$3,0,0,'Données projet'!$E$14+1,1))</f>
        <v>523.79180230463714</v>
      </c>
      <c r="DU186" s="59">
        <f t="shared" si="152"/>
        <v>459.3547783500515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19.328820421112589</v>
      </c>
      <c r="EB186" s="21">
        <f>EXP(-LN(2)/25)*EB185+(1-EXP(-LN(2)/25))/(LN(2)/25)*Calculateur!DW186*Calculateur!DY186*VLOOKUP('Données projet'!$B$14,Paramètres!$A$1:$I$89,3,0)*0.475*44/12</f>
        <v>0.76836700222588528</v>
      </c>
      <c r="EC186" s="21">
        <f>EXP(-LN(2)/2)*EC185+(1-EXP(-LN(2)/2))/(LN(2)/2)*DW186*DZ186*VLOOKUP('Données projet'!$B$14,Paramètres!$A$1:$I$89,3,0)*0.475*44/12</f>
        <v>1.1157560286469501E-23</v>
      </c>
      <c r="ED186" s="22">
        <f t="shared" si="178"/>
        <v>20.097187423338475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367.99999999999972</v>
      </c>
      <c r="EK186" s="17">
        <f>EJ186*VLOOKUP('Données projet'!$B$15,Paramètres!$A$1:$I$89,3,0)*VLOOKUP('Données projet'!$B$15,Paramètres!$A$1:$I$89,5,0)</f>
        <v>355.92959999999977</v>
      </c>
      <c r="EL186" s="13">
        <f t="shared" si="179"/>
        <v>82.782281100458206</v>
      </c>
      <c r="EM186" s="20">
        <f t="shared" si="180"/>
        <v>764.08985958329765</v>
      </c>
      <c r="EN186" s="59">
        <f t="shared" si="128"/>
        <v>1057.423192916631</v>
      </c>
      <c r="EO186" s="59">
        <f ca="1">AVERAGE(OFFSET($EN$3,0,0,'Données projet'!$E$15+1,1))-AVERAGE(OFFSET($H$3,0,0,'Données projet'!$E$15+1,1))</f>
        <v>484.41278617935654</v>
      </c>
      <c r="EP186" s="59">
        <f t="shared" si="154"/>
        <v>467.97490540700738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7.9056383562985548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7.9056383562985548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367.99999999999972</v>
      </c>
      <c r="FF186" s="17">
        <f>FE186*VLOOKUP('Données projet'!$B$16,Paramètres!$A$1:$I$89,3,0)*VLOOKUP('Données projet'!$B$16,Paramètres!$A$1:$I$89,5,0)</f>
        <v>396.11519999999967</v>
      </c>
      <c r="FG186" s="13">
        <f t="shared" si="182"/>
        <v>90.988634849704994</v>
      </c>
      <c r="FH186" s="20">
        <f t="shared" si="183"/>
        <v>848.37251236323561</v>
      </c>
      <c r="FI186" s="59">
        <f t="shared" si="131"/>
        <v>1141.705845696569</v>
      </c>
      <c r="FJ186" s="59">
        <f ca="1">AVERAGE(OFFSET($FI$3,0,0,'Données projet'!$E$16+1,1))-AVERAGE(OFFSET($H$3,0,0,'Données projet'!$E$16+1,1))</f>
        <v>534.54020133239135</v>
      </c>
      <c r="FK186" s="59">
        <f t="shared" si="156"/>
        <v>515.48696069008815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8.7982104287838823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8.7982104287838823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248.99999999999994</v>
      </c>
      <c r="GA186" s="17">
        <f>FZ186*VLOOKUP('Données projet'!$B$17,Paramètres!$A$1:$I$89,3,0)*VLOOKUP('Données projet'!$B$17,Paramètres!$A$1:$I$89,5,0)</f>
        <v>236.94839999999994</v>
      </c>
      <c r="GB186" s="13">
        <f t="shared" si="185"/>
        <v>57.782475694292401</v>
      </c>
      <c r="GC186" s="20">
        <f t="shared" si="186"/>
        <v>513.32294183422573</v>
      </c>
      <c r="GD186" s="59">
        <f t="shared" si="134"/>
        <v>806.65627516755899</v>
      </c>
      <c r="GE186" s="59">
        <f ca="1">AVERAGE(OFFSET($GD$3,0,0,'Données projet'!$E$17+1,1))-AVERAGE(OFFSET($H$3,0,0,'Données projet'!$E$17+1,1))</f>
        <v>455.71329051283936</v>
      </c>
      <c r="GF186" s="59">
        <f t="shared" si="158"/>
        <v>479.3743231122258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20.434495973939153</v>
      </c>
      <c r="GM186" s="21">
        <f>EXP(-LN(2)/25)*GM185+(1-EXP(-LN(2)/25))/(LN(2)/25)*Calculateur!GH186*Calculateur!GJ186*VLOOKUP('Données projet'!$B$17,Paramètres!$A$1:$I$89,3,0)*0.475*44/12</f>
        <v>0</v>
      </c>
      <c r="GN186" s="21">
        <f>EXP(-LN(2)/2)*GN185+(1-EXP(-LN(2)/2))/(LN(2)/2)*GH186*GK186*VLOOKUP('Données projet'!$B$17,Paramètres!$A$1:$I$89,3,0)*0.475*44/12</f>
        <v>0</v>
      </c>
      <c r="GO186" s="21">
        <f t="shared" si="187"/>
        <v>20.434495973939153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367.99999999999972</v>
      </c>
      <c r="GV186" s="17">
        <f>GU186*VLOOKUP('Données projet'!$B$18,Paramètres!$A$1:$I$89,3,0)*VLOOKUP('Données projet'!$B$18,Paramètres!$A$1:$I$89,5,0)</f>
        <v>298.52159999999981</v>
      </c>
      <c r="GW186" s="13">
        <f t="shared" si="188"/>
        <v>70.866444995542437</v>
      </c>
      <c r="GX186" s="20">
        <f t="shared" si="189"/>
        <v>643.35084503390271</v>
      </c>
      <c r="GY186" s="59">
        <f t="shared" si="137"/>
        <v>936.68417836723597</v>
      </c>
      <c r="GZ186" s="59">
        <f ca="1">AVERAGE(OFFSET($GY$3,0,0,'Données projet'!$E$18+1,1))-AVERAGE(OFFSET($H$3,0,0,'Données projet'!$E$18+1,1))</f>
        <v>412.59676769258488</v>
      </c>
      <c r="HA186" s="59">
        <f t="shared" si="160"/>
        <v>399.90063795152133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6.6305353956052393</v>
      </c>
      <c r="HH186" s="21">
        <f>EXP(-LN(2)/25)*HH185+(1-EXP(-LN(2)/25))/(LN(2)/25)*Calculateur!HC186*Calculateur!HE186*VLOOKUP('Données projet'!$B$18,Paramètres!$A$1:$I$89,3,0)*0.475*44/12</f>
        <v>0</v>
      </c>
      <c r="HI186" s="21">
        <f>EXP(-LN(2)/2)*HI185+(1-EXP(-LN(2)/2))/(LN(2)/2)*HC186*HF186*VLOOKUP('Données projet'!$B$18,Paramètres!$A$1:$I$89,3,0)*0.475*44/12</f>
        <v>0</v>
      </c>
      <c r="HJ186" s="22">
        <f t="shared" si="190"/>
        <v>6.6305353956052393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306.99999999999994</v>
      </c>
      <c r="O187" s="13">
        <f>N187*VLOOKUP('Données projet'!$B$9,Paramètres!$A$1:$I$89,3,0)*VLOOKUP('Données projet'!$B$9,Paramètres!$A$1:$I$89,5,0)</f>
        <v>277.77359999999993</v>
      </c>
      <c r="P187" s="13">
        <f t="shared" si="141"/>
        <v>66.496288176842356</v>
      </c>
      <c r="Q187" s="20">
        <f t="shared" si="162"/>
        <v>599.60338857466706</v>
      </c>
      <c r="R187" s="59">
        <f t="shared" si="109"/>
        <v>892.93672190800044</v>
      </c>
      <c r="S187" s="59">
        <f ca="1">AVERAGE(OFFSET($R$3,0,0,'Données projet'!$E$9+1,1))-AVERAGE(OFFSET($H$3,0,0,'Données projet'!$E$9+1,1))</f>
        <v>439.19854273764042</v>
      </c>
      <c r="T187" s="59">
        <f t="shared" si="142"/>
        <v>278.21741231699929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25.524853976568355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25.524853976568355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306.99999999999994</v>
      </c>
      <c r="AJ187" s="13">
        <f>AI187*VLOOKUP('Données projet'!$B$10,Paramètres!$A$1:$I$89,3,0)*VLOOKUP('Données projet'!$B$10,Paramètres!$A$1:$I$89,5,0)</f>
        <v>311.298</v>
      </c>
      <c r="AK187" s="13">
        <f t="shared" si="164"/>
        <v>73.539838278528748</v>
      </c>
      <c r="AL187" s="20">
        <f t="shared" si="165"/>
        <v>670.25923500177089</v>
      </c>
      <c r="AM187" s="59">
        <f t="shared" si="113"/>
        <v>963.59256833510426</v>
      </c>
      <c r="AN187" s="59">
        <f ca="1">AVERAGE(OFFSET($AM$3,0,0,'Données projet'!$E$10+1,1))-AVERAGE(OFFSET($H$3,0,0,'Données projet'!$E$10+1,1))</f>
        <v>487.18832528146936</v>
      </c>
      <c r="AO187" s="59">
        <f t="shared" si="144"/>
        <v>306.61893266146666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28.605439801326611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28.605439801326611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369.00000000000023</v>
      </c>
      <c r="BE187" s="13">
        <f>BD187*VLOOKUP('Données projet'!$B$11,Paramètres!$A$1:$I$89,3,0)*VLOOKUP('Données projet'!$B$11,Paramètres!$A$1:$I$89,5,0)</f>
        <v>333.87120000000021</v>
      </c>
      <c r="BF187" s="13">
        <f t="shared" si="167"/>
        <v>78.23236011137638</v>
      </c>
      <c r="BG187" s="20">
        <f t="shared" si="168"/>
        <v>717.74703386064755</v>
      </c>
      <c r="BH187" s="59">
        <f t="shared" si="116"/>
        <v>1011.0803671939809</v>
      </c>
      <c r="BI187" s="59">
        <f ca="1">AVERAGE(OFFSET($BH$3,0,0,'Données projet'!$E$11+1,1))-AVERAGE(OFFSET($H$3,0,0,'Données projet'!$E$11+1,1))</f>
        <v>436.23918637269577</v>
      </c>
      <c r="BJ187" s="59">
        <f t="shared" si="146"/>
        <v>611.43967996341894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0.50071646392211155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0.50071646392211155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224.00000000000006</v>
      </c>
      <c r="BZ187" s="13">
        <f>BY187*VLOOKUP('Données projet'!$B$12,Paramètres!$A$1:$I$89,3,0)*VLOOKUP('Données projet'!$B$12,Paramètres!$A$1:$I$89,5,0)</f>
        <v>195.68640000000008</v>
      </c>
      <c r="CA187" s="13">
        <f t="shared" si="170"/>
        <v>48.794969360985156</v>
      </c>
      <c r="CB187" s="20">
        <f t="shared" si="171"/>
        <v>425.8050516370493</v>
      </c>
      <c r="CC187" s="59">
        <f t="shared" si="119"/>
        <v>719.13838497038262</v>
      </c>
      <c r="CD187" s="59">
        <f ca="1">AVERAGE(OFFSET($CC$3,0,0,'Données projet'!$E$12+1,1))-AVERAGE(OFFSET($H$3,0,0,'Données projet'!$E$12+1,1))</f>
        <v>304.32767345253382</v>
      </c>
      <c r="CE187" s="59">
        <f t="shared" si="148"/>
        <v>427.16091343339173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5.4072307354909528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5.4072307354909528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739.99999999999966</v>
      </c>
      <c r="CU187" s="17">
        <f>CT187*VLOOKUP('Données projet'!$B$13,Paramètres!$A$1:$I$89,3,0)*VLOOKUP('Données projet'!$B$13,Paramètres!$A$1:$I$89,5,0)</f>
        <v>413.65999999999985</v>
      </c>
      <c r="CV187" s="13">
        <f t="shared" si="173"/>
        <v>94.540585122244352</v>
      </c>
      <c r="CW187" s="20">
        <f t="shared" si="174"/>
        <v>885.11601908790863</v>
      </c>
      <c r="CX187" s="59">
        <f t="shared" si="122"/>
        <v>1178.4493524212419</v>
      </c>
      <c r="CY187" s="59">
        <f ca="1">AVERAGE(OFFSET($CX$3,0,0,'Données projet'!$E$13+1,1))-AVERAGE(OFFSET($H$3,0,0,'Données projet'!$E$13+1,1))</f>
        <v>555.15881087162279</v>
      </c>
      <c r="CZ187" s="59">
        <f t="shared" si="150"/>
        <v>668.20427590250733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10.59612131632457</v>
      </c>
      <c r="DG187" s="21">
        <f>EXP(-LN(2)/25)*DG186+(1-EXP(-LN(2)/25))/(LN(2)/25)*Calculateur!DB187*Calculateur!DD187*VLOOKUP('Données projet'!$B$13,Paramètres!$A$1:$I$89,3,0)*0.475*44/12</f>
        <v>0.80806295236480141</v>
      </c>
      <c r="DH187" s="21">
        <f>EXP(-LN(2)/2)*DH186+(1-EXP(-LN(2)/2))/(LN(2)/2)*DB187*DE187*VLOOKUP('Données projet'!$B$13,Paramètres!$A$1:$I$89,3,0)*0.475*44/12</f>
        <v>5.6280268181217261E-24</v>
      </c>
      <c r="DI187" s="22">
        <f t="shared" si="175"/>
        <v>11.404184268689372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911.99999999999898</v>
      </c>
      <c r="DP187" s="17">
        <f>DO187*VLOOKUP('Données projet'!$B$14,Paramètres!$A$1:$I$89,3,0)*VLOOKUP('Données projet'!$B$14,Paramètres!$A$1:$I$89,5,0)</f>
        <v>426.81599999999946</v>
      </c>
      <c r="DQ187" s="13">
        <f t="shared" si="176"/>
        <v>97.192496986872399</v>
      </c>
      <c r="DR187" s="20">
        <f t="shared" si="177"/>
        <v>912.64813225213504</v>
      </c>
      <c r="DS187" s="59">
        <f t="shared" si="125"/>
        <v>1205.9814655854684</v>
      </c>
      <c r="DT187" s="59">
        <f ca="1">AVERAGE(OFFSET($DS$3,0,0,'Données projet'!$E$14+1,1))-AVERAGE(OFFSET($H$3,0,0,'Données projet'!$E$14+1,1))</f>
        <v>523.79180230463714</v>
      </c>
      <c r="DU187" s="59">
        <f t="shared" si="152"/>
        <v>459.3547783500515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18.94979404207092</v>
      </c>
      <c r="EB187" s="21">
        <f>EXP(-LN(2)/25)*EB186+(1-EXP(-LN(2)/25))/(LN(2)/25)*Calculateur!DW187*Calculateur!DY187*VLOOKUP('Données projet'!$B$14,Paramètres!$A$1:$I$89,3,0)*0.475*44/12</f>
        <v>0.74735596614335398</v>
      </c>
      <c r="EC187" s="21">
        <f>EXP(-LN(2)/2)*EC186+(1-EXP(-LN(2)/2))/(LN(2)/2)*DW187*DZ187*VLOOKUP('Données projet'!$B$14,Paramètres!$A$1:$I$89,3,0)*0.475*44/12</f>
        <v>7.8895865400603018E-24</v>
      </c>
      <c r="ED187" s="22">
        <f t="shared" si="178"/>
        <v>19.697150008214273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367.99999999999972</v>
      </c>
      <c r="EK187" s="17">
        <f>EJ187*VLOOKUP('Données projet'!$B$15,Paramètres!$A$1:$I$89,3,0)*VLOOKUP('Données projet'!$B$15,Paramètres!$A$1:$I$89,5,0)</f>
        <v>355.92959999999977</v>
      </c>
      <c r="EL187" s="13">
        <f t="shared" si="179"/>
        <v>82.782281100458206</v>
      </c>
      <c r="EM187" s="20">
        <f t="shared" si="180"/>
        <v>764.08985958329765</v>
      </c>
      <c r="EN187" s="59">
        <f t="shared" si="128"/>
        <v>1057.423192916631</v>
      </c>
      <c r="EO187" s="59">
        <f ca="1">AVERAGE(OFFSET($EN$3,0,0,'Données projet'!$E$15+1,1))-AVERAGE(OFFSET($H$3,0,0,'Données projet'!$E$15+1,1))</f>
        <v>484.41278617935654</v>
      </c>
      <c r="EP187" s="59">
        <f t="shared" si="154"/>
        <v>467.97490540700738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7.750613610094808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7.750613610094808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367.99999999999972</v>
      </c>
      <c r="FF187" s="17">
        <f>FE187*VLOOKUP('Données projet'!$B$16,Paramètres!$A$1:$I$89,3,0)*VLOOKUP('Données projet'!$B$16,Paramètres!$A$1:$I$89,5,0)</f>
        <v>396.11519999999967</v>
      </c>
      <c r="FG187" s="13">
        <f t="shared" si="182"/>
        <v>90.988634849704994</v>
      </c>
      <c r="FH187" s="20">
        <f t="shared" si="183"/>
        <v>848.37251236323561</v>
      </c>
      <c r="FI187" s="59">
        <f t="shared" si="131"/>
        <v>1141.705845696569</v>
      </c>
      <c r="FJ187" s="59">
        <f ca="1">AVERAGE(OFFSET($FI$3,0,0,'Données projet'!$E$16+1,1))-AVERAGE(OFFSET($H$3,0,0,'Données projet'!$E$16+1,1))</f>
        <v>534.54020133239135</v>
      </c>
      <c r="FK187" s="59">
        <f t="shared" si="156"/>
        <v>515.48696069008815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8.6256828886539054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8.6256828886539054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248.99999999999994</v>
      </c>
      <c r="GA187" s="17">
        <f>FZ187*VLOOKUP('Données projet'!$B$17,Paramètres!$A$1:$I$89,3,0)*VLOOKUP('Données projet'!$B$17,Paramètres!$A$1:$I$89,5,0)</f>
        <v>236.94839999999994</v>
      </c>
      <c r="GB187" s="13">
        <f t="shared" si="185"/>
        <v>57.782475694292401</v>
      </c>
      <c r="GC187" s="20">
        <f t="shared" si="186"/>
        <v>513.32294183422573</v>
      </c>
      <c r="GD187" s="59">
        <f t="shared" si="134"/>
        <v>806.65627516755899</v>
      </c>
      <c r="GE187" s="59">
        <f ca="1">AVERAGE(OFFSET($GD$3,0,0,'Données projet'!$E$17+1,1))-AVERAGE(OFFSET($H$3,0,0,'Données projet'!$E$17+1,1))</f>
        <v>455.71329051283936</v>
      </c>
      <c r="GF187" s="59">
        <f t="shared" si="158"/>
        <v>479.3743231122258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20.033787971702051</v>
      </c>
      <c r="GM187" s="21">
        <f>EXP(-LN(2)/25)*GM186+(1-EXP(-LN(2)/25))/(LN(2)/25)*Calculateur!GH187*Calculateur!GJ187*VLOOKUP('Données projet'!$B$17,Paramètres!$A$1:$I$89,3,0)*0.475*44/12</f>
        <v>0</v>
      </c>
      <c r="GN187" s="21">
        <f>EXP(-LN(2)/2)*GN186+(1-EXP(-LN(2)/2))/(LN(2)/2)*GH187*GK187*VLOOKUP('Données projet'!$B$17,Paramètres!$A$1:$I$89,3,0)*0.475*44/12</f>
        <v>0</v>
      </c>
      <c r="GO187" s="21">
        <f t="shared" si="187"/>
        <v>20.033787971702051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367.99999999999972</v>
      </c>
      <c r="GV187" s="17">
        <f>GU187*VLOOKUP('Données projet'!$B$18,Paramètres!$A$1:$I$89,3,0)*VLOOKUP('Données projet'!$B$18,Paramètres!$A$1:$I$89,5,0)</f>
        <v>298.52159999999981</v>
      </c>
      <c r="GW187" s="13">
        <f t="shared" si="188"/>
        <v>70.866444995542437</v>
      </c>
      <c r="GX187" s="20">
        <f t="shared" si="189"/>
        <v>643.35084503390271</v>
      </c>
      <c r="GY187" s="59">
        <f t="shared" si="137"/>
        <v>936.68417836723597</v>
      </c>
      <c r="GZ187" s="59">
        <f ca="1">AVERAGE(OFFSET($GY$3,0,0,'Données projet'!$E$18+1,1))-AVERAGE(OFFSET($H$3,0,0,'Données projet'!$E$18+1,1))</f>
        <v>412.59676769258488</v>
      </c>
      <c r="HA187" s="59">
        <f t="shared" si="160"/>
        <v>399.90063795152133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6.5005146407246777</v>
      </c>
      <c r="HH187" s="21">
        <f>EXP(-LN(2)/25)*HH186+(1-EXP(-LN(2)/25))/(LN(2)/25)*Calculateur!HC187*Calculateur!HE187*VLOOKUP('Données projet'!$B$18,Paramètres!$A$1:$I$89,3,0)*0.475*44/12</f>
        <v>0</v>
      </c>
      <c r="HI187" s="21">
        <f>EXP(-LN(2)/2)*HI186+(1-EXP(-LN(2)/2))/(LN(2)/2)*HC187*HF187*VLOOKUP('Données projet'!$B$18,Paramètres!$A$1:$I$89,3,0)*0.475*44/12</f>
        <v>0</v>
      </c>
      <c r="HJ187" s="22">
        <f t="shared" si="190"/>
        <v>6.5005146407246777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306.99999999999994</v>
      </c>
      <c r="O188" s="13">
        <f>N188*VLOOKUP('Données projet'!$B$9,Paramètres!$A$1:$I$89,3,0)*VLOOKUP('Données projet'!$B$9,Paramètres!$A$1:$I$89,5,0)</f>
        <v>277.77359999999993</v>
      </c>
      <c r="P188" s="13">
        <f t="shared" si="141"/>
        <v>66.496288176842356</v>
      </c>
      <c r="Q188" s="20">
        <f t="shared" si="162"/>
        <v>599.60338857466706</v>
      </c>
      <c r="R188" s="59">
        <f t="shared" si="109"/>
        <v>892.93672190800044</v>
      </c>
      <c r="S188" s="59">
        <f ca="1">AVERAGE(OFFSET($R$3,0,0,'Données projet'!$E$9+1,1))-AVERAGE(OFFSET($H$3,0,0,'Données projet'!$E$9+1,1))</f>
        <v>439.19854273764042</v>
      </c>
      <c r="T188" s="59">
        <f t="shared" si="142"/>
        <v>278.21741231699929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25.0243271587115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25.0243271587115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306.99999999999994</v>
      </c>
      <c r="AJ188" s="13">
        <f>AI188*VLOOKUP('Données projet'!$B$10,Paramètres!$A$1:$I$89,3,0)*VLOOKUP('Données projet'!$B$10,Paramètres!$A$1:$I$89,5,0)</f>
        <v>311.298</v>
      </c>
      <c r="AK188" s="13">
        <f t="shared" si="164"/>
        <v>73.539838278528748</v>
      </c>
      <c r="AL188" s="20">
        <f t="shared" si="165"/>
        <v>670.25923500177089</v>
      </c>
      <c r="AM188" s="59">
        <f t="shared" si="113"/>
        <v>963.59256833510426</v>
      </c>
      <c r="AN188" s="59">
        <f ca="1">AVERAGE(OFFSET($AM$3,0,0,'Données projet'!$E$10+1,1))-AVERAGE(OFFSET($H$3,0,0,'Données projet'!$E$10+1,1))</f>
        <v>487.18832528146936</v>
      </c>
      <c r="AO188" s="59">
        <f t="shared" si="144"/>
        <v>306.61893266146666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28.044504574418067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28.044504574418067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369.00000000000023</v>
      </c>
      <c r="BE188" s="13">
        <f>BD188*VLOOKUP('Données projet'!$B$11,Paramètres!$A$1:$I$89,3,0)*VLOOKUP('Données projet'!$B$11,Paramètres!$A$1:$I$89,5,0)</f>
        <v>333.87120000000021</v>
      </c>
      <c r="BF188" s="13">
        <f t="shared" si="167"/>
        <v>78.23236011137638</v>
      </c>
      <c r="BG188" s="20">
        <f t="shared" si="168"/>
        <v>717.74703386064755</v>
      </c>
      <c r="BH188" s="59">
        <f t="shared" si="116"/>
        <v>1011.0803671939809</v>
      </c>
      <c r="BI188" s="59">
        <f ca="1">AVERAGE(OFFSET($BH$3,0,0,'Données projet'!$E$11+1,1))-AVERAGE(OFFSET($H$3,0,0,'Données projet'!$E$11+1,1))</f>
        <v>436.23918637269577</v>
      </c>
      <c r="BJ188" s="59">
        <f t="shared" si="146"/>
        <v>611.43967996341894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0.49089771947148553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0.49089771947148553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224.00000000000006</v>
      </c>
      <c r="BZ188" s="13">
        <f>BY188*VLOOKUP('Données projet'!$B$12,Paramètres!$A$1:$I$89,3,0)*VLOOKUP('Données projet'!$B$12,Paramètres!$A$1:$I$89,5,0)</f>
        <v>195.68640000000008</v>
      </c>
      <c r="CA188" s="13">
        <f t="shared" si="170"/>
        <v>48.794969360985156</v>
      </c>
      <c r="CB188" s="20">
        <f t="shared" si="171"/>
        <v>425.8050516370493</v>
      </c>
      <c r="CC188" s="59">
        <f t="shared" si="119"/>
        <v>719.13838497038262</v>
      </c>
      <c r="CD188" s="59">
        <f ca="1">AVERAGE(OFFSET($CC$3,0,0,'Données projet'!$E$12+1,1))-AVERAGE(OFFSET($H$3,0,0,'Données projet'!$E$12+1,1))</f>
        <v>304.32767345253382</v>
      </c>
      <c r="CE188" s="59">
        <f t="shared" si="148"/>
        <v>427.16091343339173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5.3011982388530647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5.3011982388530647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739.99999999999966</v>
      </c>
      <c r="CU188" s="17">
        <f>CT188*VLOOKUP('Données projet'!$B$13,Paramètres!$A$1:$I$89,3,0)*VLOOKUP('Données projet'!$B$13,Paramètres!$A$1:$I$89,5,0)</f>
        <v>413.65999999999985</v>
      </c>
      <c r="CV188" s="13">
        <f t="shared" si="173"/>
        <v>94.540585122244352</v>
      </c>
      <c r="CW188" s="20">
        <f t="shared" si="174"/>
        <v>885.11601908790863</v>
      </c>
      <c r="CX188" s="59">
        <f t="shared" si="122"/>
        <v>1178.4493524212419</v>
      </c>
      <c r="CY188" s="59">
        <f ca="1">AVERAGE(OFFSET($CX$3,0,0,'Données projet'!$E$13+1,1))-AVERAGE(OFFSET($H$3,0,0,'Données projet'!$E$13+1,1))</f>
        <v>555.15881087162279</v>
      </c>
      <c r="CZ188" s="59">
        <f t="shared" si="150"/>
        <v>668.20427590250733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10.38833784030728</v>
      </c>
      <c r="DG188" s="21">
        <f>EXP(-LN(2)/25)*DG187+(1-EXP(-LN(2)/25))/(LN(2)/25)*Calculateur!DB188*Calculateur!DD188*VLOOKUP('Données projet'!$B$13,Paramètres!$A$1:$I$89,3,0)*0.475*44/12</f>
        <v>0.78596642843820208</v>
      </c>
      <c r="DH188" s="21">
        <f>EXP(-LN(2)/2)*DH187+(1-EXP(-LN(2)/2))/(LN(2)/2)*DB188*DE188*VLOOKUP('Données projet'!$B$13,Paramètres!$A$1:$I$89,3,0)*0.475*44/12</f>
        <v>3.9796159277936206E-24</v>
      </c>
      <c r="DI188" s="22">
        <f t="shared" si="175"/>
        <v>11.174304268745482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911.99999999999898</v>
      </c>
      <c r="DP188" s="17">
        <f>DO188*VLOOKUP('Données projet'!$B$14,Paramètres!$A$1:$I$89,3,0)*VLOOKUP('Données projet'!$B$14,Paramètres!$A$1:$I$89,5,0)</f>
        <v>426.81599999999946</v>
      </c>
      <c r="DQ188" s="13">
        <f t="shared" si="176"/>
        <v>97.192496986872399</v>
      </c>
      <c r="DR188" s="20">
        <f t="shared" si="177"/>
        <v>912.64813225213504</v>
      </c>
      <c r="DS188" s="59">
        <f t="shared" si="125"/>
        <v>1205.9814655854684</v>
      </c>
      <c r="DT188" s="59">
        <f ca="1">AVERAGE(OFFSET($DS$3,0,0,'Données projet'!$E$14+1,1))-AVERAGE(OFFSET($H$3,0,0,'Données projet'!$E$14+1,1))</f>
        <v>523.79180230463714</v>
      </c>
      <c r="DU188" s="59">
        <f t="shared" si="152"/>
        <v>459.3547783500515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18.578200139138993</v>
      </c>
      <c r="EB188" s="21">
        <f>EXP(-LN(2)/25)*EB187+(1-EXP(-LN(2)/25))/(LN(2)/25)*Calculateur!DW188*Calculateur!DY188*VLOOKUP('Données projet'!$B$14,Paramètres!$A$1:$I$89,3,0)*0.475*44/12</f>
        <v>0.72691947794742184</v>
      </c>
      <c r="EC188" s="21">
        <f>EXP(-LN(2)/2)*EC187+(1-EXP(-LN(2)/2))/(LN(2)/2)*DW188*DZ188*VLOOKUP('Données projet'!$B$14,Paramètres!$A$1:$I$89,3,0)*0.475*44/12</f>
        <v>5.5787801432347505E-24</v>
      </c>
      <c r="ED188" s="22">
        <f t="shared" si="178"/>
        <v>19.305119617086415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367.99999999999972</v>
      </c>
      <c r="EK188" s="17">
        <f>EJ188*VLOOKUP('Données projet'!$B$15,Paramètres!$A$1:$I$89,3,0)*VLOOKUP('Données projet'!$B$15,Paramètres!$A$1:$I$89,5,0)</f>
        <v>355.92959999999977</v>
      </c>
      <c r="EL188" s="13">
        <f t="shared" si="179"/>
        <v>82.782281100458206</v>
      </c>
      <c r="EM188" s="20">
        <f t="shared" si="180"/>
        <v>764.08985958329765</v>
      </c>
      <c r="EN188" s="59">
        <f t="shared" si="128"/>
        <v>1057.423192916631</v>
      </c>
      <c r="EO188" s="59">
        <f ca="1">AVERAGE(OFFSET($EN$3,0,0,'Données projet'!$E$15+1,1))-AVERAGE(OFFSET($H$3,0,0,'Données projet'!$E$15+1,1))</f>
        <v>484.41278617935654</v>
      </c>
      <c r="EP188" s="59">
        <f t="shared" si="154"/>
        <v>467.97490540700738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7.5986288046083583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7.5986288046083583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367.99999999999972</v>
      </c>
      <c r="FF188" s="17">
        <f>FE188*VLOOKUP('Données projet'!$B$16,Paramètres!$A$1:$I$89,3,0)*VLOOKUP('Données projet'!$B$16,Paramètres!$A$1:$I$89,5,0)</f>
        <v>396.11519999999967</v>
      </c>
      <c r="FG188" s="13">
        <f t="shared" si="182"/>
        <v>90.988634849704994</v>
      </c>
      <c r="FH188" s="20">
        <f t="shared" si="183"/>
        <v>848.37251236323561</v>
      </c>
      <c r="FI188" s="59">
        <f t="shared" si="131"/>
        <v>1141.705845696569</v>
      </c>
      <c r="FJ188" s="59">
        <f ca="1">AVERAGE(OFFSET($FI$3,0,0,'Données projet'!$E$16+1,1))-AVERAGE(OFFSET($H$3,0,0,'Données projet'!$E$16+1,1))</f>
        <v>534.54020133239135</v>
      </c>
      <c r="FK188" s="59">
        <f t="shared" si="156"/>
        <v>515.48696069008815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8.4565385083544697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8.4565385083544697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248.99999999999994</v>
      </c>
      <c r="GA188" s="17">
        <f>FZ188*VLOOKUP('Données projet'!$B$17,Paramètres!$A$1:$I$89,3,0)*VLOOKUP('Données projet'!$B$17,Paramètres!$A$1:$I$89,5,0)</f>
        <v>236.94839999999994</v>
      </c>
      <c r="GB188" s="13">
        <f t="shared" si="185"/>
        <v>57.782475694292401</v>
      </c>
      <c r="GC188" s="20">
        <f t="shared" si="186"/>
        <v>513.32294183422573</v>
      </c>
      <c r="GD188" s="59">
        <f t="shared" si="134"/>
        <v>806.65627516755899</v>
      </c>
      <c r="GE188" s="59">
        <f ca="1">AVERAGE(OFFSET($GD$3,0,0,'Données projet'!$E$17+1,1))-AVERAGE(OFFSET($H$3,0,0,'Données projet'!$E$17+1,1))</f>
        <v>455.71329051283936</v>
      </c>
      <c r="GF188" s="59">
        <f t="shared" si="158"/>
        <v>479.3743231122258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19.640937608981069</v>
      </c>
      <c r="GM188" s="21">
        <f>EXP(-LN(2)/25)*GM187+(1-EXP(-LN(2)/25))/(LN(2)/25)*Calculateur!GH188*Calculateur!GJ188*VLOOKUP('Données projet'!$B$17,Paramètres!$A$1:$I$89,3,0)*0.475*44/12</f>
        <v>0</v>
      </c>
      <c r="GN188" s="21">
        <f>EXP(-LN(2)/2)*GN187+(1-EXP(-LN(2)/2))/(LN(2)/2)*GH188*GK188*VLOOKUP('Données projet'!$B$17,Paramètres!$A$1:$I$89,3,0)*0.475*44/12</f>
        <v>0</v>
      </c>
      <c r="GO188" s="21">
        <f t="shared" si="187"/>
        <v>19.640937608981069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367.99999999999972</v>
      </c>
      <c r="GV188" s="17">
        <f>GU188*VLOOKUP('Données projet'!$B$18,Paramètres!$A$1:$I$89,3,0)*VLOOKUP('Données projet'!$B$18,Paramètres!$A$1:$I$89,5,0)</f>
        <v>298.52159999999981</v>
      </c>
      <c r="GW188" s="13">
        <f t="shared" si="188"/>
        <v>70.866444995542437</v>
      </c>
      <c r="GX188" s="20">
        <f t="shared" si="189"/>
        <v>643.35084503390271</v>
      </c>
      <c r="GY188" s="59">
        <f t="shared" si="137"/>
        <v>936.68417836723597</v>
      </c>
      <c r="GZ188" s="59">
        <f ca="1">AVERAGE(OFFSET($GY$3,0,0,'Données projet'!$E$18+1,1))-AVERAGE(OFFSET($H$3,0,0,'Données projet'!$E$18+1,1))</f>
        <v>412.59676769258488</v>
      </c>
      <c r="HA188" s="59">
        <f t="shared" si="160"/>
        <v>399.90063795152133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6.3730435135424939</v>
      </c>
      <c r="HH188" s="21">
        <f>EXP(-LN(2)/25)*HH187+(1-EXP(-LN(2)/25))/(LN(2)/25)*Calculateur!HC188*Calculateur!HE188*VLOOKUP('Données projet'!$B$18,Paramètres!$A$1:$I$89,3,0)*0.475*44/12</f>
        <v>0</v>
      </c>
      <c r="HI188" s="21">
        <f>EXP(-LN(2)/2)*HI187+(1-EXP(-LN(2)/2))/(LN(2)/2)*HC188*HF188*VLOOKUP('Données projet'!$B$18,Paramètres!$A$1:$I$89,3,0)*0.475*44/12</f>
        <v>0</v>
      </c>
      <c r="HJ188" s="22">
        <f t="shared" si="190"/>
        <v>6.3730435135424939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306.99999999999994</v>
      </c>
      <c r="O189" s="13">
        <f>N189*VLOOKUP('Données projet'!$B$9,Paramètres!$A$1:$I$89,3,0)*VLOOKUP('Données projet'!$B$9,Paramètres!$A$1:$I$89,5,0)</f>
        <v>277.77359999999993</v>
      </c>
      <c r="P189" s="13">
        <f t="shared" si="141"/>
        <v>66.496288176842356</v>
      </c>
      <c r="Q189" s="20">
        <f t="shared" si="162"/>
        <v>599.60338857466706</v>
      </c>
      <c r="R189" s="59">
        <f t="shared" si="109"/>
        <v>892.93672190800044</v>
      </c>
      <c r="S189" s="59">
        <f ca="1">AVERAGE(OFFSET($R$3,0,0,'Données projet'!$E$9+1,1))-AVERAGE(OFFSET($H$3,0,0,'Données projet'!$E$9+1,1))</f>
        <v>439.19854273764042</v>
      </c>
      <c r="T189" s="59">
        <f t="shared" si="142"/>
        <v>278.21741231699929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24.533615366461607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24.533615366461607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306.99999999999994</v>
      </c>
      <c r="AJ189" s="13">
        <f>AI189*VLOOKUP('Données projet'!$B$10,Paramètres!$A$1:$I$89,3,0)*VLOOKUP('Données projet'!$B$10,Paramètres!$A$1:$I$89,5,0)</f>
        <v>311.298</v>
      </c>
      <c r="AK189" s="13">
        <f t="shared" si="164"/>
        <v>73.539838278528748</v>
      </c>
      <c r="AL189" s="20">
        <f t="shared" si="165"/>
        <v>670.25923500177089</v>
      </c>
      <c r="AM189" s="59">
        <f t="shared" si="113"/>
        <v>963.59256833510426</v>
      </c>
      <c r="AN189" s="59">
        <f ca="1">AVERAGE(OFFSET($AM$3,0,0,'Données projet'!$E$10+1,1))-AVERAGE(OFFSET($H$3,0,0,'Données projet'!$E$10+1,1))</f>
        <v>487.18832528146936</v>
      </c>
      <c r="AO189" s="59">
        <f t="shared" si="144"/>
        <v>306.61893266146666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27.494568945172496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27.494568945172496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369.00000000000023</v>
      </c>
      <c r="BE189" s="13">
        <f>BD189*VLOOKUP('Données projet'!$B$11,Paramètres!$A$1:$I$89,3,0)*VLOOKUP('Données projet'!$B$11,Paramètres!$A$1:$I$89,5,0)</f>
        <v>333.87120000000021</v>
      </c>
      <c r="BF189" s="13">
        <f t="shared" si="167"/>
        <v>78.23236011137638</v>
      </c>
      <c r="BG189" s="20">
        <f t="shared" si="168"/>
        <v>717.74703386064755</v>
      </c>
      <c r="BH189" s="59">
        <f t="shared" si="116"/>
        <v>1011.0803671939809</v>
      </c>
      <c r="BI189" s="59">
        <f ca="1">AVERAGE(OFFSET($BH$3,0,0,'Données projet'!$E$11+1,1))-AVERAGE(OFFSET($H$3,0,0,'Données projet'!$E$11+1,1))</f>
        <v>436.23918637269577</v>
      </c>
      <c r="BJ189" s="59">
        <f t="shared" si="146"/>
        <v>611.43967996341894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0.48127151461069351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0.48127151461069351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224.00000000000006</v>
      </c>
      <c r="BZ189" s="13">
        <f>BY189*VLOOKUP('Données projet'!$B$12,Paramètres!$A$1:$I$89,3,0)*VLOOKUP('Données projet'!$B$12,Paramètres!$A$1:$I$89,5,0)</f>
        <v>195.68640000000008</v>
      </c>
      <c r="CA189" s="13">
        <f t="shared" si="170"/>
        <v>48.794969360985156</v>
      </c>
      <c r="CB189" s="20">
        <f t="shared" si="171"/>
        <v>425.8050516370493</v>
      </c>
      <c r="CC189" s="59">
        <f t="shared" si="119"/>
        <v>719.13838497038262</v>
      </c>
      <c r="CD189" s="59">
        <f ca="1">AVERAGE(OFFSET($CC$3,0,0,'Données projet'!$E$12+1,1))-AVERAGE(OFFSET($H$3,0,0,'Données projet'!$E$12+1,1))</f>
        <v>304.32767345253382</v>
      </c>
      <c r="CE189" s="59">
        <f t="shared" si="148"/>
        <v>427.16091343339173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5.1972449748008094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5.1972449748008094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739.99999999999966</v>
      </c>
      <c r="CU189" s="17">
        <f>CT189*VLOOKUP('Données projet'!$B$13,Paramètres!$A$1:$I$89,3,0)*VLOOKUP('Données projet'!$B$13,Paramètres!$A$1:$I$89,5,0)</f>
        <v>413.65999999999985</v>
      </c>
      <c r="CV189" s="13">
        <f t="shared" si="173"/>
        <v>94.540585122244352</v>
      </c>
      <c r="CW189" s="20">
        <f t="shared" si="174"/>
        <v>885.11601908790863</v>
      </c>
      <c r="CX189" s="59">
        <f t="shared" si="122"/>
        <v>1178.4493524212419</v>
      </c>
      <c r="CY189" s="59">
        <f ca="1">AVERAGE(OFFSET($CX$3,0,0,'Données projet'!$E$13+1,1))-AVERAGE(OFFSET($H$3,0,0,'Données projet'!$E$13+1,1))</f>
        <v>555.15881087162279</v>
      </c>
      <c r="CZ189" s="59">
        <f t="shared" si="150"/>
        <v>668.20427590250733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10.184628871519283</v>
      </c>
      <c r="DG189" s="21">
        <f>EXP(-LN(2)/25)*DG188+(1-EXP(-LN(2)/25))/(LN(2)/25)*Calculateur!DB189*Calculateur!DD189*VLOOKUP('Données projet'!$B$13,Paramètres!$A$1:$I$89,3,0)*0.475*44/12</f>
        <v>0.76447413512038132</v>
      </c>
      <c r="DH189" s="21">
        <f>EXP(-LN(2)/2)*DH188+(1-EXP(-LN(2)/2))/(LN(2)/2)*DB189*DE189*VLOOKUP('Données projet'!$B$13,Paramètres!$A$1:$I$89,3,0)*0.475*44/12</f>
        <v>2.814013409060863E-24</v>
      </c>
      <c r="DI189" s="22">
        <f t="shared" si="175"/>
        <v>10.949103006639664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911.99999999999898</v>
      </c>
      <c r="DP189" s="17">
        <f>DO189*VLOOKUP('Données projet'!$B$14,Paramètres!$A$1:$I$89,3,0)*VLOOKUP('Données projet'!$B$14,Paramètres!$A$1:$I$89,5,0)</f>
        <v>426.81599999999946</v>
      </c>
      <c r="DQ189" s="13">
        <f t="shared" si="176"/>
        <v>97.192496986872399</v>
      </c>
      <c r="DR189" s="20">
        <f t="shared" si="177"/>
        <v>912.64813225213504</v>
      </c>
      <c r="DS189" s="59">
        <f t="shared" si="125"/>
        <v>1205.9814655854684</v>
      </c>
      <c r="DT189" s="59">
        <f ca="1">AVERAGE(OFFSET($DS$3,0,0,'Données projet'!$E$14+1,1))-AVERAGE(OFFSET($H$3,0,0,'Données projet'!$E$14+1,1))</f>
        <v>523.79180230463714</v>
      </c>
      <c r="DU189" s="59">
        <f t="shared" si="152"/>
        <v>459.3547783500515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18.213892965993661</v>
      </c>
      <c r="EB189" s="21">
        <f>EXP(-LN(2)/25)*EB188+(1-EXP(-LN(2)/25))/(LN(2)/25)*Calculateur!DW189*Calculateur!DY189*VLOOKUP('Données projet'!$B$14,Paramètres!$A$1:$I$89,3,0)*0.475*44/12</f>
        <v>0.70704182659591563</v>
      </c>
      <c r="EC189" s="21">
        <f>EXP(-LN(2)/2)*EC188+(1-EXP(-LN(2)/2))/(LN(2)/2)*DW189*DZ189*VLOOKUP('Données projet'!$B$14,Paramètres!$A$1:$I$89,3,0)*0.475*44/12</f>
        <v>3.9447932700301509E-24</v>
      </c>
      <c r="ED189" s="22">
        <f t="shared" si="178"/>
        <v>18.920934792589577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367.99999999999972</v>
      </c>
      <c r="EK189" s="17">
        <f>EJ189*VLOOKUP('Données projet'!$B$15,Paramètres!$A$1:$I$89,3,0)*VLOOKUP('Données projet'!$B$15,Paramètres!$A$1:$I$89,5,0)</f>
        <v>355.92959999999977</v>
      </c>
      <c r="EL189" s="13">
        <f t="shared" si="179"/>
        <v>82.782281100458206</v>
      </c>
      <c r="EM189" s="20">
        <f t="shared" si="180"/>
        <v>764.08985958329765</v>
      </c>
      <c r="EN189" s="59">
        <f t="shared" si="128"/>
        <v>1057.423192916631</v>
      </c>
      <c r="EO189" s="59">
        <f ca="1">AVERAGE(OFFSET($EN$3,0,0,'Données projet'!$E$15+1,1))-AVERAGE(OFFSET($H$3,0,0,'Données projet'!$E$15+1,1))</f>
        <v>484.41278617935654</v>
      </c>
      <c r="EP189" s="59">
        <f t="shared" si="154"/>
        <v>467.97490540700738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7.4496243284559203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7.4496243284559203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367.99999999999972</v>
      </c>
      <c r="FF189" s="17">
        <f>FE189*VLOOKUP('Données projet'!$B$16,Paramètres!$A$1:$I$89,3,0)*VLOOKUP('Données projet'!$B$16,Paramètres!$A$1:$I$89,5,0)</f>
        <v>396.11519999999967</v>
      </c>
      <c r="FG189" s="13">
        <f t="shared" si="182"/>
        <v>90.988634849704994</v>
      </c>
      <c r="FH189" s="20">
        <f t="shared" si="183"/>
        <v>848.37251236323561</v>
      </c>
      <c r="FI189" s="59">
        <f t="shared" si="131"/>
        <v>1141.705845696569</v>
      </c>
      <c r="FJ189" s="59">
        <f ca="1">AVERAGE(OFFSET($FI$3,0,0,'Données projet'!$E$16+1,1))-AVERAGE(OFFSET($H$3,0,0,'Données projet'!$E$16+1,1))</f>
        <v>534.54020133239135</v>
      </c>
      <c r="FK189" s="59">
        <f t="shared" si="156"/>
        <v>515.48696069008815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8.2907109461848201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8.2907109461848201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248.99999999999994</v>
      </c>
      <c r="GA189" s="17">
        <f>FZ189*VLOOKUP('Données projet'!$B$17,Paramètres!$A$1:$I$89,3,0)*VLOOKUP('Données projet'!$B$17,Paramètres!$A$1:$I$89,5,0)</f>
        <v>236.94839999999994</v>
      </c>
      <c r="GB189" s="13">
        <f t="shared" si="185"/>
        <v>57.782475694292401</v>
      </c>
      <c r="GC189" s="20">
        <f t="shared" si="186"/>
        <v>513.32294183422573</v>
      </c>
      <c r="GD189" s="59">
        <f t="shared" si="134"/>
        <v>806.65627516755899</v>
      </c>
      <c r="GE189" s="59">
        <f ca="1">AVERAGE(OFFSET($GD$3,0,0,'Données projet'!$E$17+1,1))-AVERAGE(OFFSET($H$3,0,0,'Données projet'!$E$17+1,1))</f>
        <v>455.71329051283936</v>
      </c>
      <c r="GF189" s="59">
        <f t="shared" si="158"/>
        <v>479.3743231122258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19.255790802257987</v>
      </c>
      <c r="GM189" s="21">
        <f>EXP(-LN(2)/25)*GM188+(1-EXP(-LN(2)/25))/(LN(2)/25)*Calculateur!GH189*Calculateur!GJ189*VLOOKUP('Données projet'!$B$17,Paramètres!$A$1:$I$89,3,0)*0.475*44/12</f>
        <v>0</v>
      </c>
      <c r="GN189" s="21">
        <f>EXP(-LN(2)/2)*GN188+(1-EXP(-LN(2)/2))/(LN(2)/2)*GH189*GK189*VLOOKUP('Données projet'!$B$17,Paramètres!$A$1:$I$89,3,0)*0.475*44/12</f>
        <v>0</v>
      </c>
      <c r="GO189" s="21">
        <f t="shared" si="187"/>
        <v>19.255790802257987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367.99999999999972</v>
      </c>
      <c r="GV189" s="17">
        <f>GU189*VLOOKUP('Données projet'!$B$18,Paramètres!$A$1:$I$89,3,0)*VLOOKUP('Données projet'!$B$18,Paramètres!$A$1:$I$89,5,0)</f>
        <v>298.52159999999981</v>
      </c>
      <c r="GW189" s="13">
        <f t="shared" si="188"/>
        <v>70.866444995542437</v>
      </c>
      <c r="GX189" s="20">
        <f t="shared" si="189"/>
        <v>643.35084503390271</v>
      </c>
      <c r="GY189" s="59">
        <f t="shared" si="137"/>
        <v>936.68417836723597</v>
      </c>
      <c r="GZ189" s="59">
        <f ca="1">AVERAGE(OFFSET($GY$3,0,0,'Données projet'!$E$18+1,1))-AVERAGE(OFFSET($H$3,0,0,'Données projet'!$E$18+1,1))</f>
        <v>412.59676769258488</v>
      </c>
      <c r="HA189" s="59">
        <f t="shared" si="160"/>
        <v>399.90063795152133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6.2480720174146427</v>
      </c>
      <c r="HH189" s="21">
        <f>EXP(-LN(2)/25)*HH188+(1-EXP(-LN(2)/25))/(LN(2)/25)*Calculateur!HC189*Calculateur!HE189*VLOOKUP('Données projet'!$B$18,Paramètres!$A$1:$I$89,3,0)*0.475*44/12</f>
        <v>0</v>
      </c>
      <c r="HI189" s="21">
        <f>EXP(-LN(2)/2)*HI188+(1-EXP(-LN(2)/2))/(LN(2)/2)*HC189*HF189*VLOOKUP('Données projet'!$B$18,Paramètres!$A$1:$I$89,3,0)*0.475*44/12</f>
        <v>0</v>
      </c>
      <c r="HJ189" s="22">
        <f t="shared" si="190"/>
        <v>6.2480720174146427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306.99999999999994</v>
      </c>
      <c r="O190" s="13">
        <f>N190*VLOOKUP('Données projet'!$B$9,Paramètres!$A$1:$I$89,3,0)*VLOOKUP('Données projet'!$B$9,Paramètres!$A$1:$I$89,5,0)</f>
        <v>277.77359999999993</v>
      </c>
      <c r="P190" s="13">
        <f t="shared" si="141"/>
        <v>66.496288176842356</v>
      </c>
      <c r="Q190" s="20">
        <f t="shared" si="162"/>
        <v>599.60338857466706</v>
      </c>
      <c r="R190" s="59">
        <f t="shared" si="109"/>
        <v>892.93672190800044</v>
      </c>
      <c r="S190" s="59">
        <f ca="1">AVERAGE(OFFSET($R$3,0,0,'Données projet'!$E$9+1,1))-AVERAGE(OFFSET($H$3,0,0,'Données projet'!$E$9+1,1))</f>
        <v>439.19854273764042</v>
      </c>
      <c r="T190" s="59">
        <f t="shared" si="142"/>
        <v>278.21741231699929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24.052526133153094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24.052526133153094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306.99999999999994</v>
      </c>
      <c r="AJ190" s="13">
        <f>AI190*VLOOKUP('Données projet'!$B$10,Paramètres!$A$1:$I$89,3,0)*VLOOKUP('Données projet'!$B$10,Paramètres!$A$1:$I$89,5,0)</f>
        <v>311.298</v>
      </c>
      <c r="AK190" s="13">
        <f t="shared" si="164"/>
        <v>73.539838278528748</v>
      </c>
      <c r="AL190" s="20">
        <f t="shared" si="165"/>
        <v>670.25923500177089</v>
      </c>
      <c r="AM190" s="59">
        <f t="shared" si="113"/>
        <v>963.59256833510426</v>
      </c>
      <c r="AN190" s="59">
        <f ca="1">AVERAGE(OFFSET($AM$3,0,0,'Données projet'!$E$10+1,1))-AVERAGE(OFFSET($H$3,0,0,'Données projet'!$E$10+1,1))</f>
        <v>487.18832528146936</v>
      </c>
      <c r="AO190" s="59">
        <f t="shared" si="144"/>
        <v>306.61893266146666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26.955417218188817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26.955417218188817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369.00000000000023</v>
      </c>
      <c r="BE190" s="13">
        <f>BD190*VLOOKUP('Données projet'!$B$11,Paramètres!$A$1:$I$89,3,0)*VLOOKUP('Données projet'!$B$11,Paramètres!$A$1:$I$89,5,0)</f>
        <v>333.87120000000021</v>
      </c>
      <c r="BF190" s="13">
        <f t="shared" si="167"/>
        <v>78.23236011137638</v>
      </c>
      <c r="BG190" s="20">
        <f t="shared" si="168"/>
        <v>717.74703386064755</v>
      </c>
      <c r="BH190" s="59">
        <f t="shared" si="116"/>
        <v>1011.0803671939809</v>
      </c>
      <c r="BI190" s="59">
        <f ca="1">AVERAGE(OFFSET($BH$3,0,0,'Données projet'!$E$11+1,1))-AVERAGE(OFFSET($H$3,0,0,'Données projet'!$E$11+1,1))</f>
        <v>436.23918637269577</v>
      </c>
      <c r="BJ190" s="59">
        <f t="shared" si="146"/>
        <v>611.43967996341894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0.47183407375581637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0.47183407375581637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224.00000000000006</v>
      </c>
      <c r="BZ190" s="13">
        <f>BY190*VLOOKUP('Données projet'!$B$12,Paramètres!$A$1:$I$89,3,0)*VLOOKUP('Données projet'!$B$12,Paramètres!$A$1:$I$89,5,0)</f>
        <v>195.68640000000008</v>
      </c>
      <c r="CA190" s="13">
        <f t="shared" si="170"/>
        <v>48.794969360985156</v>
      </c>
      <c r="CB190" s="20">
        <f t="shared" si="171"/>
        <v>425.8050516370493</v>
      </c>
      <c r="CC190" s="59">
        <f t="shared" si="119"/>
        <v>719.13838497038262</v>
      </c>
      <c r="CD190" s="59">
        <f ca="1">AVERAGE(OFFSET($CC$3,0,0,'Données projet'!$E$12+1,1))-AVERAGE(OFFSET($H$3,0,0,'Données projet'!$E$12+1,1))</f>
        <v>304.32767345253382</v>
      </c>
      <c r="CE190" s="59">
        <f t="shared" si="148"/>
        <v>427.16091343339173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5.0953301708513878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5.0953301708513878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739.99999999999966</v>
      </c>
      <c r="CU190" s="17">
        <f>CT190*VLOOKUP('Données projet'!$B$13,Paramètres!$A$1:$I$89,3,0)*VLOOKUP('Données projet'!$B$13,Paramètres!$A$1:$I$89,5,0)</f>
        <v>413.65999999999985</v>
      </c>
      <c r="CV190" s="13">
        <f t="shared" si="173"/>
        <v>94.540585122244352</v>
      </c>
      <c r="CW190" s="20">
        <f t="shared" si="174"/>
        <v>885.11601908790863</v>
      </c>
      <c r="CX190" s="59">
        <f t="shared" si="122"/>
        <v>1178.4493524212419</v>
      </c>
      <c r="CY190" s="59">
        <f ca="1">AVERAGE(OFFSET($CX$3,0,0,'Données projet'!$E$13+1,1))-AVERAGE(OFFSET($H$3,0,0,'Données projet'!$E$13+1,1))</f>
        <v>555.15881087162279</v>
      </c>
      <c r="CZ190" s="59">
        <f t="shared" si="150"/>
        <v>668.20427590250733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9.9849145113590172</v>
      </c>
      <c r="DG190" s="21">
        <f>EXP(-LN(2)/25)*DG189+(1-EXP(-LN(2)/25))/(LN(2)/25)*Calculateur!DB190*Calculateur!DD190*VLOOKUP('Données projet'!$B$13,Paramètres!$A$1:$I$89,3,0)*0.475*44/12</f>
        <v>0.74356954969356692</v>
      </c>
      <c r="DH190" s="21">
        <f>EXP(-LN(2)/2)*DH189+(1-EXP(-LN(2)/2))/(LN(2)/2)*DB190*DE190*VLOOKUP('Données projet'!$B$13,Paramètres!$A$1:$I$89,3,0)*0.475*44/12</f>
        <v>1.9898079638968103E-24</v>
      </c>
      <c r="DI190" s="22">
        <f t="shared" si="175"/>
        <v>10.728484061052583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911.99999999999898</v>
      </c>
      <c r="DP190" s="17">
        <f>DO190*VLOOKUP('Données projet'!$B$14,Paramètres!$A$1:$I$89,3,0)*VLOOKUP('Données projet'!$B$14,Paramètres!$A$1:$I$89,5,0)</f>
        <v>426.81599999999946</v>
      </c>
      <c r="DQ190" s="13">
        <f t="shared" si="176"/>
        <v>97.192496986872399</v>
      </c>
      <c r="DR190" s="20">
        <f t="shared" si="177"/>
        <v>912.64813225213504</v>
      </c>
      <c r="DS190" s="59">
        <f t="shared" si="125"/>
        <v>1205.9814655854684</v>
      </c>
      <c r="DT190" s="59">
        <f ca="1">AVERAGE(OFFSET($DS$3,0,0,'Données projet'!$E$14+1,1))-AVERAGE(OFFSET($H$3,0,0,'Données projet'!$E$14+1,1))</f>
        <v>523.79180230463714</v>
      </c>
      <c r="DU190" s="59">
        <f t="shared" si="152"/>
        <v>459.3547783500515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17.856729634308277</v>
      </c>
      <c r="EB190" s="21">
        <f>EXP(-LN(2)/25)*EB189+(1-EXP(-LN(2)/25))/(LN(2)/25)*Calculateur!DW190*Calculateur!DY190*VLOOKUP('Données projet'!$B$14,Paramètres!$A$1:$I$89,3,0)*0.475*44/12</f>
        <v>0.6877077306659366</v>
      </c>
      <c r="EC190" s="21">
        <f>EXP(-LN(2)/2)*EC189+(1-EXP(-LN(2)/2))/(LN(2)/2)*DW190*DZ190*VLOOKUP('Données projet'!$B$14,Paramètres!$A$1:$I$89,3,0)*0.475*44/12</f>
        <v>2.7893900716173752E-24</v>
      </c>
      <c r="ED190" s="22">
        <f t="shared" si="178"/>
        <v>18.544437364974215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367.99999999999972</v>
      </c>
      <c r="EK190" s="17">
        <f>EJ190*VLOOKUP('Données projet'!$B$15,Paramètres!$A$1:$I$89,3,0)*VLOOKUP('Données projet'!$B$15,Paramètres!$A$1:$I$89,5,0)</f>
        <v>355.92959999999977</v>
      </c>
      <c r="EL190" s="13">
        <f t="shared" si="179"/>
        <v>82.782281100458206</v>
      </c>
      <c r="EM190" s="20">
        <f t="shared" si="180"/>
        <v>764.08985958329765</v>
      </c>
      <c r="EN190" s="59">
        <f t="shared" si="128"/>
        <v>1057.423192916631</v>
      </c>
      <c r="EO190" s="59">
        <f ca="1">AVERAGE(OFFSET($EN$3,0,0,'Données projet'!$E$15+1,1))-AVERAGE(OFFSET($H$3,0,0,'Données projet'!$E$15+1,1))</f>
        <v>484.41278617935654</v>
      </c>
      <c r="EP190" s="59">
        <f t="shared" si="154"/>
        <v>467.97490540700738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7.3035417391970752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7.3035417391970752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367.99999999999972</v>
      </c>
      <c r="FF190" s="17">
        <f>FE190*VLOOKUP('Données projet'!$B$16,Paramètres!$A$1:$I$89,3,0)*VLOOKUP('Données projet'!$B$16,Paramètres!$A$1:$I$89,5,0)</f>
        <v>396.11519999999967</v>
      </c>
      <c r="FG190" s="13">
        <f t="shared" si="182"/>
        <v>90.988634849704994</v>
      </c>
      <c r="FH190" s="20">
        <f t="shared" si="183"/>
        <v>848.37251236323561</v>
      </c>
      <c r="FI190" s="59">
        <f t="shared" si="131"/>
        <v>1141.705845696569</v>
      </c>
      <c r="FJ190" s="59">
        <f ca="1">AVERAGE(OFFSET($FI$3,0,0,'Données projet'!$E$16+1,1))-AVERAGE(OFFSET($H$3,0,0,'Données projet'!$E$16+1,1))</f>
        <v>534.54020133239135</v>
      </c>
      <c r="FK190" s="59">
        <f t="shared" si="156"/>
        <v>515.48696069008815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8.1281351613644919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8.1281351613644919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248.99999999999994</v>
      </c>
      <c r="GA190" s="17">
        <f>FZ190*VLOOKUP('Données projet'!$B$17,Paramètres!$A$1:$I$89,3,0)*VLOOKUP('Données projet'!$B$17,Paramètres!$A$1:$I$89,5,0)</f>
        <v>236.94839999999994</v>
      </c>
      <c r="GB190" s="13">
        <f t="shared" si="185"/>
        <v>57.782475694292401</v>
      </c>
      <c r="GC190" s="20">
        <f t="shared" si="186"/>
        <v>513.32294183422573</v>
      </c>
      <c r="GD190" s="59">
        <f t="shared" si="134"/>
        <v>806.65627516755899</v>
      </c>
      <c r="GE190" s="59">
        <f ca="1">AVERAGE(OFFSET($GD$3,0,0,'Données projet'!$E$17+1,1))-AVERAGE(OFFSET($H$3,0,0,'Données projet'!$E$17+1,1))</f>
        <v>455.71329051283936</v>
      </c>
      <c r="GF190" s="59">
        <f t="shared" si="158"/>
        <v>479.3743231122258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18.878196489498389</v>
      </c>
      <c r="GM190" s="21">
        <f>EXP(-LN(2)/25)*GM189+(1-EXP(-LN(2)/25))/(LN(2)/25)*Calculateur!GH190*Calculateur!GJ190*VLOOKUP('Données projet'!$B$17,Paramètres!$A$1:$I$89,3,0)*0.475*44/12</f>
        <v>0</v>
      </c>
      <c r="GN190" s="21">
        <f>EXP(-LN(2)/2)*GN189+(1-EXP(-LN(2)/2))/(LN(2)/2)*GH190*GK190*VLOOKUP('Données projet'!$B$17,Paramètres!$A$1:$I$89,3,0)*0.475*44/12</f>
        <v>0</v>
      </c>
      <c r="GO190" s="21">
        <f t="shared" si="187"/>
        <v>18.878196489498389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367.99999999999972</v>
      </c>
      <c r="GV190" s="17">
        <f>GU190*VLOOKUP('Données projet'!$B$18,Paramètres!$A$1:$I$89,3,0)*VLOOKUP('Données projet'!$B$18,Paramètres!$A$1:$I$89,5,0)</f>
        <v>298.52159999999981</v>
      </c>
      <c r="GW190" s="13">
        <f t="shared" si="188"/>
        <v>70.866444995542437</v>
      </c>
      <c r="GX190" s="20">
        <f t="shared" si="189"/>
        <v>643.35084503390271</v>
      </c>
      <c r="GY190" s="59">
        <f t="shared" si="137"/>
        <v>936.68417836723597</v>
      </c>
      <c r="GZ190" s="59">
        <f ca="1">AVERAGE(OFFSET($GY$3,0,0,'Données projet'!$E$18+1,1))-AVERAGE(OFFSET($H$3,0,0,'Données projet'!$E$18+1,1))</f>
        <v>412.59676769258488</v>
      </c>
      <c r="HA190" s="59">
        <f t="shared" si="160"/>
        <v>399.90063795152133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6.1255511361007722</v>
      </c>
      <c r="HH190" s="21">
        <f>EXP(-LN(2)/25)*HH189+(1-EXP(-LN(2)/25))/(LN(2)/25)*Calculateur!HC190*Calculateur!HE190*VLOOKUP('Données projet'!$B$18,Paramètres!$A$1:$I$89,3,0)*0.475*44/12</f>
        <v>0</v>
      </c>
      <c r="HI190" s="21">
        <f>EXP(-LN(2)/2)*HI189+(1-EXP(-LN(2)/2))/(LN(2)/2)*HC190*HF190*VLOOKUP('Données projet'!$B$18,Paramètres!$A$1:$I$89,3,0)*0.475*44/12</f>
        <v>0</v>
      </c>
      <c r="HJ190" s="22">
        <f t="shared" si="190"/>
        <v>6.1255511361007722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306.99999999999994</v>
      </c>
      <c r="O191" s="13">
        <f>N191*VLOOKUP('Données projet'!$B$9,Paramètres!$A$1:$I$89,3,0)*VLOOKUP('Données projet'!$B$9,Paramètres!$A$1:$I$89,5,0)</f>
        <v>277.77359999999993</v>
      </c>
      <c r="P191" s="13">
        <f t="shared" si="141"/>
        <v>66.496288176842356</v>
      </c>
      <c r="Q191" s="20">
        <f t="shared" si="162"/>
        <v>599.60338857466706</v>
      </c>
      <c r="R191" s="59">
        <f t="shared" si="109"/>
        <v>892.93672190800044</v>
      </c>
      <c r="S191" s="59">
        <f ca="1">AVERAGE(OFFSET($R$3,0,0,'Données projet'!$E$9+1,1))-AVERAGE(OFFSET($H$3,0,0,'Données projet'!$E$9+1,1))</f>
        <v>439.19854273764042</v>
      </c>
      <c r="T191" s="59">
        <f t="shared" si="142"/>
        <v>278.21741231699929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23.580870766274302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23.580870766274302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306.99999999999994</v>
      </c>
      <c r="AJ191" s="13">
        <f>AI191*VLOOKUP('Données projet'!$B$10,Paramètres!$A$1:$I$89,3,0)*VLOOKUP('Données projet'!$B$10,Paramètres!$A$1:$I$89,5,0)</f>
        <v>311.298</v>
      </c>
      <c r="AK191" s="13">
        <f t="shared" si="164"/>
        <v>73.539838278528748</v>
      </c>
      <c r="AL191" s="20">
        <f t="shared" si="165"/>
        <v>670.25923500177089</v>
      </c>
      <c r="AM191" s="59">
        <f t="shared" si="113"/>
        <v>963.59256833510426</v>
      </c>
      <c r="AN191" s="59">
        <f ca="1">AVERAGE(OFFSET($AM$3,0,0,'Données projet'!$E$10+1,1))-AVERAGE(OFFSET($H$3,0,0,'Données projet'!$E$10+1,1))</f>
        <v>487.18832528146936</v>
      </c>
      <c r="AO191" s="59">
        <f t="shared" si="144"/>
        <v>306.61893266146666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26.426837927721206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26.426837927721206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369.00000000000023</v>
      </c>
      <c r="BE191" s="13">
        <f>BD191*VLOOKUP('Données projet'!$B$11,Paramètres!$A$1:$I$89,3,0)*VLOOKUP('Données projet'!$B$11,Paramètres!$A$1:$I$89,5,0)</f>
        <v>333.87120000000021</v>
      </c>
      <c r="BF191" s="13">
        <f t="shared" si="167"/>
        <v>78.23236011137638</v>
      </c>
      <c r="BG191" s="20">
        <f t="shared" si="168"/>
        <v>717.74703386064755</v>
      </c>
      <c r="BH191" s="59">
        <f t="shared" si="116"/>
        <v>1011.0803671939809</v>
      </c>
      <c r="BI191" s="59">
        <f ca="1">AVERAGE(OFFSET($BH$3,0,0,'Données projet'!$E$11+1,1))-AVERAGE(OFFSET($H$3,0,0,'Données projet'!$E$11+1,1))</f>
        <v>436.23918637269577</v>
      </c>
      <c r="BJ191" s="59">
        <f t="shared" si="146"/>
        <v>611.43967996341894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0.46258169535983285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0.46258169535983285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224.00000000000006</v>
      </c>
      <c r="BZ191" s="13">
        <f>BY191*VLOOKUP('Données projet'!$B$12,Paramètres!$A$1:$I$89,3,0)*VLOOKUP('Données projet'!$B$12,Paramètres!$A$1:$I$89,5,0)</f>
        <v>195.68640000000008</v>
      </c>
      <c r="CA191" s="13">
        <f t="shared" si="170"/>
        <v>48.794969360985156</v>
      </c>
      <c r="CB191" s="20">
        <f t="shared" si="171"/>
        <v>425.8050516370493</v>
      </c>
      <c r="CC191" s="59">
        <f t="shared" si="119"/>
        <v>719.13838497038262</v>
      </c>
      <c r="CD191" s="59">
        <f ca="1">AVERAGE(OFFSET($CC$3,0,0,'Données projet'!$E$12+1,1))-AVERAGE(OFFSET($H$3,0,0,'Données projet'!$E$12+1,1))</f>
        <v>304.32767345253382</v>
      </c>
      <c r="CE191" s="59">
        <f t="shared" si="148"/>
        <v>427.16091343339173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4.9954138540455224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4.9954138540455224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739.99999999999966</v>
      </c>
      <c r="CU191" s="17">
        <f>CT191*VLOOKUP('Données projet'!$B$13,Paramètres!$A$1:$I$89,3,0)*VLOOKUP('Données projet'!$B$13,Paramètres!$A$1:$I$89,5,0)</f>
        <v>413.65999999999985</v>
      </c>
      <c r="CV191" s="13">
        <f t="shared" si="173"/>
        <v>94.540585122244352</v>
      </c>
      <c r="CW191" s="20">
        <f t="shared" si="174"/>
        <v>885.11601908790863</v>
      </c>
      <c r="CX191" s="59">
        <f t="shared" si="122"/>
        <v>1178.4493524212419</v>
      </c>
      <c r="CY191" s="59">
        <f ca="1">AVERAGE(OFFSET($CX$3,0,0,'Données projet'!$E$13+1,1))-AVERAGE(OFFSET($H$3,0,0,'Données projet'!$E$13+1,1))</f>
        <v>555.15881087162279</v>
      </c>
      <c r="CZ191" s="59">
        <f t="shared" si="150"/>
        <v>668.20427590250733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9.7891164279877625</v>
      </c>
      <c r="DG191" s="21">
        <f>EXP(-LN(2)/25)*DG190+(1-EXP(-LN(2)/25))/(LN(2)/25)*Calculateur!DB191*Calculateur!DD191*VLOOKUP('Données projet'!$B$13,Paramètres!$A$1:$I$89,3,0)*0.475*44/12</f>
        <v>0.72323660125457312</v>
      </c>
      <c r="DH191" s="21">
        <f>EXP(-LN(2)/2)*DH190+(1-EXP(-LN(2)/2))/(LN(2)/2)*DB191*DE191*VLOOKUP('Données projet'!$B$13,Paramètres!$A$1:$I$89,3,0)*0.475*44/12</f>
        <v>1.4070067045304315E-24</v>
      </c>
      <c r="DI191" s="22">
        <f t="shared" si="175"/>
        <v>10.512353029242336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911.99999999999898</v>
      </c>
      <c r="DP191" s="17">
        <f>DO191*VLOOKUP('Données projet'!$B$14,Paramètres!$A$1:$I$89,3,0)*VLOOKUP('Données projet'!$B$14,Paramètres!$A$1:$I$89,5,0)</f>
        <v>426.81599999999946</v>
      </c>
      <c r="DQ191" s="13">
        <f t="shared" si="176"/>
        <v>97.192496986872399</v>
      </c>
      <c r="DR191" s="20">
        <f t="shared" si="177"/>
        <v>912.64813225213504</v>
      </c>
      <c r="DS191" s="59">
        <f t="shared" si="125"/>
        <v>1205.9814655854684</v>
      </c>
      <c r="DT191" s="59">
        <f ca="1">AVERAGE(OFFSET($DS$3,0,0,'Données projet'!$E$14+1,1))-AVERAGE(OFFSET($H$3,0,0,'Données projet'!$E$14+1,1))</f>
        <v>523.79180230463714</v>
      </c>
      <c r="DU191" s="59">
        <f t="shared" si="152"/>
        <v>459.3547783500515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17.506570057709119</v>
      </c>
      <c r="EB191" s="21">
        <f>EXP(-LN(2)/25)*EB190+(1-EXP(-LN(2)/25))/(LN(2)/25)*Calculateur!DW191*Calculateur!DY191*VLOOKUP('Données projet'!$B$14,Paramètres!$A$1:$I$89,3,0)*0.475*44/12</f>
        <v>0.66890232660589877</v>
      </c>
      <c r="EC191" s="21">
        <f>EXP(-LN(2)/2)*EC190+(1-EXP(-LN(2)/2))/(LN(2)/2)*DW191*DZ191*VLOOKUP('Données projet'!$B$14,Paramètres!$A$1:$I$89,3,0)*0.475*44/12</f>
        <v>1.9723966350150755E-24</v>
      </c>
      <c r="ED191" s="22">
        <f t="shared" si="178"/>
        <v>18.175472384315018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367.99999999999972</v>
      </c>
      <c r="EK191" s="17">
        <f>EJ191*VLOOKUP('Données projet'!$B$15,Paramètres!$A$1:$I$89,3,0)*VLOOKUP('Données projet'!$B$15,Paramètres!$A$1:$I$89,5,0)</f>
        <v>355.92959999999977</v>
      </c>
      <c r="EL191" s="13">
        <f t="shared" si="179"/>
        <v>82.782281100458206</v>
      </c>
      <c r="EM191" s="20">
        <f t="shared" si="180"/>
        <v>764.08985958329765</v>
      </c>
      <c r="EN191" s="59">
        <f t="shared" si="128"/>
        <v>1057.423192916631</v>
      </c>
      <c r="EO191" s="59">
        <f ca="1">AVERAGE(OFFSET($EN$3,0,0,'Données projet'!$E$15+1,1))-AVERAGE(OFFSET($H$3,0,0,'Données projet'!$E$15+1,1))</f>
        <v>484.41278617935654</v>
      </c>
      <c r="EP191" s="59">
        <f t="shared" si="154"/>
        <v>467.97490540700738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7.1603237404120144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7.1603237404120144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367.99999999999972</v>
      </c>
      <c r="FF191" s="17">
        <f>FE191*VLOOKUP('Données projet'!$B$16,Paramètres!$A$1:$I$89,3,0)*VLOOKUP('Données projet'!$B$16,Paramètres!$A$1:$I$89,5,0)</f>
        <v>396.11519999999967</v>
      </c>
      <c r="FG191" s="13">
        <f t="shared" si="182"/>
        <v>90.988634849704994</v>
      </c>
      <c r="FH191" s="20">
        <f t="shared" si="183"/>
        <v>848.37251236323561</v>
      </c>
      <c r="FI191" s="59">
        <f t="shared" si="131"/>
        <v>1141.705845696569</v>
      </c>
      <c r="FJ191" s="59">
        <f ca="1">AVERAGE(OFFSET($FI$3,0,0,'Données projet'!$E$16+1,1))-AVERAGE(OFFSET($H$3,0,0,'Données projet'!$E$16+1,1))</f>
        <v>534.54020133239135</v>
      </c>
      <c r="FK191" s="59">
        <f t="shared" si="156"/>
        <v>515.48696069008815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7.9687473885230533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7.9687473885230533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248.99999999999994</v>
      </c>
      <c r="GA191" s="17">
        <f>FZ191*VLOOKUP('Données projet'!$B$17,Paramètres!$A$1:$I$89,3,0)*VLOOKUP('Données projet'!$B$17,Paramètres!$A$1:$I$89,5,0)</f>
        <v>236.94839999999994</v>
      </c>
      <c r="GB191" s="13">
        <f t="shared" si="185"/>
        <v>57.782475694292401</v>
      </c>
      <c r="GC191" s="20">
        <f t="shared" si="186"/>
        <v>513.32294183422573</v>
      </c>
      <c r="GD191" s="59">
        <f t="shared" si="134"/>
        <v>806.65627516755899</v>
      </c>
      <c r="GE191" s="59">
        <f ca="1">AVERAGE(OFFSET($GD$3,0,0,'Données projet'!$E$17+1,1))-AVERAGE(OFFSET($H$3,0,0,'Données projet'!$E$17+1,1))</f>
        <v>455.71329051283936</v>
      </c>
      <c r="GF191" s="59">
        <f t="shared" si="158"/>
        <v>479.3743231122258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18.508006570902214</v>
      </c>
      <c r="GM191" s="21">
        <f>EXP(-LN(2)/25)*GM190+(1-EXP(-LN(2)/25))/(LN(2)/25)*Calculateur!GH191*Calculateur!GJ191*VLOOKUP('Données projet'!$B$17,Paramètres!$A$1:$I$89,3,0)*0.475*44/12</f>
        <v>0</v>
      </c>
      <c r="GN191" s="21">
        <f>EXP(-LN(2)/2)*GN190+(1-EXP(-LN(2)/2))/(LN(2)/2)*GH191*GK191*VLOOKUP('Données projet'!$B$17,Paramètres!$A$1:$I$89,3,0)*0.475*44/12</f>
        <v>0</v>
      </c>
      <c r="GO191" s="21">
        <f t="shared" si="187"/>
        <v>18.508006570902214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367.99999999999972</v>
      </c>
      <c r="GV191" s="17">
        <f>GU191*VLOOKUP('Données projet'!$B$18,Paramètres!$A$1:$I$89,3,0)*VLOOKUP('Données projet'!$B$18,Paramètres!$A$1:$I$89,5,0)</f>
        <v>298.52159999999981</v>
      </c>
      <c r="GW191" s="13">
        <f t="shared" si="188"/>
        <v>70.866444995542437</v>
      </c>
      <c r="GX191" s="20">
        <f t="shared" si="189"/>
        <v>643.35084503390271</v>
      </c>
      <c r="GY191" s="59">
        <f t="shared" si="137"/>
        <v>936.68417836723597</v>
      </c>
      <c r="GZ191" s="59">
        <f ca="1">AVERAGE(OFFSET($GY$3,0,0,'Données projet'!$E$18+1,1))-AVERAGE(OFFSET($H$3,0,0,'Données projet'!$E$18+1,1))</f>
        <v>412.59676769258488</v>
      </c>
      <c r="HA191" s="59">
        <f t="shared" si="160"/>
        <v>399.90063795152133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6.005432814539108</v>
      </c>
      <c r="HH191" s="21">
        <f>EXP(-LN(2)/25)*HH190+(1-EXP(-LN(2)/25))/(LN(2)/25)*Calculateur!HC191*Calculateur!HE191*VLOOKUP('Données projet'!$B$18,Paramètres!$A$1:$I$89,3,0)*0.475*44/12</f>
        <v>0</v>
      </c>
      <c r="HI191" s="21">
        <f>EXP(-LN(2)/2)*HI190+(1-EXP(-LN(2)/2))/(LN(2)/2)*HC191*HF191*VLOOKUP('Données projet'!$B$18,Paramètres!$A$1:$I$89,3,0)*0.475*44/12</f>
        <v>0</v>
      </c>
      <c r="HJ191" s="22">
        <f t="shared" si="190"/>
        <v>6.005432814539108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306.99999999999994</v>
      </c>
      <c r="O192" s="13">
        <f>N192*VLOOKUP('Données projet'!$B$9,Paramètres!$A$1:$I$89,3,0)*VLOOKUP('Données projet'!$B$9,Paramètres!$A$1:$I$89,5,0)</f>
        <v>277.77359999999993</v>
      </c>
      <c r="P192" s="13">
        <f t="shared" si="141"/>
        <v>66.496288176842356</v>
      </c>
      <c r="Q192" s="20">
        <f t="shared" si="162"/>
        <v>599.60338857466706</v>
      </c>
      <c r="R192" s="59">
        <f t="shared" si="109"/>
        <v>892.93672190800044</v>
      </c>
      <c r="S192" s="59">
        <f ca="1">AVERAGE(OFFSET($R$3,0,0,'Données projet'!$E$9+1,1))-AVERAGE(OFFSET($H$3,0,0,'Données projet'!$E$9+1,1))</f>
        <v>439.19854273764042</v>
      </c>
      <c r="T192" s="59">
        <f t="shared" si="142"/>
        <v>278.21741231699929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23.118464273458635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23.118464273458635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306.99999999999994</v>
      </c>
      <c r="AJ192" s="13">
        <f>AI192*VLOOKUP('Données projet'!$B$10,Paramètres!$A$1:$I$89,3,0)*VLOOKUP('Données projet'!$B$10,Paramètres!$A$1:$I$89,5,0)</f>
        <v>311.298</v>
      </c>
      <c r="AK192" s="13">
        <f t="shared" si="164"/>
        <v>73.539838278528748</v>
      </c>
      <c r="AL192" s="20">
        <f t="shared" si="165"/>
        <v>670.25923500177089</v>
      </c>
      <c r="AM192" s="59">
        <f t="shared" si="113"/>
        <v>963.59256833510426</v>
      </c>
      <c r="AN192" s="59">
        <f ca="1">AVERAGE(OFFSET($AM$3,0,0,'Données projet'!$E$10+1,1))-AVERAGE(OFFSET($H$3,0,0,'Données projet'!$E$10+1,1))</f>
        <v>487.18832528146936</v>
      </c>
      <c r="AO192" s="59">
        <f t="shared" si="144"/>
        <v>306.61893266146666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25.90862375473813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25.90862375473813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369.00000000000023</v>
      </c>
      <c r="BE192" s="13">
        <f>BD192*VLOOKUP('Données projet'!$B$11,Paramètres!$A$1:$I$89,3,0)*VLOOKUP('Données projet'!$B$11,Paramètres!$A$1:$I$89,5,0)</f>
        <v>333.87120000000021</v>
      </c>
      <c r="BF192" s="13">
        <f t="shared" si="167"/>
        <v>78.23236011137638</v>
      </c>
      <c r="BG192" s="20">
        <f t="shared" si="168"/>
        <v>717.74703386064755</v>
      </c>
      <c r="BH192" s="59">
        <f t="shared" si="116"/>
        <v>1011.0803671939809</v>
      </c>
      <c r="BI192" s="59">
        <f ca="1">AVERAGE(OFFSET($BH$3,0,0,'Données projet'!$E$11+1,1))-AVERAGE(OFFSET($H$3,0,0,'Données projet'!$E$11+1,1))</f>
        <v>436.23918637269577</v>
      </c>
      <c r="BJ192" s="59">
        <f t="shared" si="146"/>
        <v>611.43967996341894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0.45351075046080097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0.45351075046080097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224.00000000000006</v>
      </c>
      <c r="BZ192" s="13">
        <f>BY192*VLOOKUP('Données projet'!$B$12,Paramètres!$A$1:$I$89,3,0)*VLOOKUP('Données projet'!$B$12,Paramètres!$A$1:$I$89,5,0)</f>
        <v>195.68640000000008</v>
      </c>
      <c r="CA192" s="13">
        <f t="shared" si="170"/>
        <v>48.794969360985156</v>
      </c>
      <c r="CB192" s="20">
        <f t="shared" si="171"/>
        <v>425.8050516370493</v>
      </c>
      <c r="CC192" s="59">
        <f t="shared" si="119"/>
        <v>719.13838497038262</v>
      </c>
      <c r="CD192" s="59">
        <f ca="1">AVERAGE(OFFSET($CC$3,0,0,'Données projet'!$E$12+1,1))-AVERAGE(OFFSET($H$3,0,0,'Données projet'!$E$12+1,1))</f>
        <v>304.32767345253382</v>
      </c>
      <c r="CE192" s="59">
        <f t="shared" si="148"/>
        <v>427.16091343339173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4.897456835269284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4.897456835269284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739.99999999999966</v>
      </c>
      <c r="CU192" s="17">
        <f>CT192*VLOOKUP('Données projet'!$B$13,Paramètres!$A$1:$I$89,3,0)*VLOOKUP('Données projet'!$B$13,Paramètres!$A$1:$I$89,5,0)</f>
        <v>413.65999999999985</v>
      </c>
      <c r="CV192" s="13">
        <f t="shared" si="173"/>
        <v>94.540585122244352</v>
      </c>
      <c r="CW192" s="20">
        <f t="shared" si="174"/>
        <v>885.11601908790863</v>
      </c>
      <c r="CX192" s="59">
        <f t="shared" si="122"/>
        <v>1178.4493524212419</v>
      </c>
      <c r="CY192" s="59">
        <f ca="1">AVERAGE(OFFSET($CX$3,0,0,'Données projet'!$E$13+1,1))-AVERAGE(OFFSET($H$3,0,0,'Données projet'!$E$13+1,1))</f>
        <v>555.15881087162279</v>
      </c>
      <c r="CZ192" s="59">
        <f t="shared" si="150"/>
        <v>668.20427590250733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9.597157825606379</v>
      </c>
      <c r="DG192" s="21">
        <f>EXP(-LN(2)/25)*DG191+(1-EXP(-LN(2)/25))/(LN(2)/25)*Calculateur!DB192*Calculateur!DD192*VLOOKUP('Données projet'!$B$13,Paramètres!$A$1:$I$89,3,0)*0.475*44/12</f>
        <v>0.70345965835990698</v>
      </c>
      <c r="DH192" s="21">
        <f>EXP(-LN(2)/2)*DH191+(1-EXP(-LN(2)/2))/(LN(2)/2)*DB192*DE192*VLOOKUP('Données projet'!$B$13,Paramètres!$A$1:$I$89,3,0)*0.475*44/12</f>
        <v>9.9490398194840515E-25</v>
      </c>
      <c r="DI192" s="22">
        <f t="shared" si="175"/>
        <v>10.300617483966287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911.99999999999898</v>
      </c>
      <c r="DP192" s="17">
        <f>DO192*VLOOKUP('Données projet'!$B$14,Paramètres!$A$1:$I$89,3,0)*VLOOKUP('Données projet'!$B$14,Paramètres!$A$1:$I$89,5,0)</f>
        <v>426.81599999999946</v>
      </c>
      <c r="DQ192" s="13">
        <f t="shared" si="176"/>
        <v>97.192496986872399</v>
      </c>
      <c r="DR192" s="20">
        <f t="shared" si="177"/>
        <v>912.64813225213504</v>
      </c>
      <c r="DS192" s="59">
        <f t="shared" si="125"/>
        <v>1205.9814655854684</v>
      </c>
      <c r="DT192" s="59">
        <f ca="1">AVERAGE(OFFSET($DS$3,0,0,'Données projet'!$E$14+1,1))-AVERAGE(OFFSET($H$3,0,0,'Données projet'!$E$14+1,1))</f>
        <v>523.79180230463714</v>
      </c>
      <c r="DU192" s="59">
        <f t="shared" si="152"/>
        <v>459.3547783500515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17.163276896830819</v>
      </c>
      <c r="EB192" s="21">
        <f>EXP(-LN(2)/25)*EB191+(1-EXP(-LN(2)/25))/(LN(2)/25)*Calculateur!DW192*Calculateur!DY192*VLOOKUP('Données projet'!$B$14,Paramètres!$A$1:$I$89,3,0)*0.475*44/12</f>
        <v>0.65061115730881591</v>
      </c>
      <c r="EC192" s="21">
        <f>EXP(-LN(2)/2)*EC191+(1-EXP(-LN(2)/2))/(LN(2)/2)*DW192*DZ192*VLOOKUP('Données projet'!$B$14,Paramètres!$A$1:$I$89,3,0)*0.475*44/12</f>
        <v>1.3946950358086876E-24</v>
      </c>
      <c r="ED192" s="22">
        <f t="shared" si="178"/>
        <v>17.813888054139635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367.99999999999972</v>
      </c>
      <c r="EK192" s="17">
        <f>EJ192*VLOOKUP('Données projet'!$B$15,Paramètres!$A$1:$I$89,3,0)*VLOOKUP('Données projet'!$B$15,Paramètres!$A$1:$I$89,5,0)</f>
        <v>355.92959999999977</v>
      </c>
      <c r="EL192" s="13">
        <f t="shared" si="179"/>
        <v>82.782281100458206</v>
      </c>
      <c r="EM192" s="20">
        <f t="shared" si="180"/>
        <v>764.08985958329765</v>
      </c>
      <c r="EN192" s="59">
        <f t="shared" si="128"/>
        <v>1057.423192916631</v>
      </c>
      <c r="EO192" s="59">
        <f ca="1">AVERAGE(OFFSET($EN$3,0,0,'Données projet'!$E$15+1,1))-AVERAGE(OFFSET($H$3,0,0,'Données projet'!$E$15+1,1))</f>
        <v>484.41278617935654</v>
      </c>
      <c r="EP192" s="59">
        <f t="shared" si="154"/>
        <v>467.97490540700738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7.019914159228775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7.019914159228775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367.99999999999972</v>
      </c>
      <c r="FF192" s="17">
        <f>FE192*VLOOKUP('Données projet'!$B$16,Paramètres!$A$1:$I$89,3,0)*VLOOKUP('Données projet'!$B$16,Paramètres!$A$1:$I$89,5,0)</f>
        <v>396.11519999999967</v>
      </c>
      <c r="FG192" s="13">
        <f t="shared" si="182"/>
        <v>90.988634849704994</v>
      </c>
      <c r="FH192" s="20">
        <f t="shared" si="183"/>
        <v>848.37251236323561</v>
      </c>
      <c r="FI192" s="59">
        <f t="shared" si="131"/>
        <v>1141.705845696569</v>
      </c>
      <c r="FJ192" s="59">
        <f ca="1">AVERAGE(OFFSET($FI$3,0,0,'Données projet'!$E$16+1,1))-AVERAGE(OFFSET($H$3,0,0,'Données projet'!$E$16+1,1))</f>
        <v>534.54020133239135</v>
      </c>
      <c r="FK192" s="59">
        <f t="shared" si="156"/>
        <v>515.48696069008815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7.8124851126900934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7.8124851126900934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248.99999999999994</v>
      </c>
      <c r="GA192" s="17">
        <f>FZ192*VLOOKUP('Données projet'!$B$17,Paramètres!$A$1:$I$89,3,0)*VLOOKUP('Données projet'!$B$17,Paramètres!$A$1:$I$89,5,0)</f>
        <v>236.94839999999994</v>
      </c>
      <c r="GB192" s="13">
        <f t="shared" si="185"/>
        <v>57.782475694292401</v>
      </c>
      <c r="GC192" s="20">
        <f t="shared" si="186"/>
        <v>513.32294183422573</v>
      </c>
      <c r="GD192" s="59">
        <f t="shared" si="134"/>
        <v>806.65627516755899</v>
      </c>
      <c r="GE192" s="59">
        <f ca="1">AVERAGE(OFFSET($GD$3,0,0,'Données projet'!$E$17+1,1))-AVERAGE(OFFSET($H$3,0,0,'Données projet'!$E$17+1,1))</f>
        <v>455.71329051283936</v>
      </c>
      <c r="GF192" s="59">
        <f t="shared" si="158"/>
        <v>479.3743231122258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18.145075850816156</v>
      </c>
      <c r="GM192" s="21">
        <f>EXP(-LN(2)/25)*GM191+(1-EXP(-LN(2)/25))/(LN(2)/25)*Calculateur!GH192*Calculateur!GJ192*VLOOKUP('Données projet'!$B$17,Paramètres!$A$1:$I$89,3,0)*0.475*44/12</f>
        <v>0</v>
      </c>
      <c r="GN192" s="21">
        <f>EXP(-LN(2)/2)*GN191+(1-EXP(-LN(2)/2))/(LN(2)/2)*GH192*GK192*VLOOKUP('Données projet'!$B$17,Paramètres!$A$1:$I$89,3,0)*0.475*44/12</f>
        <v>0</v>
      </c>
      <c r="GO192" s="21">
        <f t="shared" si="187"/>
        <v>18.145075850816156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367.99999999999972</v>
      </c>
      <c r="GV192" s="17">
        <f>GU192*VLOOKUP('Données projet'!$B$18,Paramètres!$A$1:$I$89,3,0)*VLOOKUP('Données projet'!$B$18,Paramètres!$A$1:$I$89,5,0)</f>
        <v>298.52159999999981</v>
      </c>
      <c r="GW192" s="13">
        <f t="shared" si="188"/>
        <v>70.866444995542437</v>
      </c>
      <c r="GX192" s="20">
        <f t="shared" si="189"/>
        <v>643.35084503390271</v>
      </c>
      <c r="GY192" s="59">
        <f t="shared" si="137"/>
        <v>936.68417836723597</v>
      </c>
      <c r="GZ192" s="59">
        <f ca="1">AVERAGE(OFFSET($GY$3,0,0,'Données projet'!$E$18+1,1))-AVERAGE(OFFSET($H$3,0,0,'Données projet'!$E$18+1,1))</f>
        <v>412.59676769258488</v>
      </c>
      <c r="HA192" s="59">
        <f t="shared" si="160"/>
        <v>399.90063795152133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5.8876699399983261</v>
      </c>
      <c r="HH192" s="21">
        <f>EXP(-LN(2)/25)*HH191+(1-EXP(-LN(2)/25))/(LN(2)/25)*Calculateur!HC192*Calculateur!HE192*VLOOKUP('Données projet'!$B$18,Paramètres!$A$1:$I$89,3,0)*0.475*44/12</f>
        <v>0</v>
      </c>
      <c r="HI192" s="21">
        <f>EXP(-LN(2)/2)*HI191+(1-EXP(-LN(2)/2))/(LN(2)/2)*HC192*HF192*VLOOKUP('Données projet'!$B$18,Paramètres!$A$1:$I$89,3,0)*0.475*44/12</f>
        <v>0</v>
      </c>
      <c r="HJ192" s="22">
        <f t="shared" si="190"/>
        <v>5.8876699399983261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306.99999999999994</v>
      </c>
      <c r="O193" s="13">
        <f>N193*VLOOKUP('Données projet'!$B$9,Paramètres!$A$1:$I$89,3,0)*VLOOKUP('Données projet'!$B$9,Paramètres!$A$1:$I$89,5,0)</f>
        <v>277.77359999999993</v>
      </c>
      <c r="P193" s="13">
        <f t="shared" si="141"/>
        <v>66.496288176842356</v>
      </c>
      <c r="Q193" s="20">
        <f t="shared" si="162"/>
        <v>599.60338857466706</v>
      </c>
      <c r="R193" s="59">
        <f t="shared" si="109"/>
        <v>892.93672190800044</v>
      </c>
      <c r="S193" s="59">
        <f ca="1">AVERAGE(OFFSET($R$3,0,0,'Données projet'!$E$9+1,1))-AVERAGE(OFFSET($H$3,0,0,'Données projet'!$E$9+1,1))</f>
        <v>439.19854273764042</v>
      </c>
      <c r="T193" s="59">
        <f t="shared" si="142"/>
        <v>278.21741231699929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22.665125289926973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22.665125289926973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306.99999999999994</v>
      </c>
      <c r="AJ193" s="13">
        <f>AI193*VLOOKUP('Données projet'!$B$10,Paramètres!$A$1:$I$89,3,0)*VLOOKUP('Données projet'!$B$10,Paramètres!$A$1:$I$89,5,0)</f>
        <v>311.298</v>
      </c>
      <c r="AK193" s="13">
        <f t="shared" si="164"/>
        <v>73.539838278528748</v>
      </c>
      <c r="AL193" s="20">
        <f t="shared" si="165"/>
        <v>670.25923500177089</v>
      </c>
      <c r="AM193" s="59">
        <f t="shared" si="113"/>
        <v>963.59256833510426</v>
      </c>
      <c r="AN193" s="59">
        <f ca="1">AVERAGE(OFFSET($AM$3,0,0,'Données projet'!$E$10+1,1))-AVERAGE(OFFSET($H$3,0,0,'Données projet'!$E$10+1,1))</f>
        <v>487.18832528146936</v>
      </c>
      <c r="AO193" s="59">
        <f t="shared" si="144"/>
        <v>306.61893266146666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25.40057144560782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25.40057144560782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369.00000000000023</v>
      </c>
      <c r="BE193" s="13">
        <f>BD193*VLOOKUP('Données projet'!$B$11,Paramètres!$A$1:$I$89,3,0)*VLOOKUP('Données projet'!$B$11,Paramètres!$A$1:$I$89,5,0)</f>
        <v>333.87120000000021</v>
      </c>
      <c r="BF193" s="13">
        <f t="shared" si="167"/>
        <v>78.23236011137638</v>
      </c>
      <c r="BG193" s="20">
        <f t="shared" si="168"/>
        <v>717.74703386064755</v>
      </c>
      <c r="BH193" s="59">
        <f t="shared" si="116"/>
        <v>1011.0803671939809</v>
      </c>
      <c r="BI193" s="59">
        <f ca="1">AVERAGE(OFFSET($BH$3,0,0,'Données projet'!$E$11+1,1))-AVERAGE(OFFSET($H$3,0,0,'Données projet'!$E$11+1,1))</f>
        <v>436.23918637269577</v>
      </c>
      <c r="BJ193" s="59">
        <f t="shared" si="146"/>
        <v>611.43967996341894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0.44461768125850903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0.44461768125850903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224.00000000000006</v>
      </c>
      <c r="BZ193" s="13">
        <f>BY193*VLOOKUP('Données projet'!$B$12,Paramètres!$A$1:$I$89,3,0)*VLOOKUP('Données projet'!$B$12,Paramètres!$A$1:$I$89,5,0)</f>
        <v>195.68640000000008</v>
      </c>
      <c r="CA193" s="13">
        <f t="shared" si="170"/>
        <v>48.794969360985156</v>
      </c>
      <c r="CB193" s="20">
        <f t="shared" si="171"/>
        <v>425.8050516370493</v>
      </c>
      <c r="CC193" s="59">
        <f t="shared" si="119"/>
        <v>719.13838497038262</v>
      </c>
      <c r="CD193" s="59">
        <f ca="1">AVERAGE(OFFSET($CC$3,0,0,'Données projet'!$E$12+1,1))-AVERAGE(OFFSET($H$3,0,0,'Données projet'!$E$12+1,1))</f>
        <v>304.32767345253382</v>
      </c>
      <c r="CE193" s="59">
        <f t="shared" si="148"/>
        <v>427.16091343339173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4.8014206938833661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4.8014206938833661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739.99999999999966</v>
      </c>
      <c r="CU193" s="17">
        <f>CT193*VLOOKUP('Données projet'!$B$13,Paramètres!$A$1:$I$89,3,0)*VLOOKUP('Données projet'!$B$13,Paramètres!$A$1:$I$89,5,0)</f>
        <v>413.65999999999985</v>
      </c>
      <c r="CV193" s="13">
        <f t="shared" si="173"/>
        <v>94.540585122244352</v>
      </c>
      <c r="CW193" s="20">
        <f t="shared" si="174"/>
        <v>885.11601908790863</v>
      </c>
      <c r="CX193" s="59">
        <f t="shared" si="122"/>
        <v>1178.4493524212419</v>
      </c>
      <c r="CY193" s="59">
        <f ca="1">AVERAGE(OFFSET($CX$3,0,0,'Données projet'!$E$13+1,1))-AVERAGE(OFFSET($H$3,0,0,'Données projet'!$E$13+1,1))</f>
        <v>555.15881087162279</v>
      </c>
      <c r="CZ193" s="59">
        <f t="shared" si="150"/>
        <v>668.20427590250733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9.408963414334508</v>
      </c>
      <c r="DG193" s="21">
        <f>EXP(-LN(2)/25)*DG192+(1-EXP(-LN(2)/25))/(LN(2)/25)*Calculateur!DB193*Calculateur!DD193*VLOOKUP('Données projet'!$B$13,Paramètres!$A$1:$I$89,3,0)*0.475*44/12</f>
        <v>0.68422351700871964</v>
      </c>
      <c r="DH193" s="21">
        <f>EXP(-LN(2)/2)*DH192+(1-EXP(-LN(2)/2))/(LN(2)/2)*DB193*DE193*VLOOKUP('Données projet'!$B$13,Paramètres!$A$1:$I$89,3,0)*0.475*44/12</f>
        <v>7.0350335226521576E-25</v>
      </c>
      <c r="DI193" s="22">
        <f t="shared" si="175"/>
        <v>10.093186931343228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911.99999999999898</v>
      </c>
      <c r="DP193" s="17">
        <f>DO193*VLOOKUP('Données projet'!$B$14,Paramètres!$A$1:$I$89,3,0)*VLOOKUP('Données projet'!$B$14,Paramètres!$A$1:$I$89,5,0)</f>
        <v>426.81599999999946</v>
      </c>
      <c r="DQ193" s="13">
        <f t="shared" si="176"/>
        <v>97.192496986872399</v>
      </c>
      <c r="DR193" s="20">
        <f t="shared" si="177"/>
        <v>912.64813225213504</v>
      </c>
      <c r="DS193" s="59">
        <f t="shared" si="125"/>
        <v>1205.9814655854684</v>
      </c>
      <c r="DT193" s="59">
        <f ca="1">AVERAGE(OFFSET($DS$3,0,0,'Données projet'!$E$14+1,1))-AVERAGE(OFFSET($H$3,0,0,'Données projet'!$E$14+1,1))</f>
        <v>523.79180230463714</v>
      </c>
      <c r="DU193" s="59">
        <f t="shared" si="152"/>
        <v>459.3547783500515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16.82671550544919</v>
      </c>
      <c r="EB193" s="21">
        <f>EXP(-LN(2)/25)*EB192+(1-EXP(-LN(2)/25))/(LN(2)/25)*Calculateur!DW193*Calculateur!DY193*VLOOKUP('Données projet'!$B$14,Paramètres!$A$1:$I$89,3,0)*0.475*44/12</f>
        <v>0.63282016099805261</v>
      </c>
      <c r="EC193" s="21">
        <f>EXP(-LN(2)/2)*EC192+(1-EXP(-LN(2)/2))/(LN(2)/2)*DW193*DZ193*VLOOKUP('Données projet'!$B$14,Paramètres!$A$1:$I$89,3,0)*0.475*44/12</f>
        <v>9.8619831750753773E-25</v>
      </c>
      <c r="ED193" s="22">
        <f t="shared" si="178"/>
        <v>17.459535666447241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367.99999999999972</v>
      </c>
      <c r="EK193" s="17">
        <f>EJ193*VLOOKUP('Données projet'!$B$15,Paramètres!$A$1:$I$89,3,0)*VLOOKUP('Données projet'!$B$15,Paramètres!$A$1:$I$89,5,0)</f>
        <v>355.92959999999977</v>
      </c>
      <c r="EL193" s="13">
        <f t="shared" si="179"/>
        <v>82.782281100458206</v>
      </c>
      <c r="EM193" s="20">
        <f t="shared" si="180"/>
        <v>764.08985958329765</v>
      </c>
      <c r="EN193" s="59">
        <f t="shared" si="128"/>
        <v>1057.423192916631</v>
      </c>
      <c r="EO193" s="59">
        <f ca="1">AVERAGE(OFFSET($EN$3,0,0,'Données projet'!$E$15+1,1))-AVERAGE(OFFSET($H$3,0,0,'Données projet'!$E$15+1,1))</f>
        <v>484.41278617935654</v>
      </c>
      <c r="EP193" s="59">
        <f t="shared" si="154"/>
        <v>467.97490540700738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6.8822579242911504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6.8822579242911504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367.99999999999972</v>
      </c>
      <c r="FF193" s="17">
        <f>FE193*VLOOKUP('Données projet'!$B$16,Paramètres!$A$1:$I$89,3,0)*VLOOKUP('Données projet'!$B$16,Paramètres!$A$1:$I$89,5,0)</f>
        <v>396.11519999999967</v>
      </c>
      <c r="FG193" s="13">
        <f t="shared" si="182"/>
        <v>90.988634849704994</v>
      </c>
      <c r="FH193" s="20">
        <f t="shared" si="183"/>
        <v>848.37251236323561</v>
      </c>
      <c r="FI193" s="59">
        <f t="shared" si="131"/>
        <v>1141.705845696569</v>
      </c>
      <c r="FJ193" s="59">
        <f ca="1">AVERAGE(OFFSET($FI$3,0,0,'Données projet'!$E$16+1,1))-AVERAGE(OFFSET($H$3,0,0,'Données projet'!$E$16+1,1))</f>
        <v>534.54020133239135</v>
      </c>
      <c r="FK193" s="59">
        <f t="shared" si="156"/>
        <v>515.48696069008815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7.65928704477564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7.65928704477564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248.99999999999994</v>
      </c>
      <c r="GA193" s="17">
        <f>FZ193*VLOOKUP('Données projet'!$B$17,Paramètres!$A$1:$I$89,3,0)*VLOOKUP('Données projet'!$B$17,Paramètres!$A$1:$I$89,5,0)</f>
        <v>236.94839999999994</v>
      </c>
      <c r="GB193" s="13">
        <f t="shared" si="185"/>
        <v>57.782475694292401</v>
      </c>
      <c r="GC193" s="20">
        <f t="shared" si="186"/>
        <v>513.32294183422573</v>
      </c>
      <c r="GD193" s="59">
        <f t="shared" si="134"/>
        <v>806.65627516755899</v>
      </c>
      <c r="GE193" s="59">
        <f ca="1">AVERAGE(OFFSET($GD$3,0,0,'Données projet'!$E$17+1,1))-AVERAGE(OFFSET($H$3,0,0,'Données projet'!$E$17+1,1))</f>
        <v>455.71329051283936</v>
      </c>
      <c r="GF193" s="59">
        <f t="shared" si="158"/>
        <v>479.3743231122258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17.789261980785106</v>
      </c>
      <c r="GM193" s="21">
        <f>EXP(-LN(2)/25)*GM192+(1-EXP(-LN(2)/25))/(LN(2)/25)*Calculateur!GH193*Calculateur!GJ193*VLOOKUP('Données projet'!$B$17,Paramètres!$A$1:$I$89,3,0)*0.475*44/12</f>
        <v>0</v>
      </c>
      <c r="GN193" s="21">
        <f>EXP(-LN(2)/2)*GN192+(1-EXP(-LN(2)/2))/(LN(2)/2)*GH193*GK193*VLOOKUP('Données projet'!$B$17,Paramètres!$A$1:$I$89,3,0)*0.475*44/12</f>
        <v>0</v>
      </c>
      <c r="GO193" s="21">
        <f t="shared" si="187"/>
        <v>17.789261980785106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367.99999999999972</v>
      </c>
      <c r="GV193" s="17">
        <f>GU193*VLOOKUP('Données projet'!$B$18,Paramètres!$A$1:$I$89,3,0)*VLOOKUP('Données projet'!$B$18,Paramètres!$A$1:$I$89,5,0)</f>
        <v>298.52159999999981</v>
      </c>
      <c r="GW193" s="13">
        <f t="shared" si="188"/>
        <v>70.866444995542437</v>
      </c>
      <c r="GX193" s="20">
        <f t="shared" si="189"/>
        <v>643.35084503390271</v>
      </c>
      <c r="GY193" s="59">
        <f t="shared" si="137"/>
        <v>936.68417836723597</v>
      </c>
      <c r="GZ193" s="59">
        <f ca="1">AVERAGE(OFFSET($GY$3,0,0,'Données projet'!$E$18+1,1))-AVERAGE(OFFSET($H$3,0,0,'Données projet'!$E$18+1,1))</f>
        <v>412.59676769258488</v>
      </c>
      <c r="HA193" s="59">
        <f t="shared" si="160"/>
        <v>399.90063795152133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5.7722163235990287</v>
      </c>
      <c r="HH193" s="21">
        <f>EXP(-LN(2)/25)*HH192+(1-EXP(-LN(2)/25))/(LN(2)/25)*Calculateur!HC193*Calculateur!HE193*VLOOKUP('Données projet'!$B$18,Paramètres!$A$1:$I$89,3,0)*0.475*44/12</f>
        <v>0</v>
      </c>
      <c r="HI193" s="21">
        <f>EXP(-LN(2)/2)*HI192+(1-EXP(-LN(2)/2))/(LN(2)/2)*HC193*HF193*VLOOKUP('Données projet'!$B$18,Paramètres!$A$1:$I$89,3,0)*0.475*44/12</f>
        <v>0</v>
      </c>
      <c r="HJ193" s="22">
        <f t="shared" si="190"/>
        <v>5.7722163235990287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306.99999999999994</v>
      </c>
      <c r="O194" s="13">
        <f>N194*VLOOKUP('Données projet'!$B$9,Paramètres!$A$1:$I$89,3,0)*VLOOKUP('Données projet'!$B$9,Paramètres!$A$1:$I$89,5,0)</f>
        <v>277.77359999999993</v>
      </c>
      <c r="P194" s="13">
        <f t="shared" si="141"/>
        <v>66.496288176842356</v>
      </c>
      <c r="Q194" s="20">
        <f t="shared" si="162"/>
        <v>599.60338857466706</v>
      </c>
      <c r="R194" s="59">
        <f t="shared" si="109"/>
        <v>892.93672190800044</v>
      </c>
      <c r="S194" s="59">
        <f ca="1">AVERAGE(OFFSET($R$3,0,0,'Données projet'!$E$9+1,1))-AVERAGE(OFFSET($H$3,0,0,'Données projet'!$E$9+1,1))</f>
        <v>439.19854273764042</v>
      </c>
      <c r="T194" s="59">
        <f t="shared" si="142"/>
        <v>278.21741231699929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22.220676007352889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22.220676007352889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306.99999999999994</v>
      </c>
      <c r="AJ194" s="13">
        <f>AI194*VLOOKUP('Données projet'!$B$10,Paramètres!$A$1:$I$89,3,0)*VLOOKUP('Données projet'!$B$10,Paramètres!$A$1:$I$89,5,0)</f>
        <v>311.298</v>
      </c>
      <c r="AK194" s="13">
        <f t="shared" si="164"/>
        <v>73.539838278528748</v>
      </c>
      <c r="AL194" s="20">
        <f t="shared" si="165"/>
        <v>670.25923500177089</v>
      </c>
      <c r="AM194" s="59">
        <f t="shared" si="113"/>
        <v>963.59256833510426</v>
      </c>
      <c r="AN194" s="59">
        <f ca="1">AVERAGE(OFFSET($AM$3,0,0,'Données projet'!$E$10+1,1))-AVERAGE(OFFSET($H$3,0,0,'Données projet'!$E$10+1,1))</f>
        <v>487.18832528146936</v>
      </c>
      <c r="AO194" s="59">
        <f t="shared" si="144"/>
        <v>306.61893266146666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24.902481732378245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24.902481732378245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369.00000000000023</v>
      </c>
      <c r="BE194" s="13">
        <f>BD194*VLOOKUP('Données projet'!$B$11,Paramètres!$A$1:$I$89,3,0)*VLOOKUP('Données projet'!$B$11,Paramètres!$A$1:$I$89,5,0)</f>
        <v>333.87120000000021</v>
      </c>
      <c r="BF194" s="13">
        <f t="shared" si="167"/>
        <v>78.23236011137638</v>
      </c>
      <c r="BG194" s="20">
        <f t="shared" si="168"/>
        <v>717.74703386064755</v>
      </c>
      <c r="BH194" s="59">
        <f t="shared" si="116"/>
        <v>1011.0803671939809</v>
      </c>
      <c r="BI194" s="59">
        <f ca="1">AVERAGE(OFFSET($BH$3,0,0,'Données projet'!$E$11+1,1))-AVERAGE(OFFSET($H$3,0,0,'Données projet'!$E$11+1,1))</f>
        <v>436.23918637269577</v>
      </c>
      <c r="BJ194" s="59">
        <f t="shared" si="146"/>
        <v>611.43967996341894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0.43589899971903745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0.43589899971903745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224.00000000000006</v>
      </c>
      <c r="BZ194" s="13">
        <f>BY194*VLOOKUP('Données projet'!$B$12,Paramètres!$A$1:$I$89,3,0)*VLOOKUP('Données projet'!$B$12,Paramètres!$A$1:$I$89,5,0)</f>
        <v>195.68640000000008</v>
      </c>
      <c r="CA194" s="13">
        <f t="shared" si="170"/>
        <v>48.794969360985156</v>
      </c>
      <c r="CB194" s="20">
        <f t="shared" si="171"/>
        <v>425.8050516370493</v>
      </c>
      <c r="CC194" s="59">
        <f t="shared" si="119"/>
        <v>719.13838497038262</v>
      </c>
      <c r="CD194" s="59">
        <f ca="1">AVERAGE(OFFSET($CC$3,0,0,'Données projet'!$E$12+1,1))-AVERAGE(OFFSET($H$3,0,0,'Données projet'!$E$12+1,1))</f>
        <v>304.32767345253382</v>
      </c>
      <c r="CE194" s="59">
        <f t="shared" si="148"/>
        <v>427.16091343339173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4.707267762653764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4.707267762653764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739.99999999999966</v>
      </c>
      <c r="CU194" s="17">
        <f>CT194*VLOOKUP('Données projet'!$B$13,Paramètres!$A$1:$I$89,3,0)*VLOOKUP('Données projet'!$B$13,Paramètres!$A$1:$I$89,5,0)</f>
        <v>413.65999999999985</v>
      </c>
      <c r="CV194" s="13">
        <f t="shared" si="173"/>
        <v>94.540585122244352</v>
      </c>
      <c r="CW194" s="20">
        <f t="shared" si="174"/>
        <v>885.11601908790863</v>
      </c>
      <c r="CX194" s="59">
        <f t="shared" si="122"/>
        <v>1178.4493524212419</v>
      </c>
      <c r="CY194" s="59">
        <f ca="1">AVERAGE(OFFSET($CX$3,0,0,'Données projet'!$E$13+1,1))-AVERAGE(OFFSET($H$3,0,0,'Données projet'!$E$13+1,1))</f>
        <v>555.15881087162279</v>
      </c>
      <c r="CZ194" s="59">
        <f t="shared" si="150"/>
        <v>668.20427590250733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9.2244593806804218</v>
      </c>
      <c r="DG194" s="21">
        <f>EXP(-LN(2)/25)*DG193+(1-EXP(-LN(2)/25))/(LN(2)/25)*Calculateur!DB194*Calculateur!DD194*VLOOKUP('Données projet'!$B$13,Paramètres!$A$1:$I$89,3,0)*0.475*44/12</f>
        <v>0.66551338895436529</v>
      </c>
      <c r="DH194" s="21">
        <f>EXP(-LN(2)/2)*DH193+(1-EXP(-LN(2)/2))/(LN(2)/2)*DB194*DE194*VLOOKUP('Données projet'!$B$13,Paramètres!$A$1:$I$89,3,0)*0.475*44/12</f>
        <v>4.9745199097420257E-25</v>
      </c>
      <c r="DI194" s="22">
        <f t="shared" si="175"/>
        <v>9.8899727696347863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911.99999999999898</v>
      </c>
      <c r="DP194" s="17">
        <f>DO194*VLOOKUP('Données projet'!$B$14,Paramètres!$A$1:$I$89,3,0)*VLOOKUP('Données projet'!$B$14,Paramètres!$A$1:$I$89,5,0)</f>
        <v>426.81599999999946</v>
      </c>
      <c r="DQ194" s="13">
        <f t="shared" si="176"/>
        <v>97.192496986872399</v>
      </c>
      <c r="DR194" s="20">
        <f t="shared" si="177"/>
        <v>912.64813225213504</v>
      </c>
      <c r="DS194" s="59">
        <f t="shared" si="125"/>
        <v>1205.9814655854684</v>
      </c>
      <c r="DT194" s="59">
        <f ca="1">AVERAGE(OFFSET($DS$3,0,0,'Données projet'!$E$14+1,1))-AVERAGE(OFFSET($H$3,0,0,'Données projet'!$E$14+1,1))</f>
        <v>523.79180230463714</v>
      </c>
      <c r="DU194" s="59">
        <f t="shared" si="152"/>
        <v>459.3547783500515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16.496753877670375</v>
      </c>
      <c r="EB194" s="21">
        <f>EXP(-LN(2)/25)*EB193+(1-EXP(-LN(2)/25))/(LN(2)/25)*Calculateur!DW194*Calculateur!DY194*VLOOKUP('Données projet'!$B$14,Paramètres!$A$1:$I$89,3,0)*0.475*44/12</f>
        <v>0.6155156604169949</v>
      </c>
      <c r="EC194" s="21">
        <f>EXP(-LN(2)/2)*EC193+(1-EXP(-LN(2)/2))/(LN(2)/2)*DW194*DZ194*VLOOKUP('Données projet'!$B$14,Paramètres!$A$1:$I$89,3,0)*0.475*44/12</f>
        <v>6.9734751790434381E-25</v>
      </c>
      <c r="ED194" s="22">
        <f t="shared" si="178"/>
        <v>17.112269538087372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367.99999999999972</v>
      </c>
      <c r="EK194" s="17">
        <f>EJ194*VLOOKUP('Données projet'!$B$15,Paramètres!$A$1:$I$89,3,0)*VLOOKUP('Données projet'!$B$15,Paramètres!$A$1:$I$89,5,0)</f>
        <v>355.92959999999977</v>
      </c>
      <c r="EL194" s="13">
        <f t="shared" si="179"/>
        <v>82.782281100458206</v>
      </c>
      <c r="EM194" s="20">
        <f t="shared" si="180"/>
        <v>764.08985958329765</v>
      </c>
      <c r="EN194" s="59">
        <f t="shared" si="128"/>
        <v>1057.423192916631</v>
      </c>
      <c r="EO194" s="59">
        <f ca="1">AVERAGE(OFFSET($EN$3,0,0,'Données projet'!$E$15+1,1))-AVERAGE(OFFSET($H$3,0,0,'Données projet'!$E$15+1,1))</f>
        <v>484.41278617935654</v>
      </c>
      <c r="EP194" s="59">
        <f t="shared" si="154"/>
        <v>467.97490540700738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6.7473010441586396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6.7473010441586396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367.99999999999972</v>
      </c>
      <c r="FF194" s="17">
        <f>FE194*VLOOKUP('Données projet'!$B$16,Paramètres!$A$1:$I$89,3,0)*VLOOKUP('Données projet'!$B$16,Paramètres!$A$1:$I$89,5,0)</f>
        <v>396.11519999999967</v>
      </c>
      <c r="FG194" s="13">
        <f t="shared" si="182"/>
        <v>90.988634849704994</v>
      </c>
      <c r="FH194" s="20">
        <f t="shared" si="183"/>
        <v>848.37251236323561</v>
      </c>
      <c r="FI194" s="59">
        <f t="shared" si="131"/>
        <v>1141.705845696569</v>
      </c>
      <c r="FJ194" s="59">
        <f ca="1">AVERAGE(OFFSET($FI$3,0,0,'Données projet'!$E$16+1,1))-AVERAGE(OFFSET($H$3,0,0,'Données projet'!$E$16+1,1))</f>
        <v>534.54020133239135</v>
      </c>
      <c r="FK194" s="59">
        <f t="shared" si="156"/>
        <v>515.48696069008815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7.5090930975313945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7.5090930975313945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248.99999999999994</v>
      </c>
      <c r="GA194" s="17">
        <f>FZ194*VLOOKUP('Données projet'!$B$17,Paramètres!$A$1:$I$89,3,0)*VLOOKUP('Données projet'!$B$17,Paramètres!$A$1:$I$89,5,0)</f>
        <v>236.94839999999994</v>
      </c>
      <c r="GB194" s="13">
        <f t="shared" si="185"/>
        <v>57.782475694292401</v>
      </c>
      <c r="GC194" s="20">
        <f t="shared" si="186"/>
        <v>513.32294183422573</v>
      </c>
      <c r="GD194" s="59">
        <f t="shared" si="134"/>
        <v>806.65627516755899</v>
      </c>
      <c r="GE194" s="59">
        <f ca="1">AVERAGE(OFFSET($GD$3,0,0,'Données projet'!$E$17+1,1))-AVERAGE(OFFSET($H$3,0,0,'Données projet'!$E$17+1,1))</f>
        <v>455.71329051283936</v>
      </c>
      <c r="GF194" s="59">
        <f t="shared" si="158"/>
        <v>479.3743231122258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17.440425403720333</v>
      </c>
      <c r="GM194" s="21">
        <f>EXP(-LN(2)/25)*GM193+(1-EXP(-LN(2)/25))/(LN(2)/25)*Calculateur!GH194*Calculateur!GJ194*VLOOKUP('Données projet'!$B$17,Paramètres!$A$1:$I$89,3,0)*0.475*44/12</f>
        <v>0</v>
      </c>
      <c r="GN194" s="21">
        <f>EXP(-LN(2)/2)*GN193+(1-EXP(-LN(2)/2))/(LN(2)/2)*GH194*GK194*VLOOKUP('Données projet'!$B$17,Paramètres!$A$1:$I$89,3,0)*0.475*44/12</f>
        <v>0</v>
      </c>
      <c r="GO194" s="21">
        <f t="shared" si="187"/>
        <v>17.440425403720333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367.99999999999972</v>
      </c>
      <c r="GV194" s="17">
        <f>GU194*VLOOKUP('Données projet'!$B$18,Paramètres!$A$1:$I$89,3,0)*VLOOKUP('Données projet'!$B$18,Paramètres!$A$1:$I$89,5,0)</f>
        <v>298.52159999999981</v>
      </c>
      <c r="GW194" s="13">
        <f t="shared" si="188"/>
        <v>70.866444995542437</v>
      </c>
      <c r="GX194" s="20">
        <f t="shared" si="189"/>
        <v>643.35084503390271</v>
      </c>
      <c r="GY194" s="59">
        <f t="shared" si="137"/>
        <v>936.68417836723597</v>
      </c>
      <c r="GZ194" s="59">
        <f ca="1">AVERAGE(OFFSET($GY$3,0,0,'Données projet'!$E$18+1,1))-AVERAGE(OFFSET($H$3,0,0,'Données projet'!$E$18+1,1))</f>
        <v>412.59676769258488</v>
      </c>
      <c r="HA194" s="59">
        <f t="shared" si="160"/>
        <v>399.90063795152133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5.6590266821975685</v>
      </c>
      <c r="HH194" s="21">
        <f>EXP(-LN(2)/25)*HH193+(1-EXP(-LN(2)/25))/(LN(2)/25)*Calculateur!HC194*Calculateur!HE194*VLOOKUP('Données projet'!$B$18,Paramètres!$A$1:$I$89,3,0)*0.475*44/12</f>
        <v>0</v>
      </c>
      <c r="HI194" s="21">
        <f>EXP(-LN(2)/2)*HI193+(1-EXP(-LN(2)/2))/(LN(2)/2)*HC194*HF194*VLOOKUP('Données projet'!$B$18,Paramètres!$A$1:$I$89,3,0)*0.475*44/12</f>
        <v>0</v>
      </c>
      <c r="HJ194" s="22">
        <f t="shared" si="190"/>
        <v>5.6590266821975685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306.99999999999994</v>
      </c>
      <c r="O195" s="13">
        <f>N195*VLOOKUP('Données projet'!$B$9,Paramètres!$A$1:$I$89,3,0)*VLOOKUP('Données projet'!$B$9,Paramètres!$A$1:$I$89,5,0)</f>
        <v>277.77359999999993</v>
      </c>
      <c r="P195" s="13">
        <f t="shared" si="141"/>
        <v>66.496288176842356</v>
      </c>
      <c r="Q195" s="20">
        <f t="shared" si="162"/>
        <v>599.60338857466706</v>
      </c>
      <c r="R195" s="59">
        <f t="shared" ref="R195:R203" si="191">Q195+(I195+J195)*44/12</f>
        <v>892.93672190800044</v>
      </c>
      <c r="S195" s="59">
        <f ca="1">AVERAGE(OFFSET($R$3,0,0,'Données projet'!$E$9+1,1))-AVERAGE(OFFSET($H$3,0,0,'Données projet'!$E$9+1,1))</f>
        <v>439.19854273764042</v>
      </c>
      <c r="T195" s="59">
        <f t="shared" si="142"/>
        <v>278.21741231699929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21.784942104122788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21.784942104122788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306.99999999999994</v>
      </c>
      <c r="AJ195" s="13">
        <f>AI195*VLOOKUP('Données projet'!$B$10,Paramètres!$A$1:$I$89,3,0)*VLOOKUP('Données projet'!$B$10,Paramètres!$A$1:$I$89,5,0)</f>
        <v>311.298</v>
      </c>
      <c r="AK195" s="13">
        <f t="shared" si="164"/>
        <v>73.539838278528748</v>
      </c>
      <c r="AL195" s="20">
        <f t="shared" si="165"/>
        <v>670.25923500177089</v>
      </c>
      <c r="AM195" s="59">
        <f t="shared" si="113"/>
        <v>963.59256833510426</v>
      </c>
      <c r="AN195" s="59">
        <f ca="1">AVERAGE(OFFSET($AM$3,0,0,'Données projet'!$E$10+1,1))-AVERAGE(OFFSET($H$3,0,0,'Données projet'!$E$10+1,1))</f>
        <v>487.18832528146936</v>
      </c>
      <c r="AO195" s="59">
        <f t="shared" si="144"/>
        <v>306.61893266146666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24.414159254620373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24.414159254620373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369.00000000000023</v>
      </c>
      <c r="BE195" s="13">
        <f>BD195*VLOOKUP('Données projet'!$B$11,Paramètres!$A$1:$I$89,3,0)*VLOOKUP('Données projet'!$B$11,Paramètres!$A$1:$I$89,5,0)</f>
        <v>333.87120000000021</v>
      </c>
      <c r="BF195" s="13">
        <f t="shared" si="167"/>
        <v>78.23236011137638</v>
      </c>
      <c r="BG195" s="20">
        <f t="shared" si="168"/>
        <v>717.74703386064755</v>
      </c>
      <c r="BH195" s="59">
        <f t="shared" si="116"/>
        <v>1011.0803671939809</v>
      </c>
      <c r="BI195" s="59">
        <f ca="1">AVERAGE(OFFSET($BH$3,0,0,'Données projet'!$E$11+1,1))-AVERAGE(OFFSET($H$3,0,0,'Données projet'!$E$11+1,1))</f>
        <v>436.23918637269577</v>
      </c>
      <c r="BJ195" s="59">
        <f t="shared" si="146"/>
        <v>611.43967996341894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0.42735128620668428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0.42735128620668428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224.00000000000006</v>
      </c>
      <c r="BZ195" s="13">
        <f>BY195*VLOOKUP('Données projet'!$B$12,Paramètres!$A$1:$I$89,3,0)*VLOOKUP('Données projet'!$B$12,Paramètres!$A$1:$I$89,5,0)</f>
        <v>195.68640000000008</v>
      </c>
      <c r="CA195" s="13">
        <f t="shared" si="170"/>
        <v>48.794969360985156</v>
      </c>
      <c r="CB195" s="20">
        <f t="shared" si="171"/>
        <v>425.8050516370493</v>
      </c>
      <c r="CC195" s="59">
        <f t="shared" si="119"/>
        <v>719.13838497038262</v>
      </c>
      <c r="CD195" s="59">
        <f ca="1">AVERAGE(OFFSET($CC$3,0,0,'Données projet'!$E$12+1,1))-AVERAGE(OFFSET($H$3,0,0,'Données projet'!$E$12+1,1))</f>
        <v>304.32767345253382</v>
      </c>
      <c r="CE195" s="59">
        <f t="shared" si="148"/>
        <v>427.16091343339173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4.6149611129779569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4.6149611129779569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739.99999999999966</v>
      </c>
      <c r="CU195" s="17">
        <f>CT195*VLOOKUP('Données projet'!$B$13,Paramètres!$A$1:$I$89,3,0)*VLOOKUP('Données projet'!$B$13,Paramètres!$A$1:$I$89,5,0)</f>
        <v>413.65999999999985</v>
      </c>
      <c r="CV195" s="13">
        <f t="shared" si="173"/>
        <v>94.540585122244352</v>
      </c>
      <c r="CW195" s="20">
        <f t="shared" si="174"/>
        <v>885.11601908790863</v>
      </c>
      <c r="CX195" s="59">
        <f t="shared" si="122"/>
        <v>1178.4493524212419</v>
      </c>
      <c r="CY195" s="59">
        <f ca="1">AVERAGE(OFFSET($CX$3,0,0,'Données projet'!$E$13+1,1))-AVERAGE(OFFSET($H$3,0,0,'Données projet'!$E$13+1,1))</f>
        <v>555.15881087162279</v>
      </c>
      <c r="CZ195" s="59">
        <f t="shared" si="150"/>
        <v>668.20427590250733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9.0435733585899438</v>
      </c>
      <c r="DG195" s="21">
        <f>EXP(-LN(2)/25)*DG194+(1-EXP(-LN(2)/25))/(LN(2)/25)*Calculateur!DB195*Calculateur!DD195*VLOOKUP('Données projet'!$B$13,Paramètres!$A$1:$I$89,3,0)*0.475*44/12</f>
        <v>0.6473148903355801</v>
      </c>
      <c r="DH195" s="21">
        <f>EXP(-LN(2)/2)*DH194+(1-EXP(-LN(2)/2))/(LN(2)/2)*DB195*DE195*VLOOKUP('Données projet'!$B$13,Paramètres!$A$1:$I$89,3,0)*0.475*44/12</f>
        <v>3.5175167613260788E-25</v>
      </c>
      <c r="DI195" s="22">
        <f t="shared" si="175"/>
        <v>9.6908882489255248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911.99999999999898</v>
      </c>
      <c r="DP195" s="17">
        <f>DO195*VLOOKUP('Données projet'!$B$14,Paramètres!$A$1:$I$89,3,0)*VLOOKUP('Données projet'!$B$14,Paramètres!$A$1:$I$89,5,0)</f>
        <v>426.81599999999946</v>
      </c>
      <c r="DQ195" s="13">
        <f t="shared" si="176"/>
        <v>97.192496986872399</v>
      </c>
      <c r="DR195" s="20">
        <f t="shared" si="177"/>
        <v>912.64813225213504</v>
      </c>
      <c r="DS195" s="59">
        <f t="shared" si="125"/>
        <v>1205.9814655854684</v>
      </c>
      <c r="DT195" s="59">
        <f ca="1">AVERAGE(OFFSET($DS$3,0,0,'Données projet'!$E$14+1,1))-AVERAGE(OFFSET($H$3,0,0,'Données projet'!$E$14+1,1))</f>
        <v>523.79180230463714</v>
      </c>
      <c r="DU195" s="59">
        <f t="shared" si="152"/>
        <v>459.3547783500515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16.173262596155581</v>
      </c>
      <c r="EB195" s="21">
        <f>EXP(-LN(2)/25)*EB194+(1-EXP(-LN(2)/25))/(LN(2)/25)*Calculateur!DW195*Calculateur!DY195*VLOOKUP('Données projet'!$B$14,Paramètres!$A$1:$I$89,3,0)*0.475*44/12</f>
        <v>0.59868435231433037</v>
      </c>
      <c r="EC195" s="21">
        <f>EXP(-LN(2)/2)*EC194+(1-EXP(-LN(2)/2))/(LN(2)/2)*DW195*DZ195*VLOOKUP('Données projet'!$B$14,Paramètres!$A$1:$I$89,3,0)*0.475*44/12</f>
        <v>4.9309915875376887E-25</v>
      </c>
      <c r="ED195" s="22">
        <f t="shared" si="178"/>
        <v>16.77194694846991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367.99999999999972</v>
      </c>
      <c r="EK195" s="17">
        <f>EJ195*VLOOKUP('Données projet'!$B$15,Paramètres!$A$1:$I$89,3,0)*VLOOKUP('Données projet'!$B$15,Paramètres!$A$1:$I$89,5,0)</f>
        <v>355.92959999999977</v>
      </c>
      <c r="EL195" s="13">
        <f t="shared" si="179"/>
        <v>82.782281100458206</v>
      </c>
      <c r="EM195" s="20">
        <f t="shared" si="180"/>
        <v>764.08985958329765</v>
      </c>
      <c r="EN195" s="59">
        <f t="shared" si="128"/>
        <v>1057.423192916631</v>
      </c>
      <c r="EO195" s="59">
        <f ca="1">AVERAGE(OFFSET($EN$3,0,0,'Données projet'!$E$15+1,1))-AVERAGE(OFFSET($H$3,0,0,'Données projet'!$E$15+1,1))</f>
        <v>484.41278617935654</v>
      </c>
      <c r="EP195" s="59">
        <f t="shared" si="154"/>
        <v>467.97490540700738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6.6149905861299594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6.6149905861299594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367.99999999999972</v>
      </c>
      <c r="FF195" s="17">
        <f>FE195*VLOOKUP('Données projet'!$B$16,Paramètres!$A$1:$I$89,3,0)*VLOOKUP('Données projet'!$B$16,Paramètres!$A$1:$I$89,5,0)</f>
        <v>396.11519999999967</v>
      </c>
      <c r="FG195" s="13">
        <f t="shared" si="182"/>
        <v>90.988634849704994</v>
      </c>
      <c r="FH195" s="20">
        <f t="shared" si="183"/>
        <v>848.37251236323561</v>
      </c>
      <c r="FI195" s="59">
        <f t="shared" si="131"/>
        <v>1141.705845696569</v>
      </c>
      <c r="FJ195" s="59">
        <f ca="1">AVERAGE(OFFSET($FI$3,0,0,'Données projet'!$E$16+1,1))-AVERAGE(OFFSET($H$3,0,0,'Données projet'!$E$16+1,1))</f>
        <v>534.54020133239135</v>
      </c>
      <c r="FK195" s="59">
        <f t="shared" si="156"/>
        <v>515.48696069008815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7.3618443619833469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7.3618443619833469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248.99999999999994</v>
      </c>
      <c r="GA195" s="17">
        <f>FZ195*VLOOKUP('Données projet'!$B$17,Paramètres!$A$1:$I$89,3,0)*VLOOKUP('Données projet'!$B$17,Paramètres!$A$1:$I$89,5,0)</f>
        <v>236.94839999999994</v>
      </c>
      <c r="GB195" s="13">
        <f t="shared" si="185"/>
        <v>57.782475694292401</v>
      </c>
      <c r="GC195" s="20">
        <f t="shared" si="186"/>
        <v>513.32294183422573</v>
      </c>
      <c r="GD195" s="59">
        <f t="shared" si="134"/>
        <v>806.65627516755899</v>
      </c>
      <c r="GE195" s="59">
        <f ca="1">AVERAGE(OFFSET($GD$3,0,0,'Données projet'!$E$17+1,1))-AVERAGE(OFFSET($H$3,0,0,'Données projet'!$E$17+1,1))</f>
        <v>455.71329051283936</v>
      </c>
      <c r="GF195" s="59">
        <f t="shared" si="158"/>
        <v>479.3743231122258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17.098429299162497</v>
      </c>
      <c r="GM195" s="21">
        <f>EXP(-LN(2)/25)*GM194+(1-EXP(-LN(2)/25))/(LN(2)/25)*Calculateur!GH195*Calculateur!GJ195*VLOOKUP('Données projet'!$B$17,Paramètres!$A$1:$I$89,3,0)*0.475*44/12</f>
        <v>0</v>
      </c>
      <c r="GN195" s="21">
        <f>EXP(-LN(2)/2)*GN194+(1-EXP(-LN(2)/2))/(LN(2)/2)*GH195*GK195*VLOOKUP('Données projet'!$B$17,Paramètres!$A$1:$I$89,3,0)*0.475*44/12</f>
        <v>0</v>
      </c>
      <c r="GO195" s="21">
        <f t="shared" si="187"/>
        <v>17.098429299162497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367.99999999999972</v>
      </c>
      <c r="GV195" s="17">
        <f>GU195*VLOOKUP('Données projet'!$B$18,Paramètres!$A$1:$I$89,3,0)*VLOOKUP('Données projet'!$B$18,Paramètres!$A$1:$I$89,5,0)</f>
        <v>298.52159999999981</v>
      </c>
      <c r="GW195" s="13">
        <f t="shared" si="188"/>
        <v>70.866444995542437</v>
      </c>
      <c r="GX195" s="20">
        <f t="shared" si="189"/>
        <v>643.35084503390271</v>
      </c>
      <c r="GY195" s="59">
        <f t="shared" si="137"/>
        <v>936.68417836723597</v>
      </c>
      <c r="GZ195" s="59">
        <f ca="1">AVERAGE(OFFSET($GY$3,0,0,'Données projet'!$E$18+1,1))-AVERAGE(OFFSET($H$3,0,0,'Données projet'!$E$18+1,1))</f>
        <v>412.59676769258488</v>
      </c>
      <c r="HA195" s="59">
        <f t="shared" si="160"/>
        <v>399.90063795152133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5.5480566206251263</v>
      </c>
      <c r="HH195" s="21">
        <f>EXP(-LN(2)/25)*HH194+(1-EXP(-LN(2)/25))/(LN(2)/25)*Calculateur!HC195*Calculateur!HE195*VLOOKUP('Données projet'!$B$18,Paramètres!$A$1:$I$89,3,0)*0.475*44/12</f>
        <v>0</v>
      </c>
      <c r="HI195" s="21">
        <f>EXP(-LN(2)/2)*HI194+(1-EXP(-LN(2)/2))/(LN(2)/2)*HC195*HF195*VLOOKUP('Données projet'!$B$18,Paramètres!$A$1:$I$89,3,0)*0.475*44/12</f>
        <v>0</v>
      </c>
      <c r="HJ195" s="22">
        <f t="shared" si="190"/>
        <v>5.5480566206251263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306.99999999999994</v>
      </c>
      <c r="O196" s="13">
        <f>N196*VLOOKUP('Données projet'!$B$9,Paramètres!$A$1:$I$89,3,0)*VLOOKUP('Données projet'!$B$9,Paramètres!$A$1:$I$89,5,0)</f>
        <v>277.77359999999993</v>
      </c>
      <c r="P196" s="13">
        <f t="shared" si="141"/>
        <v>66.496288176842356</v>
      </c>
      <c r="Q196" s="20">
        <f t="shared" si="162"/>
        <v>599.60338857466706</v>
      </c>
      <c r="R196" s="59">
        <f t="shared" si="191"/>
        <v>892.93672190800044</v>
      </c>
      <c r="S196" s="59">
        <f ca="1">AVERAGE(OFFSET($R$3,0,0,'Données projet'!$E$9+1,1))-AVERAGE(OFFSET($H$3,0,0,'Données projet'!$E$9+1,1))</f>
        <v>439.19854273764042</v>
      </c>
      <c r="T196" s="59">
        <f t="shared" si="142"/>
        <v>278.21741231699929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21.357752676963592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21.357752676963592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306.99999999999994</v>
      </c>
      <c r="AJ196" s="13">
        <f>AI196*VLOOKUP('Données projet'!$B$10,Paramètres!$A$1:$I$89,3,0)*VLOOKUP('Données projet'!$B$10,Paramètres!$A$1:$I$89,5,0)</f>
        <v>311.298</v>
      </c>
      <c r="AK196" s="13">
        <f t="shared" si="164"/>
        <v>73.539838278528748</v>
      </c>
      <c r="AL196" s="20">
        <f t="shared" si="165"/>
        <v>670.25923500177089</v>
      </c>
      <c r="AM196" s="59">
        <f t="shared" ref="AM196:AM203" si="193">AL196+(AD196+AE196)*44/12</f>
        <v>963.59256833510426</v>
      </c>
      <c r="AN196" s="59">
        <f ca="1">AVERAGE(OFFSET($AM$3,0,0,'Données projet'!$E$10+1,1))-AVERAGE(OFFSET($H$3,0,0,'Données projet'!$E$10+1,1))</f>
        <v>487.18832528146936</v>
      </c>
      <c r="AO196" s="59">
        <f t="shared" si="144"/>
        <v>306.61893266146666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23.935412482804033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23.935412482804033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369.00000000000023</v>
      </c>
      <c r="BE196" s="13">
        <f>BD196*VLOOKUP('Données projet'!$B$11,Paramètres!$A$1:$I$89,3,0)*VLOOKUP('Données projet'!$B$11,Paramètres!$A$1:$I$89,5,0)</f>
        <v>333.87120000000021</v>
      </c>
      <c r="BF196" s="13">
        <f t="shared" si="167"/>
        <v>78.23236011137638</v>
      </c>
      <c r="BG196" s="20">
        <f t="shared" si="168"/>
        <v>717.74703386064755</v>
      </c>
      <c r="BH196" s="59">
        <f t="shared" ref="BH196:BH203" si="194">BG196+(AY196+AZ196)*44/12</f>
        <v>1011.0803671939809</v>
      </c>
      <c r="BI196" s="59">
        <f ca="1">AVERAGE(OFFSET($BH$3,0,0,'Données projet'!$E$11+1,1))-AVERAGE(OFFSET($H$3,0,0,'Données projet'!$E$11+1,1))</f>
        <v>436.23918637269577</v>
      </c>
      <c r="BJ196" s="59">
        <f t="shared" si="146"/>
        <v>611.43967996341894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0.41897118814271789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0.41897118814271789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224.00000000000006</v>
      </c>
      <c r="BZ196" s="13">
        <f>BY196*VLOOKUP('Données projet'!$B$12,Paramètres!$A$1:$I$89,3,0)*VLOOKUP('Données projet'!$B$12,Paramètres!$A$1:$I$89,5,0)</f>
        <v>195.68640000000008</v>
      </c>
      <c r="CA196" s="13">
        <f t="shared" si="170"/>
        <v>48.794969360985156</v>
      </c>
      <c r="CB196" s="20">
        <f t="shared" si="171"/>
        <v>425.8050516370493</v>
      </c>
      <c r="CC196" s="59">
        <f t="shared" ref="CC196:CC203" si="195">CB196+(BT196+BU196)*44/12</f>
        <v>719.13838497038262</v>
      </c>
      <c r="CD196" s="59">
        <f ca="1">AVERAGE(OFFSET($CC$3,0,0,'Données projet'!$E$12+1,1))-AVERAGE(OFFSET($H$3,0,0,'Données projet'!$E$12+1,1))</f>
        <v>304.32767345253382</v>
      </c>
      <c r="CE196" s="59">
        <f t="shared" si="148"/>
        <v>427.16091343339173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4.5244645404007953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4.5244645404007953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739.99999999999966</v>
      </c>
      <c r="CU196" s="17">
        <f>CT196*VLOOKUP('Données projet'!$B$13,Paramètres!$A$1:$I$89,3,0)*VLOOKUP('Données projet'!$B$13,Paramètres!$A$1:$I$89,5,0)</f>
        <v>413.65999999999985</v>
      </c>
      <c r="CV196" s="13">
        <f t="shared" si="173"/>
        <v>94.540585122244352</v>
      </c>
      <c r="CW196" s="20">
        <f t="shared" si="174"/>
        <v>885.11601908790863</v>
      </c>
      <c r="CX196" s="59">
        <f t="shared" ref="CX196:CX203" si="196">CW196+(CO196+CP196)*44/12</f>
        <v>1178.4493524212419</v>
      </c>
      <c r="CY196" s="59">
        <f ca="1">AVERAGE(OFFSET($CX$3,0,0,'Données projet'!$E$13+1,1))-AVERAGE(OFFSET($H$3,0,0,'Données projet'!$E$13+1,1))</f>
        <v>555.15881087162279</v>
      </c>
      <c r="CZ196" s="59">
        <f t="shared" si="150"/>
        <v>668.20427590250733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8.86623440106308</v>
      </c>
      <c r="DG196" s="21">
        <f>EXP(-LN(2)/25)*DG195+(1-EXP(-LN(2)/25))/(LN(2)/25)*Calculateur!DB196*Calculateur!DD196*VLOOKUP('Données projet'!$B$13,Paramètres!$A$1:$I$89,3,0)*0.475*44/12</f>
        <v>0.62961403061854304</v>
      </c>
      <c r="DH196" s="21">
        <f>EXP(-LN(2)/2)*DH195+(1-EXP(-LN(2)/2))/(LN(2)/2)*DB196*DE196*VLOOKUP('Données projet'!$B$13,Paramètres!$A$1:$I$89,3,0)*0.475*44/12</f>
        <v>2.4872599548710129E-25</v>
      </c>
      <c r="DI196" s="22">
        <f t="shared" si="175"/>
        <v>9.4958484316816225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911.99999999999898</v>
      </c>
      <c r="DP196" s="17">
        <f>DO196*VLOOKUP('Données projet'!$B$14,Paramètres!$A$1:$I$89,3,0)*VLOOKUP('Données projet'!$B$14,Paramètres!$A$1:$I$89,5,0)</f>
        <v>426.81599999999946</v>
      </c>
      <c r="DQ196" s="13">
        <f t="shared" si="176"/>
        <v>97.192496986872399</v>
      </c>
      <c r="DR196" s="20">
        <f t="shared" si="177"/>
        <v>912.64813225213504</v>
      </c>
      <c r="DS196" s="59">
        <f t="shared" ref="DS196:DS203" si="197">DR196+(DJ196+DK196)*44/12</f>
        <v>1205.9814655854684</v>
      </c>
      <c r="DT196" s="59">
        <f ca="1">AVERAGE(OFFSET($DS$3,0,0,'Données projet'!$E$14+1,1))-AVERAGE(OFFSET($H$3,0,0,'Données projet'!$E$14+1,1))</f>
        <v>523.79180230463714</v>
      </c>
      <c r="DU196" s="59">
        <f t="shared" si="152"/>
        <v>459.3547783500515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15.856114781361095</v>
      </c>
      <c r="EB196" s="21">
        <f>EXP(-LN(2)/25)*EB195+(1-EXP(-LN(2)/25))/(LN(2)/25)*Calculateur!DW196*Calculateur!DY196*VLOOKUP('Données projet'!$B$14,Paramètres!$A$1:$I$89,3,0)*0.475*44/12</f>
        <v>0.58231329721685321</v>
      </c>
      <c r="EC196" s="21">
        <f>EXP(-LN(2)/2)*EC195+(1-EXP(-LN(2)/2))/(LN(2)/2)*DW196*DZ196*VLOOKUP('Données projet'!$B$14,Paramètres!$A$1:$I$89,3,0)*0.475*44/12</f>
        <v>3.4867375895217191E-25</v>
      </c>
      <c r="ED196" s="22">
        <f t="shared" si="178"/>
        <v>16.43842807857795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367.99999999999972</v>
      </c>
      <c r="EK196" s="17">
        <f>EJ196*VLOOKUP('Données projet'!$B$15,Paramètres!$A$1:$I$89,3,0)*VLOOKUP('Données projet'!$B$15,Paramètres!$A$1:$I$89,5,0)</f>
        <v>355.92959999999977</v>
      </c>
      <c r="EL196" s="13">
        <f t="shared" si="179"/>
        <v>82.782281100458206</v>
      </c>
      <c r="EM196" s="20">
        <f t="shared" si="180"/>
        <v>764.08985958329765</v>
      </c>
      <c r="EN196" s="59">
        <f t="shared" ref="EN196:EN203" si="198">EM196+(EE196+EF196)*44/12</f>
        <v>1057.423192916631</v>
      </c>
      <c r="EO196" s="59">
        <f ca="1">AVERAGE(OFFSET($EN$3,0,0,'Données projet'!$E$15+1,1))-AVERAGE(OFFSET($H$3,0,0,'Données projet'!$E$15+1,1))</f>
        <v>484.41278617935654</v>
      </c>
      <c r="EP196" s="59">
        <f t="shared" si="154"/>
        <v>467.97490540700738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6.4852746554818106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6.4852746554818106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367.99999999999972</v>
      </c>
      <c r="FF196" s="17">
        <f>FE196*VLOOKUP('Données projet'!$B$16,Paramètres!$A$1:$I$89,3,0)*VLOOKUP('Données projet'!$B$16,Paramètres!$A$1:$I$89,5,0)</f>
        <v>396.11519999999967</v>
      </c>
      <c r="FG196" s="13">
        <f t="shared" si="182"/>
        <v>90.988634849704994</v>
      </c>
      <c r="FH196" s="20">
        <f t="shared" si="183"/>
        <v>848.37251236323561</v>
      </c>
      <c r="FI196" s="59">
        <f t="shared" ref="FI196:FI203" si="199">FH196+(EZ196+FA196)*44/12</f>
        <v>1141.705845696569</v>
      </c>
      <c r="FJ196" s="59">
        <f ca="1">AVERAGE(OFFSET($FI$3,0,0,'Données projet'!$E$16+1,1))-AVERAGE(OFFSET($H$3,0,0,'Données projet'!$E$16+1,1))</f>
        <v>534.54020133239135</v>
      </c>
      <c r="FK196" s="59">
        <f t="shared" si="156"/>
        <v>515.48696069008815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7.2174830843265356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7.2174830843265356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248.99999999999994</v>
      </c>
      <c r="GA196" s="17">
        <f>FZ196*VLOOKUP('Données projet'!$B$17,Paramètres!$A$1:$I$89,3,0)*VLOOKUP('Données projet'!$B$17,Paramètres!$A$1:$I$89,5,0)</f>
        <v>236.94839999999994</v>
      </c>
      <c r="GB196" s="13">
        <f t="shared" si="185"/>
        <v>57.782475694292401</v>
      </c>
      <c r="GC196" s="20">
        <f t="shared" si="186"/>
        <v>513.32294183422573</v>
      </c>
      <c r="GD196" s="59">
        <f t="shared" ref="GD196:GD203" si="200">GC196+(FU196+FV196)*44/12</f>
        <v>806.65627516755899</v>
      </c>
      <c r="GE196" s="59">
        <f ca="1">AVERAGE(OFFSET($GD$3,0,0,'Données projet'!$E$17+1,1))-AVERAGE(OFFSET($H$3,0,0,'Données projet'!$E$17+1,1))</f>
        <v>455.71329051283936</v>
      </c>
      <c r="GF196" s="59">
        <f t="shared" si="158"/>
        <v>479.3743231122258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16.763139529618012</v>
      </c>
      <c r="GM196" s="21">
        <f>EXP(-LN(2)/25)*GM195+(1-EXP(-LN(2)/25))/(LN(2)/25)*Calculateur!GH196*Calculateur!GJ196*VLOOKUP('Données projet'!$B$17,Paramètres!$A$1:$I$89,3,0)*0.475*44/12</f>
        <v>0</v>
      </c>
      <c r="GN196" s="21">
        <f>EXP(-LN(2)/2)*GN195+(1-EXP(-LN(2)/2))/(LN(2)/2)*GH196*GK196*VLOOKUP('Données projet'!$B$17,Paramètres!$A$1:$I$89,3,0)*0.475*44/12</f>
        <v>0</v>
      </c>
      <c r="GO196" s="21">
        <f t="shared" si="187"/>
        <v>16.763139529618012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367.99999999999972</v>
      </c>
      <c r="GV196" s="17">
        <f>GU196*VLOOKUP('Données projet'!$B$18,Paramètres!$A$1:$I$89,3,0)*VLOOKUP('Données projet'!$B$18,Paramètres!$A$1:$I$89,5,0)</f>
        <v>298.52159999999981</v>
      </c>
      <c r="GW196" s="13">
        <f t="shared" si="188"/>
        <v>70.866444995542437</v>
      </c>
      <c r="GX196" s="20">
        <f t="shared" si="189"/>
        <v>643.35084503390271</v>
      </c>
      <c r="GY196" s="59">
        <f t="shared" ref="GY196:GY203" si="201">GX196+(GP196+GQ196)*44/12</f>
        <v>936.68417836723597</v>
      </c>
      <c r="GZ196" s="59">
        <f ca="1">AVERAGE(OFFSET($GY$3,0,0,'Données projet'!$E$18+1,1))-AVERAGE(OFFSET($H$3,0,0,'Données projet'!$E$18+1,1))</f>
        <v>412.59676769258488</v>
      </c>
      <c r="HA196" s="59">
        <f t="shared" si="160"/>
        <v>399.90063795152133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5.4392626142750657</v>
      </c>
      <c r="HH196" s="21">
        <f>EXP(-LN(2)/25)*HH195+(1-EXP(-LN(2)/25))/(LN(2)/25)*Calculateur!HC196*Calculateur!HE196*VLOOKUP('Données projet'!$B$18,Paramètres!$A$1:$I$89,3,0)*0.475*44/12</f>
        <v>0</v>
      </c>
      <c r="HI196" s="21">
        <f>EXP(-LN(2)/2)*HI195+(1-EXP(-LN(2)/2))/(LN(2)/2)*HC196*HF196*VLOOKUP('Données projet'!$B$18,Paramètres!$A$1:$I$89,3,0)*0.475*44/12</f>
        <v>0</v>
      </c>
      <c r="HJ196" s="22">
        <f t="shared" si="190"/>
        <v>5.4392626142750657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306.99999999999994</v>
      </c>
      <c r="O197" s="13">
        <f>N197*VLOOKUP('Données projet'!$B$9,Paramètres!$A$1:$I$89,3,0)*VLOOKUP('Données projet'!$B$9,Paramètres!$A$1:$I$89,5,0)</f>
        <v>277.77359999999993</v>
      </c>
      <c r="P197" s="13">
        <f t="shared" ref="P197:P203" si="203">EXP(-1.0587+0.8836*LN(O197)+0.284)</f>
        <v>66.496288176842356</v>
      </c>
      <c r="Q197" s="20">
        <f t="shared" si="162"/>
        <v>599.60338857466706</v>
      </c>
      <c r="R197" s="59">
        <f t="shared" si="191"/>
        <v>892.93672190800044</v>
      </c>
      <c r="S197" s="59">
        <f ca="1">AVERAGE(OFFSET($R$3,0,0,'Données projet'!$E$9+1,1))-AVERAGE(OFFSET($H$3,0,0,'Données projet'!$E$9+1,1))</f>
        <v>439.19854273764042</v>
      </c>
      <c r="T197" s="59">
        <f t="shared" ref="T197:T203" si="204">$T$3</f>
        <v>278.21741231699929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20.938940173911167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20.938940173911167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306.99999999999994</v>
      </c>
      <c r="AJ197" s="13">
        <f>AI197*VLOOKUP('Données projet'!$B$10,Paramètres!$A$1:$I$89,3,0)*VLOOKUP('Données projet'!$B$10,Paramètres!$A$1:$I$89,5,0)</f>
        <v>311.298</v>
      </c>
      <c r="AK197" s="13">
        <f t="shared" si="164"/>
        <v>73.539838278528748</v>
      </c>
      <c r="AL197" s="20">
        <f t="shared" si="165"/>
        <v>670.25923500177089</v>
      </c>
      <c r="AM197" s="59">
        <f t="shared" si="193"/>
        <v>963.59256833510426</v>
      </c>
      <c r="AN197" s="59">
        <f ca="1">AVERAGE(OFFSET($AM$3,0,0,'Données projet'!$E$10+1,1))-AVERAGE(OFFSET($H$3,0,0,'Données projet'!$E$10+1,1))</f>
        <v>487.18832528146936</v>
      </c>
      <c r="AO197" s="59">
        <f t="shared" ref="AO197:AO203" si="205">$AO$3</f>
        <v>306.61893266146666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23.466053643176313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23.466053643176313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369.00000000000023</v>
      </c>
      <c r="BE197" s="13">
        <f>BD197*VLOOKUP('Données projet'!$B$11,Paramètres!$A$1:$I$89,3,0)*VLOOKUP('Données projet'!$B$11,Paramètres!$A$1:$I$89,5,0)</f>
        <v>333.87120000000021</v>
      </c>
      <c r="BF197" s="13">
        <f t="shared" si="167"/>
        <v>78.23236011137638</v>
      </c>
      <c r="BG197" s="20">
        <f t="shared" si="168"/>
        <v>717.74703386064755</v>
      </c>
      <c r="BH197" s="59">
        <f t="shared" si="194"/>
        <v>1011.0803671939809</v>
      </c>
      <c r="BI197" s="59">
        <f ca="1">AVERAGE(OFFSET($BH$3,0,0,'Données projet'!$E$11+1,1))-AVERAGE(OFFSET($H$3,0,0,'Données projet'!$E$11+1,1))</f>
        <v>436.23918637269577</v>
      </c>
      <c r="BJ197" s="59">
        <f t="shared" ref="BJ197:BJ203" si="206">$BJ$3</f>
        <v>611.43967996341894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0.41075541869043075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0.41075541869043075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224.00000000000006</v>
      </c>
      <c r="BZ197" s="13">
        <f>BY197*VLOOKUP('Données projet'!$B$12,Paramètres!$A$1:$I$89,3,0)*VLOOKUP('Données projet'!$B$12,Paramètres!$A$1:$I$89,5,0)</f>
        <v>195.68640000000008</v>
      </c>
      <c r="CA197" s="13">
        <f t="shared" si="170"/>
        <v>48.794969360985156</v>
      </c>
      <c r="CB197" s="20">
        <f t="shared" si="171"/>
        <v>425.8050516370493</v>
      </c>
      <c r="CC197" s="59">
        <f t="shared" si="195"/>
        <v>719.13838497038262</v>
      </c>
      <c r="CD197" s="59">
        <f ca="1">AVERAGE(OFFSET($CC$3,0,0,'Données projet'!$E$12+1,1))-AVERAGE(OFFSET($H$3,0,0,'Données projet'!$E$12+1,1))</f>
        <v>304.32767345253382</v>
      </c>
      <c r="CE197" s="59">
        <f t="shared" ref="CE197:CE203" si="207">$CE$3</f>
        <v>427.16091343339173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4.4357425504144121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4.4357425504144121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739.99999999999966</v>
      </c>
      <c r="CU197" s="17">
        <f>CT197*VLOOKUP('Données projet'!$B$13,Paramètres!$A$1:$I$89,3,0)*VLOOKUP('Données projet'!$B$13,Paramètres!$A$1:$I$89,5,0)</f>
        <v>413.65999999999985</v>
      </c>
      <c r="CV197" s="13">
        <f t="shared" si="173"/>
        <v>94.540585122244352</v>
      </c>
      <c r="CW197" s="20">
        <f t="shared" si="174"/>
        <v>885.11601908790863</v>
      </c>
      <c r="CX197" s="59">
        <f t="shared" si="196"/>
        <v>1178.4493524212419</v>
      </c>
      <c r="CY197" s="59">
        <f ca="1">AVERAGE(OFFSET($CX$3,0,0,'Données projet'!$E$13+1,1))-AVERAGE(OFFSET($H$3,0,0,'Données projet'!$E$13+1,1))</f>
        <v>555.15881087162279</v>
      </c>
      <c r="CZ197" s="59">
        <f t="shared" ref="CZ197:CZ203" si="208">$CZ$3</f>
        <v>668.20427590250733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8.6923729523272346</v>
      </c>
      <c r="DG197" s="21">
        <f>EXP(-LN(2)/25)*DG196+(1-EXP(-LN(2)/25))/(LN(2)/25)*Calculateur!DB197*Calculateur!DD197*VLOOKUP('Données projet'!$B$13,Paramètres!$A$1:$I$89,3,0)*0.475*44/12</f>
        <v>0.61239720184131607</v>
      </c>
      <c r="DH197" s="21">
        <f>EXP(-LN(2)/2)*DH196+(1-EXP(-LN(2)/2))/(LN(2)/2)*DB197*DE197*VLOOKUP('Données projet'!$B$13,Paramètres!$A$1:$I$89,3,0)*0.475*44/12</f>
        <v>1.7587583806630394E-25</v>
      </c>
      <c r="DI197" s="22">
        <f t="shared" si="175"/>
        <v>9.3047701541685512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911.99999999999898</v>
      </c>
      <c r="DP197" s="17">
        <f>DO197*VLOOKUP('Données projet'!$B$14,Paramètres!$A$1:$I$89,3,0)*VLOOKUP('Données projet'!$B$14,Paramètres!$A$1:$I$89,5,0)</f>
        <v>426.81599999999946</v>
      </c>
      <c r="DQ197" s="13">
        <f t="shared" si="176"/>
        <v>97.192496986872399</v>
      </c>
      <c r="DR197" s="20">
        <f t="shared" si="177"/>
        <v>912.64813225213504</v>
      </c>
      <c r="DS197" s="59">
        <f t="shared" si="197"/>
        <v>1205.9814655854684</v>
      </c>
      <c r="DT197" s="59">
        <f ca="1">AVERAGE(OFFSET($DS$3,0,0,'Données projet'!$E$14+1,1))-AVERAGE(OFFSET($H$3,0,0,'Données projet'!$E$14+1,1))</f>
        <v>523.79180230463714</v>
      </c>
      <c r="DU197" s="59">
        <f t="shared" ref="DU197:DU203" si="209">$DU$3</f>
        <v>459.3547783500515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15.545186041773661</v>
      </c>
      <c r="EB197" s="21">
        <f>EXP(-LN(2)/25)*EB196+(1-EXP(-LN(2)/25))/(LN(2)/25)*Calculateur!DW197*Calculateur!DY197*VLOOKUP('Données projet'!$B$14,Paramètres!$A$1:$I$89,3,0)*0.475*44/12</f>
        <v>0.56638990948193291</v>
      </c>
      <c r="EC197" s="21">
        <f>EXP(-LN(2)/2)*EC196+(1-EXP(-LN(2)/2))/(LN(2)/2)*DW197*DZ197*VLOOKUP('Données projet'!$B$14,Paramètres!$A$1:$I$89,3,0)*0.475*44/12</f>
        <v>2.4654957937688443E-25</v>
      </c>
      <c r="ED197" s="22">
        <f t="shared" si="178"/>
        <v>16.111575951255595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367.99999999999972</v>
      </c>
      <c r="EK197" s="17">
        <f>EJ197*VLOOKUP('Données projet'!$B$15,Paramètres!$A$1:$I$89,3,0)*VLOOKUP('Données projet'!$B$15,Paramètres!$A$1:$I$89,5,0)</f>
        <v>355.92959999999977</v>
      </c>
      <c r="EL197" s="13">
        <f t="shared" si="179"/>
        <v>82.782281100458206</v>
      </c>
      <c r="EM197" s="20">
        <f t="shared" si="180"/>
        <v>764.08985958329765</v>
      </c>
      <c r="EN197" s="59">
        <f t="shared" si="198"/>
        <v>1057.423192916631</v>
      </c>
      <c r="EO197" s="59">
        <f ca="1">AVERAGE(OFFSET($EN$3,0,0,'Données projet'!$E$15+1,1))-AVERAGE(OFFSET($H$3,0,0,'Données projet'!$E$15+1,1))</f>
        <v>484.41278617935654</v>
      </c>
      <c r="EP197" s="59">
        <f t="shared" ref="EP197:EP203" si="210">$EP$3</f>
        <v>467.97490540700738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6.3581023751147665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6.3581023751147665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367.99999999999972</v>
      </c>
      <c r="FF197" s="17">
        <f>FE197*VLOOKUP('Données projet'!$B$16,Paramètres!$A$1:$I$89,3,0)*VLOOKUP('Données projet'!$B$16,Paramètres!$A$1:$I$89,5,0)</f>
        <v>396.11519999999967</v>
      </c>
      <c r="FG197" s="13">
        <f t="shared" si="182"/>
        <v>90.988634849704994</v>
      </c>
      <c r="FH197" s="20">
        <f t="shared" si="183"/>
        <v>848.37251236323561</v>
      </c>
      <c r="FI197" s="59">
        <f t="shared" si="199"/>
        <v>1141.705845696569</v>
      </c>
      <c r="FJ197" s="59">
        <f ca="1">AVERAGE(OFFSET($FI$3,0,0,'Données projet'!$E$16+1,1))-AVERAGE(OFFSET($H$3,0,0,'Données projet'!$E$16+1,1))</f>
        <v>534.54020133239135</v>
      </c>
      <c r="FK197" s="59">
        <f t="shared" ref="FK197:FK203" si="211">$FK$3</f>
        <v>515.48696069008815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7.0759526432728892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7.0759526432728892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248.99999999999994</v>
      </c>
      <c r="GA197" s="17">
        <f>FZ197*VLOOKUP('Données projet'!$B$17,Paramètres!$A$1:$I$89,3,0)*VLOOKUP('Données projet'!$B$17,Paramètres!$A$1:$I$89,5,0)</f>
        <v>236.94839999999994</v>
      </c>
      <c r="GB197" s="13">
        <f t="shared" si="185"/>
        <v>57.782475694292401</v>
      </c>
      <c r="GC197" s="20">
        <f t="shared" si="186"/>
        <v>513.32294183422573</v>
      </c>
      <c r="GD197" s="59">
        <f t="shared" si="200"/>
        <v>806.65627516755899</v>
      </c>
      <c r="GE197" s="59">
        <f ca="1">AVERAGE(OFFSET($GD$3,0,0,'Données projet'!$E$17+1,1))-AVERAGE(OFFSET($H$3,0,0,'Données projet'!$E$17+1,1))</f>
        <v>455.71329051283936</v>
      </c>
      <c r="GF197" s="59">
        <f t="shared" ref="GF197:GF203" si="212">$GF$3</f>
        <v>479.3743231122258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16.434424587947731</v>
      </c>
      <c r="GM197" s="21">
        <f>EXP(-LN(2)/25)*GM196+(1-EXP(-LN(2)/25))/(LN(2)/25)*Calculateur!GH197*Calculateur!GJ197*VLOOKUP('Données projet'!$B$17,Paramètres!$A$1:$I$89,3,0)*0.475*44/12</f>
        <v>0</v>
      </c>
      <c r="GN197" s="21">
        <f>EXP(-LN(2)/2)*GN196+(1-EXP(-LN(2)/2))/(LN(2)/2)*GH197*GK197*VLOOKUP('Données projet'!$B$17,Paramètres!$A$1:$I$89,3,0)*0.475*44/12</f>
        <v>0</v>
      </c>
      <c r="GO197" s="21">
        <f t="shared" si="187"/>
        <v>16.434424587947731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367.99999999999972</v>
      </c>
      <c r="GV197" s="17">
        <f>GU197*VLOOKUP('Données projet'!$B$18,Paramètres!$A$1:$I$89,3,0)*VLOOKUP('Données projet'!$B$18,Paramètres!$A$1:$I$89,5,0)</f>
        <v>298.52159999999981</v>
      </c>
      <c r="GW197" s="13">
        <f t="shared" si="188"/>
        <v>70.866444995542437</v>
      </c>
      <c r="GX197" s="20">
        <f t="shared" si="189"/>
        <v>643.35084503390271</v>
      </c>
      <c r="GY197" s="59">
        <f t="shared" si="201"/>
        <v>936.68417836723597</v>
      </c>
      <c r="GZ197" s="59">
        <f ca="1">AVERAGE(OFFSET($GY$3,0,0,'Données projet'!$E$18+1,1))-AVERAGE(OFFSET($H$3,0,0,'Données projet'!$E$18+1,1))</f>
        <v>412.59676769258488</v>
      </c>
      <c r="HA197" s="59">
        <f t="shared" ref="HA197:HA203" si="213">$HA$3</f>
        <v>399.90063795152133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5.332601992031738</v>
      </c>
      <c r="HH197" s="21">
        <f>EXP(-LN(2)/25)*HH196+(1-EXP(-LN(2)/25))/(LN(2)/25)*Calculateur!HC197*Calculateur!HE197*VLOOKUP('Données projet'!$B$18,Paramètres!$A$1:$I$89,3,0)*0.475*44/12</f>
        <v>0</v>
      </c>
      <c r="HI197" s="21">
        <f>EXP(-LN(2)/2)*HI196+(1-EXP(-LN(2)/2))/(LN(2)/2)*HC197*HF197*VLOOKUP('Données projet'!$B$18,Paramètres!$A$1:$I$89,3,0)*0.475*44/12</f>
        <v>0</v>
      </c>
      <c r="HJ197" s="22">
        <f t="shared" si="190"/>
        <v>5.332601992031738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306.99999999999994</v>
      </c>
      <c r="O198" s="13">
        <f>N198*VLOOKUP('Données projet'!$B$9,Paramètres!$A$1:$I$89,3,0)*VLOOKUP('Données projet'!$B$9,Paramètres!$A$1:$I$89,5,0)</f>
        <v>277.77359999999993</v>
      </c>
      <c r="P198" s="13">
        <f t="shared" si="203"/>
        <v>66.496288176842356</v>
      </c>
      <c r="Q198" s="20">
        <f t="shared" si="162"/>
        <v>599.60338857466706</v>
      </c>
      <c r="R198" s="59">
        <f t="shared" si="191"/>
        <v>892.93672190800044</v>
      </c>
      <c r="S198" s="59">
        <f ca="1">AVERAGE(OFFSET($R$3,0,0,'Données projet'!$E$9+1,1))-AVERAGE(OFFSET($H$3,0,0,'Données projet'!$E$9+1,1))</f>
        <v>439.19854273764042</v>
      </c>
      <c r="T198" s="59">
        <f t="shared" si="204"/>
        <v>278.21741231699929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20.528340328593195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20.528340328593195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306.99999999999994</v>
      </c>
      <c r="AJ198" s="13">
        <f>AI198*VLOOKUP('Données projet'!$B$10,Paramètres!$A$1:$I$89,3,0)*VLOOKUP('Données projet'!$B$10,Paramètres!$A$1:$I$89,5,0)</f>
        <v>311.298</v>
      </c>
      <c r="AK198" s="13">
        <f t="shared" si="164"/>
        <v>73.539838278528748</v>
      </c>
      <c r="AL198" s="20">
        <f t="shared" si="165"/>
        <v>670.25923500177089</v>
      </c>
      <c r="AM198" s="59">
        <f t="shared" si="193"/>
        <v>963.59256833510426</v>
      </c>
      <c r="AN198" s="59">
        <f ca="1">AVERAGE(OFFSET($AM$3,0,0,'Données projet'!$E$10+1,1))-AVERAGE(OFFSET($H$3,0,0,'Données projet'!$E$10+1,1))</f>
        <v>487.18832528146936</v>
      </c>
      <c r="AO198" s="59">
        <f t="shared" si="205"/>
        <v>306.61893266146666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23.005898644113067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23.005898644113067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369.00000000000023</v>
      </c>
      <c r="BE198" s="13">
        <f>BD198*VLOOKUP('Données projet'!$B$11,Paramètres!$A$1:$I$89,3,0)*VLOOKUP('Données projet'!$B$11,Paramètres!$A$1:$I$89,5,0)</f>
        <v>333.87120000000021</v>
      </c>
      <c r="BF198" s="13">
        <f t="shared" si="167"/>
        <v>78.23236011137638</v>
      </c>
      <c r="BG198" s="20">
        <f t="shared" si="168"/>
        <v>717.74703386064755</v>
      </c>
      <c r="BH198" s="59">
        <f t="shared" si="194"/>
        <v>1011.0803671939809</v>
      </c>
      <c r="BI198" s="59">
        <f ca="1">AVERAGE(OFFSET($BH$3,0,0,'Données projet'!$E$11+1,1))-AVERAGE(OFFSET($H$3,0,0,'Données projet'!$E$11+1,1))</f>
        <v>436.23918637269577</v>
      </c>
      <c r="BJ198" s="59">
        <f t="shared" si="206"/>
        <v>611.43967996341894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0.40270075546597844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0.40270075546597844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224.00000000000006</v>
      </c>
      <c r="BZ198" s="13">
        <f>BY198*VLOOKUP('Données projet'!$B$12,Paramètres!$A$1:$I$89,3,0)*VLOOKUP('Données projet'!$B$12,Paramètres!$A$1:$I$89,5,0)</f>
        <v>195.68640000000008</v>
      </c>
      <c r="CA198" s="13">
        <f t="shared" si="170"/>
        <v>48.794969360985156</v>
      </c>
      <c r="CB198" s="20">
        <f t="shared" si="171"/>
        <v>425.8050516370493</v>
      </c>
      <c r="CC198" s="59">
        <f t="shared" si="195"/>
        <v>719.13838497038262</v>
      </c>
      <c r="CD198" s="59">
        <f ca="1">AVERAGE(OFFSET($CC$3,0,0,'Données projet'!$E$12+1,1))-AVERAGE(OFFSET($H$3,0,0,'Données projet'!$E$12+1,1))</f>
        <v>304.32767345253382</v>
      </c>
      <c r="CE198" s="59">
        <f t="shared" si="207"/>
        <v>427.16091343339173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4.3487603445365917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4.3487603445365917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739.99999999999966</v>
      </c>
      <c r="CU198" s="17">
        <f>CT198*VLOOKUP('Données projet'!$B$13,Paramètres!$A$1:$I$89,3,0)*VLOOKUP('Données projet'!$B$13,Paramètres!$A$1:$I$89,5,0)</f>
        <v>413.65999999999985</v>
      </c>
      <c r="CV198" s="13">
        <f t="shared" si="173"/>
        <v>94.540585122244352</v>
      </c>
      <c r="CW198" s="20">
        <f t="shared" si="174"/>
        <v>885.11601908790863</v>
      </c>
      <c r="CX198" s="59">
        <f t="shared" si="196"/>
        <v>1178.4493524212419</v>
      </c>
      <c r="CY198" s="59">
        <f ca="1">AVERAGE(OFFSET($CX$3,0,0,'Données projet'!$E$13+1,1))-AVERAGE(OFFSET($H$3,0,0,'Données projet'!$E$13+1,1))</f>
        <v>555.15881087162279</v>
      </c>
      <c r="CZ198" s="59">
        <f t="shared" si="208"/>
        <v>668.20427590250733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8.5219208205560868</v>
      </c>
      <c r="DG198" s="21">
        <f>EXP(-LN(2)/25)*DG197+(1-EXP(-LN(2)/25))/(LN(2)/25)*Calculateur!DB198*Calculateur!DD198*VLOOKUP('Données projet'!$B$13,Paramètres!$A$1:$I$89,3,0)*0.475*44/12</f>
        <v>0.59565116815239605</v>
      </c>
      <c r="DH198" s="21">
        <f>EXP(-LN(2)/2)*DH197+(1-EXP(-LN(2)/2))/(LN(2)/2)*DB198*DE198*VLOOKUP('Données projet'!$B$13,Paramètres!$A$1:$I$89,3,0)*0.475*44/12</f>
        <v>1.2436299774355064E-25</v>
      </c>
      <c r="DI198" s="22">
        <f t="shared" si="175"/>
        <v>9.1175719887084821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911.99999999999898</v>
      </c>
      <c r="DP198" s="17">
        <f>DO198*VLOOKUP('Données projet'!$B$14,Paramètres!$A$1:$I$89,3,0)*VLOOKUP('Données projet'!$B$14,Paramètres!$A$1:$I$89,5,0)</f>
        <v>426.81599999999946</v>
      </c>
      <c r="DQ198" s="13">
        <f t="shared" si="176"/>
        <v>97.192496986872399</v>
      </c>
      <c r="DR198" s="20">
        <f t="shared" si="177"/>
        <v>912.64813225213504</v>
      </c>
      <c r="DS198" s="59">
        <f t="shared" si="197"/>
        <v>1205.9814655854684</v>
      </c>
      <c r="DT198" s="59">
        <f ca="1">AVERAGE(OFFSET($DS$3,0,0,'Données projet'!$E$14+1,1))-AVERAGE(OFFSET($H$3,0,0,'Données projet'!$E$14+1,1))</f>
        <v>523.79180230463714</v>
      </c>
      <c r="DU198" s="59">
        <f t="shared" si="209"/>
        <v>459.3547783500515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15.240354425121732</v>
      </c>
      <c r="EB198" s="21">
        <f>EXP(-LN(2)/25)*EB197+(1-EXP(-LN(2)/25))/(LN(2)/25)*Calculateur!DW198*Calculateur!DY198*VLOOKUP('Données projet'!$B$14,Paramètres!$A$1:$I$89,3,0)*0.475*44/12</f>
        <v>0.55090194762199862</v>
      </c>
      <c r="EC198" s="21">
        <f>EXP(-LN(2)/2)*EC197+(1-EXP(-LN(2)/2))/(LN(2)/2)*DW198*DZ198*VLOOKUP('Données projet'!$B$14,Paramètres!$A$1:$I$89,3,0)*0.475*44/12</f>
        <v>1.7433687947608595E-25</v>
      </c>
      <c r="ED198" s="22">
        <f t="shared" si="178"/>
        <v>15.79125637274373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367.99999999999972</v>
      </c>
      <c r="EK198" s="17">
        <f>EJ198*VLOOKUP('Données projet'!$B$15,Paramètres!$A$1:$I$89,3,0)*VLOOKUP('Données projet'!$B$15,Paramètres!$A$1:$I$89,5,0)</f>
        <v>355.92959999999977</v>
      </c>
      <c r="EL198" s="13">
        <f t="shared" si="179"/>
        <v>82.782281100458206</v>
      </c>
      <c r="EM198" s="20">
        <f t="shared" si="180"/>
        <v>764.08985958329765</v>
      </c>
      <c r="EN198" s="59">
        <f t="shared" si="198"/>
        <v>1057.423192916631</v>
      </c>
      <c r="EO198" s="59">
        <f ca="1">AVERAGE(OFFSET($EN$3,0,0,'Données projet'!$E$15+1,1))-AVERAGE(OFFSET($H$3,0,0,'Données projet'!$E$15+1,1))</f>
        <v>484.41278617935654</v>
      </c>
      <c r="EP198" s="59">
        <f t="shared" si="210"/>
        <v>467.97490540700738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6.2334238655982883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6.2334238655982883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367.99999999999972</v>
      </c>
      <c r="FF198" s="17">
        <f>FE198*VLOOKUP('Données projet'!$B$16,Paramètres!$A$1:$I$89,3,0)*VLOOKUP('Données projet'!$B$16,Paramètres!$A$1:$I$89,5,0)</f>
        <v>396.11519999999967</v>
      </c>
      <c r="FG198" s="13">
        <f t="shared" si="182"/>
        <v>90.988634849704994</v>
      </c>
      <c r="FH198" s="20">
        <f t="shared" si="183"/>
        <v>848.37251236323561</v>
      </c>
      <c r="FI198" s="59">
        <f t="shared" si="199"/>
        <v>1141.705845696569</v>
      </c>
      <c r="FJ198" s="59">
        <f ca="1">AVERAGE(OFFSET($FI$3,0,0,'Données projet'!$E$16+1,1))-AVERAGE(OFFSET($H$3,0,0,'Données projet'!$E$16+1,1))</f>
        <v>534.54020133239135</v>
      </c>
      <c r="FK198" s="59">
        <f t="shared" si="211"/>
        <v>515.48696069008815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6.93719752784326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6.93719752784326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248.99999999999994</v>
      </c>
      <c r="GA198" s="17">
        <f>FZ198*VLOOKUP('Données projet'!$B$17,Paramètres!$A$1:$I$89,3,0)*VLOOKUP('Données projet'!$B$17,Paramètres!$A$1:$I$89,5,0)</f>
        <v>236.94839999999994</v>
      </c>
      <c r="GB198" s="13">
        <f t="shared" si="185"/>
        <v>57.782475694292401</v>
      </c>
      <c r="GC198" s="20">
        <f t="shared" si="186"/>
        <v>513.32294183422573</v>
      </c>
      <c r="GD198" s="59">
        <f t="shared" si="200"/>
        <v>806.65627516755899</v>
      </c>
      <c r="GE198" s="59">
        <f ca="1">AVERAGE(OFFSET($GD$3,0,0,'Données projet'!$E$17+1,1))-AVERAGE(OFFSET($H$3,0,0,'Données projet'!$E$17+1,1))</f>
        <v>455.71329051283936</v>
      </c>
      <c r="GF198" s="59">
        <f t="shared" si="212"/>
        <v>479.3743231122258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16.112155545787285</v>
      </c>
      <c r="GM198" s="21">
        <f>EXP(-LN(2)/25)*GM197+(1-EXP(-LN(2)/25))/(LN(2)/25)*Calculateur!GH198*Calculateur!GJ198*VLOOKUP('Données projet'!$B$17,Paramètres!$A$1:$I$89,3,0)*0.475*44/12</f>
        <v>0</v>
      </c>
      <c r="GN198" s="21">
        <f>EXP(-LN(2)/2)*GN197+(1-EXP(-LN(2)/2))/(LN(2)/2)*GH198*GK198*VLOOKUP('Données projet'!$B$17,Paramètres!$A$1:$I$89,3,0)*0.475*44/12</f>
        <v>0</v>
      </c>
      <c r="GO198" s="21">
        <f t="shared" si="187"/>
        <v>16.112155545787285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367.99999999999972</v>
      </c>
      <c r="GV198" s="17">
        <f>GU198*VLOOKUP('Données projet'!$B$18,Paramètres!$A$1:$I$89,3,0)*VLOOKUP('Données projet'!$B$18,Paramètres!$A$1:$I$89,5,0)</f>
        <v>298.52159999999981</v>
      </c>
      <c r="GW198" s="13">
        <f t="shared" si="188"/>
        <v>70.866444995542437</v>
      </c>
      <c r="GX198" s="20">
        <f t="shared" si="189"/>
        <v>643.35084503390271</v>
      </c>
      <c r="GY198" s="59">
        <f t="shared" si="201"/>
        <v>936.68417836723597</v>
      </c>
      <c r="GZ198" s="59">
        <f ca="1">AVERAGE(OFFSET($GY$3,0,0,'Données projet'!$E$18+1,1))-AVERAGE(OFFSET($H$3,0,0,'Données projet'!$E$18+1,1))</f>
        <v>412.59676769258488</v>
      </c>
      <c r="HA198" s="59">
        <f t="shared" si="213"/>
        <v>399.90063795152133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5.2280329195340469</v>
      </c>
      <c r="HH198" s="21">
        <f>EXP(-LN(2)/25)*HH197+(1-EXP(-LN(2)/25))/(LN(2)/25)*Calculateur!HC198*Calculateur!HE198*VLOOKUP('Données projet'!$B$18,Paramètres!$A$1:$I$89,3,0)*0.475*44/12</f>
        <v>0</v>
      </c>
      <c r="HI198" s="21">
        <f>EXP(-LN(2)/2)*HI197+(1-EXP(-LN(2)/2))/(LN(2)/2)*HC198*HF198*VLOOKUP('Données projet'!$B$18,Paramètres!$A$1:$I$89,3,0)*0.475*44/12</f>
        <v>0</v>
      </c>
      <c r="HJ198" s="22">
        <f t="shared" si="190"/>
        <v>5.2280329195340469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306.99999999999994</v>
      </c>
      <c r="O199" s="13">
        <f>N199*VLOOKUP('Données projet'!$B$9,Paramètres!$A$1:$I$89,3,0)*VLOOKUP('Données projet'!$B$9,Paramètres!$A$1:$I$89,5,0)</f>
        <v>277.77359999999993</v>
      </c>
      <c r="P199" s="13">
        <f t="shared" si="203"/>
        <v>66.496288176842356</v>
      </c>
      <c r="Q199" s="20">
        <f t="shared" si="162"/>
        <v>599.60338857466706</v>
      </c>
      <c r="R199" s="59">
        <f t="shared" si="191"/>
        <v>892.93672190800044</v>
      </c>
      <c r="S199" s="59">
        <f ca="1">AVERAGE(OFFSET($R$3,0,0,'Données projet'!$E$9+1,1))-AVERAGE(OFFSET($H$3,0,0,'Données projet'!$E$9+1,1))</f>
        <v>439.19854273764042</v>
      </c>
      <c r="T199" s="59">
        <f t="shared" si="204"/>
        <v>278.21741231699929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20.125792095800733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20.125792095800733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306.99999999999994</v>
      </c>
      <c r="AJ199" s="13">
        <f>AI199*VLOOKUP('Données projet'!$B$10,Paramètres!$A$1:$I$89,3,0)*VLOOKUP('Données projet'!$B$10,Paramètres!$A$1:$I$89,5,0)</f>
        <v>311.298</v>
      </c>
      <c r="AK199" s="13">
        <f t="shared" si="164"/>
        <v>73.539838278528748</v>
      </c>
      <c r="AL199" s="20">
        <f t="shared" si="165"/>
        <v>670.25923500177089</v>
      </c>
      <c r="AM199" s="59">
        <f t="shared" si="193"/>
        <v>963.59256833510426</v>
      </c>
      <c r="AN199" s="59">
        <f ca="1">AVERAGE(OFFSET($AM$3,0,0,'Données projet'!$E$10+1,1))-AVERAGE(OFFSET($H$3,0,0,'Données projet'!$E$10+1,1))</f>
        <v>487.18832528146936</v>
      </c>
      <c r="AO199" s="59">
        <f t="shared" si="205"/>
        <v>306.61893266146666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22.554767003914616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22.554767003914616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369.00000000000023</v>
      </c>
      <c r="BE199" s="13">
        <f>BD199*VLOOKUP('Données projet'!$B$11,Paramètres!$A$1:$I$89,3,0)*VLOOKUP('Données projet'!$B$11,Paramètres!$A$1:$I$89,5,0)</f>
        <v>333.87120000000021</v>
      </c>
      <c r="BF199" s="13">
        <f t="shared" si="167"/>
        <v>78.23236011137638</v>
      </c>
      <c r="BG199" s="20">
        <f t="shared" si="168"/>
        <v>717.74703386064755</v>
      </c>
      <c r="BH199" s="59">
        <f t="shared" si="194"/>
        <v>1011.0803671939809</v>
      </c>
      <c r="BI199" s="59">
        <f ca="1">AVERAGE(OFFSET($BH$3,0,0,'Données projet'!$E$11+1,1))-AVERAGE(OFFSET($H$3,0,0,'Données projet'!$E$11+1,1))</f>
        <v>436.23918637269577</v>
      </c>
      <c r="BJ199" s="59">
        <f t="shared" si="206"/>
        <v>611.43967996341894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0.39480403927449814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0.39480403927449814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224.00000000000006</v>
      </c>
      <c r="BZ199" s="13">
        <f>BY199*VLOOKUP('Données projet'!$B$12,Paramètres!$A$1:$I$89,3,0)*VLOOKUP('Données projet'!$B$12,Paramètres!$A$1:$I$89,5,0)</f>
        <v>195.68640000000008</v>
      </c>
      <c r="CA199" s="13">
        <f t="shared" si="170"/>
        <v>48.794969360985156</v>
      </c>
      <c r="CB199" s="20">
        <f t="shared" si="171"/>
        <v>425.8050516370493</v>
      </c>
      <c r="CC199" s="59">
        <f t="shared" si="195"/>
        <v>719.13838497038262</v>
      </c>
      <c r="CD199" s="59">
        <f ca="1">AVERAGE(OFFSET($CC$3,0,0,'Données projet'!$E$12+1,1))-AVERAGE(OFFSET($H$3,0,0,'Données projet'!$E$12+1,1))</f>
        <v>304.32767345253382</v>
      </c>
      <c r="CE199" s="59">
        <f t="shared" si="207"/>
        <v>427.16091343339173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4.2634838066621281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4.2634838066621281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739.99999999999966</v>
      </c>
      <c r="CU199" s="17">
        <f>CT199*VLOOKUP('Données projet'!$B$13,Paramètres!$A$1:$I$89,3,0)*VLOOKUP('Données projet'!$B$13,Paramètres!$A$1:$I$89,5,0)</f>
        <v>413.65999999999985</v>
      </c>
      <c r="CV199" s="13">
        <f t="shared" si="173"/>
        <v>94.540585122244352</v>
      </c>
      <c r="CW199" s="20">
        <f t="shared" si="174"/>
        <v>885.11601908790863</v>
      </c>
      <c r="CX199" s="59">
        <f t="shared" si="196"/>
        <v>1178.4493524212419</v>
      </c>
      <c r="CY199" s="59">
        <f ca="1">AVERAGE(OFFSET($CX$3,0,0,'Données projet'!$E$13+1,1))-AVERAGE(OFFSET($H$3,0,0,'Données projet'!$E$13+1,1))</f>
        <v>555.15881087162279</v>
      </c>
      <c r="CZ199" s="59">
        <f t="shared" si="208"/>
        <v>668.20427590250733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8.3548111511234371</v>
      </c>
      <c r="DG199" s="21">
        <f>EXP(-LN(2)/25)*DG198+(1-EXP(-LN(2)/25))/(LN(2)/25)*Calculateur!DB199*Calculateur!DD199*VLOOKUP('Données projet'!$B$13,Paramètres!$A$1:$I$89,3,0)*0.475*44/12</f>
        <v>0.57936305563533519</v>
      </c>
      <c r="DH199" s="21">
        <f>EXP(-LN(2)/2)*DH198+(1-EXP(-LN(2)/2))/(LN(2)/2)*DB199*DE199*VLOOKUP('Données projet'!$B$13,Paramètres!$A$1:$I$89,3,0)*0.475*44/12</f>
        <v>8.793791903315197E-26</v>
      </c>
      <c r="DI199" s="22">
        <f t="shared" si="175"/>
        <v>8.9341742067587724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911.99999999999898</v>
      </c>
      <c r="DP199" s="17">
        <f>DO199*VLOOKUP('Données projet'!$B$14,Paramètres!$A$1:$I$89,3,0)*VLOOKUP('Données projet'!$B$14,Paramètres!$A$1:$I$89,5,0)</f>
        <v>426.81599999999946</v>
      </c>
      <c r="DQ199" s="13">
        <f t="shared" si="176"/>
        <v>97.192496986872399</v>
      </c>
      <c r="DR199" s="20">
        <f t="shared" si="177"/>
        <v>912.64813225213504</v>
      </c>
      <c r="DS199" s="59">
        <f t="shared" si="197"/>
        <v>1205.9814655854684</v>
      </c>
      <c r="DT199" s="59">
        <f ca="1">AVERAGE(OFFSET($DS$3,0,0,'Données projet'!$E$14+1,1))-AVERAGE(OFFSET($H$3,0,0,'Données projet'!$E$14+1,1))</f>
        <v>523.79180230463714</v>
      </c>
      <c r="DU199" s="59">
        <f t="shared" si="209"/>
        <v>459.3547783500515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14.94150037054342</v>
      </c>
      <c r="EB199" s="21">
        <f>EXP(-LN(2)/25)*EB198+(1-EXP(-LN(2)/25))/(LN(2)/25)*Calculateur!DW199*Calculateur!DY199*VLOOKUP('Données projet'!$B$14,Paramètres!$A$1:$I$89,3,0)*0.475*44/12</f>
        <v>0.53583750489360071</v>
      </c>
      <c r="EC199" s="21">
        <f>EXP(-LN(2)/2)*EC198+(1-EXP(-LN(2)/2))/(LN(2)/2)*DW199*DZ199*VLOOKUP('Données projet'!$B$14,Paramètres!$A$1:$I$89,3,0)*0.475*44/12</f>
        <v>1.2327478968844222E-25</v>
      </c>
      <c r="ED199" s="22">
        <f t="shared" si="178"/>
        <v>15.477337875437021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367.99999999999972</v>
      </c>
      <c r="EK199" s="17">
        <f>EJ199*VLOOKUP('Données projet'!$B$15,Paramètres!$A$1:$I$89,3,0)*VLOOKUP('Données projet'!$B$15,Paramètres!$A$1:$I$89,5,0)</f>
        <v>355.92959999999977</v>
      </c>
      <c r="EL199" s="13">
        <f t="shared" si="179"/>
        <v>82.782281100458206</v>
      </c>
      <c r="EM199" s="20">
        <f t="shared" si="180"/>
        <v>764.08985958329765</v>
      </c>
      <c r="EN199" s="59">
        <f t="shared" si="198"/>
        <v>1057.423192916631</v>
      </c>
      <c r="EO199" s="59">
        <f ca="1">AVERAGE(OFFSET($EN$3,0,0,'Données projet'!$E$15+1,1))-AVERAGE(OFFSET($H$3,0,0,'Données projet'!$E$15+1,1))</f>
        <v>484.41278617935654</v>
      </c>
      <c r="EP199" s="59">
        <f t="shared" si="210"/>
        <v>467.97490540700738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6.1111902256070465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6.1111902256070465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367.99999999999972</v>
      </c>
      <c r="FF199" s="17">
        <f>FE199*VLOOKUP('Données projet'!$B$16,Paramètres!$A$1:$I$89,3,0)*VLOOKUP('Données projet'!$B$16,Paramètres!$A$1:$I$89,5,0)</f>
        <v>396.11519999999967</v>
      </c>
      <c r="FG199" s="13">
        <f t="shared" si="182"/>
        <v>90.988634849704994</v>
      </c>
      <c r="FH199" s="20">
        <f t="shared" si="183"/>
        <v>848.37251236323561</v>
      </c>
      <c r="FI199" s="59">
        <f t="shared" si="199"/>
        <v>1141.705845696569</v>
      </c>
      <c r="FJ199" s="59">
        <f ca="1">AVERAGE(OFFSET($FI$3,0,0,'Données projet'!$E$16+1,1))-AVERAGE(OFFSET($H$3,0,0,'Données projet'!$E$16+1,1))</f>
        <v>534.54020133239135</v>
      </c>
      <c r="FK199" s="59">
        <f t="shared" si="211"/>
        <v>515.48696069008815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6.801163315594942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6.801163315594942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248.99999999999994</v>
      </c>
      <c r="GA199" s="17">
        <f>FZ199*VLOOKUP('Données projet'!$B$17,Paramètres!$A$1:$I$89,3,0)*VLOOKUP('Données projet'!$B$17,Paramètres!$A$1:$I$89,5,0)</f>
        <v>236.94839999999994</v>
      </c>
      <c r="GB199" s="13">
        <f t="shared" si="185"/>
        <v>57.782475694292401</v>
      </c>
      <c r="GC199" s="20">
        <f t="shared" si="186"/>
        <v>513.32294183422573</v>
      </c>
      <c r="GD199" s="59">
        <f t="shared" si="200"/>
        <v>806.65627516755899</v>
      </c>
      <c r="GE199" s="59">
        <f ca="1">AVERAGE(OFFSET($GD$3,0,0,'Données projet'!$E$17+1,1))-AVERAGE(OFFSET($H$3,0,0,'Données projet'!$E$17+1,1))</f>
        <v>455.71329051283936</v>
      </c>
      <c r="GF199" s="59">
        <f t="shared" si="212"/>
        <v>479.3743231122258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15.7962060029789</v>
      </c>
      <c r="GM199" s="21">
        <f>EXP(-LN(2)/25)*GM198+(1-EXP(-LN(2)/25))/(LN(2)/25)*Calculateur!GH199*Calculateur!GJ199*VLOOKUP('Données projet'!$B$17,Paramètres!$A$1:$I$89,3,0)*0.475*44/12</f>
        <v>0</v>
      </c>
      <c r="GN199" s="21">
        <f>EXP(-LN(2)/2)*GN198+(1-EXP(-LN(2)/2))/(LN(2)/2)*GH199*GK199*VLOOKUP('Données projet'!$B$17,Paramètres!$A$1:$I$89,3,0)*0.475*44/12</f>
        <v>0</v>
      </c>
      <c r="GO199" s="21">
        <f t="shared" si="187"/>
        <v>15.7962060029789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367.99999999999972</v>
      </c>
      <c r="GV199" s="17">
        <f>GU199*VLOOKUP('Données projet'!$B$18,Paramètres!$A$1:$I$89,3,0)*VLOOKUP('Données projet'!$B$18,Paramètres!$A$1:$I$89,5,0)</f>
        <v>298.52159999999981</v>
      </c>
      <c r="GW199" s="13">
        <f t="shared" si="188"/>
        <v>70.866444995542437</v>
      </c>
      <c r="GX199" s="20">
        <f t="shared" si="189"/>
        <v>643.35084503390271</v>
      </c>
      <c r="GY199" s="59">
        <f t="shared" si="201"/>
        <v>936.68417836723597</v>
      </c>
      <c r="GZ199" s="59">
        <f ca="1">AVERAGE(OFFSET($GY$3,0,0,'Données projet'!$E$18+1,1))-AVERAGE(OFFSET($H$3,0,0,'Données projet'!$E$18+1,1))</f>
        <v>412.59676769258488</v>
      </c>
      <c r="HA199" s="59">
        <f t="shared" si="213"/>
        <v>399.90063795152133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5.1255143827671992</v>
      </c>
      <c r="HH199" s="21">
        <f>EXP(-LN(2)/25)*HH198+(1-EXP(-LN(2)/25))/(LN(2)/25)*Calculateur!HC199*Calculateur!HE199*VLOOKUP('Données projet'!$B$18,Paramètres!$A$1:$I$89,3,0)*0.475*44/12</f>
        <v>0</v>
      </c>
      <c r="HI199" s="21">
        <f>EXP(-LN(2)/2)*HI198+(1-EXP(-LN(2)/2))/(LN(2)/2)*HC199*HF199*VLOOKUP('Données projet'!$B$18,Paramètres!$A$1:$I$89,3,0)*0.475*44/12</f>
        <v>0</v>
      </c>
      <c r="HJ199" s="22">
        <f t="shared" si="190"/>
        <v>5.1255143827671992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306.99999999999994</v>
      </c>
      <c r="O200" s="13">
        <f>N200*VLOOKUP('Données projet'!$B$9,Paramètres!$A$1:$I$89,3,0)*VLOOKUP('Données projet'!$B$9,Paramètres!$A$1:$I$89,5,0)</f>
        <v>277.77359999999993</v>
      </c>
      <c r="P200" s="13">
        <f t="shared" si="203"/>
        <v>66.496288176842356</v>
      </c>
      <c r="Q200" s="20">
        <f t="shared" si="162"/>
        <v>599.60338857466706</v>
      </c>
      <c r="R200" s="59">
        <f t="shared" si="191"/>
        <v>892.93672190800044</v>
      </c>
      <c r="S200" s="59">
        <f ca="1">AVERAGE(OFFSET($R$3,0,0,'Données projet'!$E$9+1,1))-AVERAGE(OFFSET($H$3,0,0,'Données projet'!$E$9+1,1))</f>
        <v>439.19854273764042</v>
      </c>
      <c r="T200" s="59">
        <f t="shared" si="204"/>
        <v>278.21741231699929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19.731137588323151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19.731137588323151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306.99999999999994</v>
      </c>
      <c r="AJ200" s="13">
        <f>AI200*VLOOKUP('Données projet'!$B$10,Paramètres!$A$1:$I$89,3,0)*VLOOKUP('Données projet'!$B$10,Paramètres!$A$1:$I$89,5,0)</f>
        <v>311.298</v>
      </c>
      <c r="AK200" s="13">
        <f t="shared" si="164"/>
        <v>73.539838278528748</v>
      </c>
      <c r="AL200" s="20">
        <f t="shared" si="165"/>
        <v>670.25923500177089</v>
      </c>
      <c r="AM200" s="59">
        <f t="shared" si="193"/>
        <v>963.59256833510426</v>
      </c>
      <c r="AN200" s="59">
        <f ca="1">AVERAGE(OFFSET($AM$3,0,0,'Données projet'!$E$10+1,1))-AVERAGE(OFFSET($H$3,0,0,'Données projet'!$E$10+1,1))</f>
        <v>487.18832528146936</v>
      </c>
      <c r="AO200" s="59">
        <f t="shared" si="205"/>
        <v>306.61893266146666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22.112481780017326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22.112481780017326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369.00000000000023</v>
      </c>
      <c r="BE200" s="13">
        <f>BD200*VLOOKUP('Données projet'!$B$11,Paramètres!$A$1:$I$89,3,0)*VLOOKUP('Données projet'!$B$11,Paramètres!$A$1:$I$89,5,0)</f>
        <v>333.87120000000021</v>
      </c>
      <c r="BF200" s="13">
        <f t="shared" si="167"/>
        <v>78.23236011137638</v>
      </c>
      <c r="BG200" s="20">
        <f t="shared" si="168"/>
        <v>717.74703386064755</v>
      </c>
      <c r="BH200" s="59">
        <f t="shared" si="194"/>
        <v>1011.0803671939809</v>
      </c>
      <c r="BI200" s="59">
        <f ca="1">AVERAGE(OFFSET($BH$3,0,0,'Données projet'!$E$11+1,1))-AVERAGE(OFFSET($H$3,0,0,'Données projet'!$E$11+1,1))</f>
        <v>436.23918637269577</v>
      </c>
      <c r="BJ200" s="59">
        <f t="shared" si="206"/>
        <v>611.43967996341894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0.38706217287101152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0.38706217287101152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224.00000000000006</v>
      </c>
      <c r="BZ200" s="13">
        <f>BY200*VLOOKUP('Données projet'!$B$12,Paramètres!$A$1:$I$89,3,0)*VLOOKUP('Données projet'!$B$12,Paramètres!$A$1:$I$89,5,0)</f>
        <v>195.68640000000008</v>
      </c>
      <c r="CA200" s="13">
        <f t="shared" si="170"/>
        <v>48.794969360985156</v>
      </c>
      <c r="CB200" s="20">
        <f t="shared" si="171"/>
        <v>425.8050516370493</v>
      </c>
      <c r="CC200" s="59">
        <f t="shared" si="195"/>
        <v>719.13838497038262</v>
      </c>
      <c r="CD200" s="59">
        <f ca="1">AVERAGE(OFFSET($CC$3,0,0,'Données projet'!$E$12+1,1))-AVERAGE(OFFSET($H$3,0,0,'Données projet'!$E$12+1,1))</f>
        <v>304.32767345253382</v>
      </c>
      <c r="CE200" s="59">
        <f t="shared" si="207"/>
        <v>427.16091343339173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4.1798794896818308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4.1798794896818308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739.99999999999966</v>
      </c>
      <c r="CU200" s="17">
        <f>CT200*VLOOKUP('Données projet'!$B$13,Paramètres!$A$1:$I$89,3,0)*VLOOKUP('Données projet'!$B$13,Paramètres!$A$1:$I$89,5,0)</f>
        <v>413.65999999999985</v>
      </c>
      <c r="CV200" s="13">
        <f t="shared" si="173"/>
        <v>94.540585122244352</v>
      </c>
      <c r="CW200" s="20">
        <f t="shared" si="174"/>
        <v>885.11601908790863</v>
      </c>
      <c r="CX200" s="59">
        <f t="shared" si="196"/>
        <v>1178.4493524212419</v>
      </c>
      <c r="CY200" s="59">
        <f ca="1">AVERAGE(OFFSET($CX$3,0,0,'Données projet'!$E$13+1,1))-AVERAGE(OFFSET($H$3,0,0,'Données projet'!$E$13+1,1))</f>
        <v>555.15881087162279</v>
      </c>
      <c r="CZ200" s="59">
        <f t="shared" si="208"/>
        <v>668.20427590250733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8.1909784003815265</v>
      </c>
      <c r="DG200" s="21">
        <f>EXP(-LN(2)/25)*DG199+(1-EXP(-LN(2)/25))/(LN(2)/25)*Calculateur!DB200*Calculateur!DD200*VLOOKUP('Données projet'!$B$13,Paramètres!$A$1:$I$89,3,0)*0.475*44/12</f>
        <v>0.56352034241160798</v>
      </c>
      <c r="DH200" s="21">
        <f>EXP(-LN(2)/2)*DH199+(1-EXP(-LN(2)/2))/(LN(2)/2)*DB200*DE200*VLOOKUP('Données projet'!$B$13,Paramètres!$A$1:$I$89,3,0)*0.475*44/12</f>
        <v>6.2181498871775322E-26</v>
      </c>
      <c r="DI200" s="22">
        <f t="shared" si="175"/>
        <v>8.7544987427931353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911.99999999999898</v>
      </c>
      <c r="DP200" s="17">
        <f>DO200*VLOOKUP('Données projet'!$B$14,Paramètres!$A$1:$I$89,3,0)*VLOOKUP('Données projet'!$B$14,Paramètres!$A$1:$I$89,5,0)</f>
        <v>426.81599999999946</v>
      </c>
      <c r="DQ200" s="13">
        <f t="shared" si="176"/>
        <v>97.192496986872399</v>
      </c>
      <c r="DR200" s="20">
        <f t="shared" si="177"/>
        <v>912.64813225213504</v>
      </c>
      <c r="DS200" s="59">
        <f t="shared" si="197"/>
        <v>1205.9814655854684</v>
      </c>
      <c r="DT200" s="59">
        <f ca="1">AVERAGE(OFFSET($DS$3,0,0,'Données projet'!$E$14+1,1))-AVERAGE(OFFSET($H$3,0,0,'Données projet'!$E$14+1,1))</f>
        <v>523.79180230463714</v>
      </c>
      <c r="DU200" s="59">
        <f t="shared" si="209"/>
        <v>459.3547783500515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14.648506661692414</v>
      </c>
      <c r="EB200" s="21">
        <f>EXP(-LN(2)/25)*EB199+(1-EXP(-LN(2)/25))/(LN(2)/25)*Calculateur!DW200*Calculateur!DY200*VLOOKUP('Données projet'!$B$14,Paramètres!$A$1:$I$89,3,0)*0.475*44/12</f>
        <v>0.52118500014381552</v>
      </c>
      <c r="EC200" s="21">
        <f>EXP(-LN(2)/2)*EC199+(1-EXP(-LN(2)/2))/(LN(2)/2)*DW200*DZ200*VLOOKUP('Données projet'!$B$14,Paramètres!$A$1:$I$89,3,0)*0.475*44/12</f>
        <v>8.7168439738042976E-26</v>
      </c>
      <c r="ED200" s="22">
        <f t="shared" si="178"/>
        <v>15.169691661836229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367.99999999999972</v>
      </c>
      <c r="EK200" s="17">
        <f>EJ200*VLOOKUP('Données projet'!$B$15,Paramètres!$A$1:$I$89,3,0)*VLOOKUP('Données projet'!$B$15,Paramètres!$A$1:$I$89,5,0)</f>
        <v>355.92959999999977</v>
      </c>
      <c r="EL200" s="13">
        <f t="shared" si="179"/>
        <v>82.782281100458206</v>
      </c>
      <c r="EM200" s="20">
        <f t="shared" si="180"/>
        <v>764.08985958329765</v>
      </c>
      <c r="EN200" s="59">
        <f t="shared" si="198"/>
        <v>1057.423192916631</v>
      </c>
      <c r="EO200" s="59">
        <f ca="1">AVERAGE(OFFSET($EN$3,0,0,'Données projet'!$E$15+1,1))-AVERAGE(OFFSET($H$3,0,0,'Données projet'!$E$15+1,1))</f>
        <v>484.41278617935654</v>
      </c>
      <c r="EP200" s="59">
        <f t="shared" si="210"/>
        <v>467.97490540700738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5.9913535127408739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5.9913535127408739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367.99999999999972</v>
      </c>
      <c r="FF200" s="17">
        <f>FE200*VLOOKUP('Données projet'!$B$16,Paramètres!$A$1:$I$89,3,0)*VLOOKUP('Données projet'!$B$16,Paramètres!$A$1:$I$89,5,0)</f>
        <v>396.11519999999967</v>
      </c>
      <c r="FG200" s="13">
        <f t="shared" si="182"/>
        <v>90.988634849704994</v>
      </c>
      <c r="FH200" s="20">
        <f t="shared" si="183"/>
        <v>848.37251236323561</v>
      </c>
      <c r="FI200" s="59">
        <f t="shared" si="199"/>
        <v>1141.705845696569</v>
      </c>
      <c r="FJ200" s="59">
        <f ca="1">AVERAGE(OFFSET($FI$3,0,0,'Données projet'!$E$16+1,1))-AVERAGE(OFFSET($H$3,0,0,'Données projet'!$E$16+1,1))</f>
        <v>534.54020133239135</v>
      </c>
      <c r="FK200" s="59">
        <f t="shared" si="211"/>
        <v>515.48696069008815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6.6677966512761371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6.6677966512761371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248.99999999999994</v>
      </c>
      <c r="GA200" s="17">
        <f>FZ200*VLOOKUP('Données projet'!$B$17,Paramètres!$A$1:$I$89,3,0)*VLOOKUP('Données projet'!$B$17,Paramètres!$A$1:$I$89,5,0)</f>
        <v>236.94839999999994</v>
      </c>
      <c r="GB200" s="13">
        <f t="shared" si="185"/>
        <v>57.782475694292401</v>
      </c>
      <c r="GC200" s="20">
        <f t="shared" si="186"/>
        <v>513.32294183422573</v>
      </c>
      <c r="GD200" s="59">
        <f t="shared" si="200"/>
        <v>806.65627516755899</v>
      </c>
      <c r="GE200" s="59">
        <f ca="1">AVERAGE(OFFSET($GD$3,0,0,'Données projet'!$E$17+1,1))-AVERAGE(OFFSET($H$3,0,0,'Données projet'!$E$17+1,1))</f>
        <v>455.71329051283936</v>
      </c>
      <c r="GF200" s="59">
        <f t="shared" si="212"/>
        <v>479.3743231122258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15.486452037994795</v>
      </c>
      <c r="GM200" s="21">
        <f>EXP(-LN(2)/25)*GM199+(1-EXP(-LN(2)/25))/(LN(2)/25)*Calculateur!GH200*Calculateur!GJ200*VLOOKUP('Données projet'!$B$17,Paramètres!$A$1:$I$89,3,0)*0.475*44/12</f>
        <v>0</v>
      </c>
      <c r="GN200" s="21">
        <f>EXP(-LN(2)/2)*GN199+(1-EXP(-LN(2)/2))/(LN(2)/2)*GH200*GK200*VLOOKUP('Données projet'!$B$17,Paramètres!$A$1:$I$89,3,0)*0.475*44/12</f>
        <v>0</v>
      </c>
      <c r="GO200" s="21">
        <f t="shared" si="187"/>
        <v>15.486452037994795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367.99999999999972</v>
      </c>
      <c r="GV200" s="17">
        <f>GU200*VLOOKUP('Données projet'!$B$18,Paramètres!$A$1:$I$89,3,0)*VLOOKUP('Données projet'!$B$18,Paramètres!$A$1:$I$89,5,0)</f>
        <v>298.52159999999981</v>
      </c>
      <c r="GW200" s="13">
        <f t="shared" si="188"/>
        <v>70.866444995542437</v>
      </c>
      <c r="GX200" s="20">
        <f t="shared" si="189"/>
        <v>643.35084503390271</v>
      </c>
      <c r="GY200" s="59">
        <f t="shared" si="201"/>
        <v>936.68417836723597</v>
      </c>
      <c r="GZ200" s="59">
        <f ca="1">AVERAGE(OFFSET($GY$3,0,0,'Données projet'!$E$18+1,1))-AVERAGE(OFFSET($H$3,0,0,'Données projet'!$E$18+1,1))</f>
        <v>412.59676769258488</v>
      </c>
      <c r="HA200" s="59">
        <f t="shared" si="213"/>
        <v>399.90063795152133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5.0250061719762158</v>
      </c>
      <c r="HH200" s="21">
        <f>EXP(-LN(2)/25)*HH199+(1-EXP(-LN(2)/25))/(LN(2)/25)*Calculateur!HC200*Calculateur!HE200*VLOOKUP('Données projet'!$B$18,Paramètres!$A$1:$I$89,3,0)*0.475*44/12</f>
        <v>0</v>
      </c>
      <c r="HI200" s="21">
        <f>EXP(-LN(2)/2)*HI199+(1-EXP(-LN(2)/2))/(LN(2)/2)*HC200*HF200*VLOOKUP('Données projet'!$B$18,Paramètres!$A$1:$I$89,3,0)*0.475*44/12</f>
        <v>0</v>
      </c>
      <c r="HJ200" s="22">
        <f t="shared" si="190"/>
        <v>5.0250061719762158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306.99999999999994</v>
      </c>
      <c r="O201" s="13">
        <f>N201*VLOOKUP('Données projet'!$B$9,Paramètres!$A$1:$I$89,3,0)*VLOOKUP('Données projet'!$B$9,Paramètres!$A$1:$I$89,5,0)</f>
        <v>277.77359999999993</v>
      </c>
      <c r="P201" s="13">
        <f t="shared" si="203"/>
        <v>66.496288176842356</v>
      </c>
      <c r="Q201" s="20">
        <f t="shared" si="162"/>
        <v>599.60338857466706</v>
      </c>
      <c r="R201" s="59">
        <f t="shared" si="191"/>
        <v>892.93672190800044</v>
      </c>
      <c r="S201" s="59">
        <f ca="1">AVERAGE(OFFSET($R$3,0,0,'Données projet'!$E$9+1,1))-AVERAGE(OFFSET($H$3,0,0,'Données projet'!$E$9+1,1))</f>
        <v>439.19854273764042</v>
      </c>
      <c r="T201" s="59">
        <f t="shared" si="204"/>
        <v>278.21741231699929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19.344222015021725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19.344222015021725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306.99999999999994</v>
      </c>
      <c r="AJ201" s="13">
        <f>AI201*VLOOKUP('Données projet'!$B$10,Paramètres!$A$1:$I$89,3,0)*VLOOKUP('Données projet'!$B$10,Paramètres!$A$1:$I$89,5,0)</f>
        <v>311.298</v>
      </c>
      <c r="AK201" s="13">
        <f t="shared" si="164"/>
        <v>73.539838278528748</v>
      </c>
      <c r="AL201" s="20">
        <f t="shared" si="165"/>
        <v>670.25923500177089</v>
      </c>
      <c r="AM201" s="59">
        <f t="shared" si="193"/>
        <v>963.59256833510426</v>
      </c>
      <c r="AN201" s="59">
        <f ca="1">AVERAGE(OFFSET($AM$3,0,0,'Données projet'!$E$10+1,1))-AVERAGE(OFFSET($H$3,0,0,'Données projet'!$E$10+1,1))</f>
        <v>487.18832528146936</v>
      </c>
      <c r="AO201" s="59">
        <f t="shared" si="205"/>
        <v>306.61893266146666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21.678869499593315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21.678869499593315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369.00000000000023</v>
      </c>
      <c r="BE201" s="13">
        <f>BD201*VLOOKUP('Données projet'!$B$11,Paramètres!$A$1:$I$89,3,0)*VLOOKUP('Données projet'!$B$11,Paramètres!$A$1:$I$89,5,0)</f>
        <v>333.87120000000021</v>
      </c>
      <c r="BF201" s="13">
        <f t="shared" si="167"/>
        <v>78.23236011137638</v>
      </c>
      <c r="BG201" s="20">
        <f t="shared" si="168"/>
        <v>717.74703386064755</v>
      </c>
      <c r="BH201" s="59">
        <f t="shared" si="194"/>
        <v>1011.0803671939809</v>
      </c>
      <c r="BI201" s="59">
        <f ca="1">AVERAGE(OFFSET($BH$3,0,0,'Données projet'!$E$11+1,1))-AVERAGE(OFFSET($H$3,0,0,'Données projet'!$E$11+1,1))</f>
        <v>436.23918637269577</v>
      </c>
      <c r="BJ201" s="59">
        <f t="shared" si="206"/>
        <v>611.43967996341894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0.379472119745625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0.379472119745625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224.00000000000006</v>
      </c>
      <c r="BZ201" s="13">
        <f>BY201*VLOOKUP('Données projet'!$B$12,Paramètres!$A$1:$I$89,3,0)*VLOOKUP('Données projet'!$B$12,Paramètres!$A$1:$I$89,5,0)</f>
        <v>195.68640000000008</v>
      </c>
      <c r="CA201" s="13">
        <f t="shared" si="170"/>
        <v>48.794969360985156</v>
      </c>
      <c r="CB201" s="20">
        <f t="shared" si="171"/>
        <v>425.8050516370493</v>
      </c>
      <c r="CC201" s="59">
        <f t="shared" si="195"/>
        <v>719.13838497038262</v>
      </c>
      <c r="CD201" s="59">
        <f ca="1">AVERAGE(OFFSET($CC$3,0,0,'Données projet'!$E$12+1,1))-AVERAGE(OFFSET($H$3,0,0,'Données projet'!$E$12+1,1))</f>
        <v>304.32767345253382</v>
      </c>
      <c r="CE201" s="59">
        <f t="shared" si="207"/>
        <v>427.16091343339173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4.097914602363919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4.097914602363919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739.99999999999966</v>
      </c>
      <c r="CU201" s="17">
        <f>CT201*VLOOKUP('Données projet'!$B$13,Paramètres!$A$1:$I$89,3,0)*VLOOKUP('Données projet'!$B$13,Paramètres!$A$1:$I$89,5,0)</f>
        <v>413.65999999999985</v>
      </c>
      <c r="CV201" s="13">
        <f t="shared" si="173"/>
        <v>94.540585122244352</v>
      </c>
      <c r="CW201" s="20">
        <f t="shared" si="174"/>
        <v>885.11601908790863</v>
      </c>
      <c r="CX201" s="59">
        <f t="shared" si="196"/>
        <v>1178.4493524212419</v>
      </c>
      <c r="CY201" s="59">
        <f ca="1">AVERAGE(OFFSET($CX$3,0,0,'Données projet'!$E$13+1,1))-AVERAGE(OFFSET($H$3,0,0,'Données projet'!$E$13+1,1))</f>
        <v>555.15881087162279</v>
      </c>
      <c r="CZ201" s="59">
        <f t="shared" si="208"/>
        <v>668.20427590250733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8.030358309953554</v>
      </c>
      <c r="DG201" s="21">
        <f>EXP(-LN(2)/25)*DG200+(1-EXP(-LN(2)/25))/(LN(2)/25)*Calculateur!DB201*Calculateur!DD201*VLOOKUP('Données projet'!$B$13,Paramètres!$A$1:$I$89,3,0)*0.475*44/12</f>
        <v>0.54811084901411566</v>
      </c>
      <c r="DH201" s="21">
        <f>EXP(-LN(2)/2)*DH200+(1-EXP(-LN(2)/2))/(LN(2)/2)*DB201*DE201*VLOOKUP('Données projet'!$B$13,Paramètres!$A$1:$I$89,3,0)*0.475*44/12</f>
        <v>4.3968959516575985E-26</v>
      </c>
      <c r="DI201" s="22">
        <f t="shared" si="175"/>
        <v>8.5784691589676694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911.99999999999898</v>
      </c>
      <c r="DP201" s="17">
        <f>DO201*VLOOKUP('Données projet'!$B$14,Paramètres!$A$1:$I$89,3,0)*VLOOKUP('Données projet'!$B$14,Paramètres!$A$1:$I$89,5,0)</f>
        <v>426.81599999999946</v>
      </c>
      <c r="DQ201" s="13">
        <f t="shared" si="176"/>
        <v>97.192496986872399</v>
      </c>
      <c r="DR201" s="20">
        <f t="shared" si="177"/>
        <v>912.64813225213504</v>
      </c>
      <c r="DS201" s="59">
        <f t="shared" si="197"/>
        <v>1205.9814655854684</v>
      </c>
      <c r="DT201" s="59">
        <f ca="1">AVERAGE(OFFSET($DS$3,0,0,'Données projet'!$E$14+1,1))-AVERAGE(OFFSET($H$3,0,0,'Données projet'!$E$14+1,1))</f>
        <v>523.79180230463714</v>
      </c>
      <c r="DU201" s="59">
        <f t="shared" si="209"/>
        <v>459.3547783500515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14.361258380763461</v>
      </c>
      <c r="EB201" s="21">
        <f>EXP(-LN(2)/25)*EB200+(1-EXP(-LN(2)/25))/(LN(2)/25)*Calculateur!DW201*Calculateur!DY201*VLOOKUP('Données projet'!$B$14,Paramètres!$A$1:$I$89,3,0)*0.475*44/12</f>
        <v>0.50693316890695495</v>
      </c>
      <c r="EC201" s="21">
        <f>EXP(-LN(2)/2)*EC200+(1-EXP(-LN(2)/2))/(LN(2)/2)*DW201*DZ201*VLOOKUP('Données projet'!$B$14,Paramètres!$A$1:$I$89,3,0)*0.475*44/12</f>
        <v>6.1637394844221108E-26</v>
      </c>
      <c r="ED201" s="22">
        <f t="shared" si="178"/>
        <v>14.868191549670415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367.99999999999972</v>
      </c>
      <c r="EK201" s="17">
        <f>EJ201*VLOOKUP('Données projet'!$B$15,Paramètres!$A$1:$I$89,3,0)*VLOOKUP('Données projet'!$B$15,Paramètres!$A$1:$I$89,5,0)</f>
        <v>355.92959999999977</v>
      </c>
      <c r="EL201" s="13">
        <f t="shared" si="179"/>
        <v>82.782281100458206</v>
      </c>
      <c r="EM201" s="20">
        <f t="shared" si="180"/>
        <v>764.08985958329765</v>
      </c>
      <c r="EN201" s="59">
        <f t="shared" si="198"/>
        <v>1057.423192916631</v>
      </c>
      <c r="EO201" s="59">
        <f ca="1">AVERAGE(OFFSET($EN$3,0,0,'Données projet'!$E$15+1,1))-AVERAGE(OFFSET($H$3,0,0,'Données projet'!$E$15+1,1))</f>
        <v>484.41278617935654</v>
      </c>
      <c r="EP201" s="59">
        <f t="shared" si="210"/>
        <v>467.97490540700738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5.8738667247208296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5.8738667247208296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367.99999999999972</v>
      </c>
      <c r="FF201" s="17">
        <f>FE201*VLOOKUP('Données projet'!$B$16,Paramètres!$A$1:$I$89,3,0)*VLOOKUP('Données projet'!$B$16,Paramètres!$A$1:$I$89,5,0)</f>
        <v>396.11519999999967</v>
      </c>
      <c r="FG201" s="13">
        <f t="shared" si="182"/>
        <v>90.988634849704994</v>
      </c>
      <c r="FH201" s="20">
        <f t="shared" si="183"/>
        <v>848.37251236323561</v>
      </c>
      <c r="FI201" s="59">
        <f t="shared" si="199"/>
        <v>1141.705845696569</v>
      </c>
      <c r="FJ201" s="59">
        <f ca="1">AVERAGE(OFFSET($FI$3,0,0,'Données projet'!$E$16+1,1))-AVERAGE(OFFSET($H$3,0,0,'Données projet'!$E$16+1,1))</f>
        <v>534.54020133239135</v>
      </c>
      <c r="FK201" s="59">
        <f t="shared" si="211"/>
        <v>515.48696069008815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6.5370452258989911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6.5370452258989911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248.99999999999994</v>
      </c>
      <c r="GA201" s="17">
        <f>FZ201*VLOOKUP('Données projet'!$B$17,Paramètres!$A$1:$I$89,3,0)*VLOOKUP('Données projet'!$B$17,Paramètres!$A$1:$I$89,5,0)</f>
        <v>236.94839999999994</v>
      </c>
      <c r="GB201" s="13">
        <f t="shared" si="185"/>
        <v>57.782475694292401</v>
      </c>
      <c r="GC201" s="20">
        <f t="shared" si="186"/>
        <v>513.32294183422573</v>
      </c>
      <c r="GD201" s="59">
        <f t="shared" si="200"/>
        <v>806.65627516755899</v>
      </c>
      <c r="GE201" s="59">
        <f ca="1">AVERAGE(OFFSET($GD$3,0,0,'Données projet'!$E$17+1,1))-AVERAGE(OFFSET($H$3,0,0,'Données projet'!$E$17+1,1))</f>
        <v>455.71329051283936</v>
      </c>
      <c r="GF201" s="59">
        <f t="shared" si="212"/>
        <v>479.3743231122258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15.182772159332764</v>
      </c>
      <c r="GM201" s="21">
        <f>EXP(-LN(2)/25)*GM200+(1-EXP(-LN(2)/25))/(LN(2)/25)*Calculateur!GH201*Calculateur!GJ201*VLOOKUP('Données projet'!$B$17,Paramètres!$A$1:$I$89,3,0)*0.475*44/12</f>
        <v>0</v>
      </c>
      <c r="GN201" s="21">
        <f>EXP(-LN(2)/2)*GN200+(1-EXP(-LN(2)/2))/(LN(2)/2)*GH201*GK201*VLOOKUP('Données projet'!$B$17,Paramètres!$A$1:$I$89,3,0)*0.475*44/12</f>
        <v>0</v>
      </c>
      <c r="GO201" s="21">
        <f t="shared" si="187"/>
        <v>15.182772159332764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367.99999999999972</v>
      </c>
      <c r="GV201" s="17">
        <f>GU201*VLOOKUP('Données projet'!$B$18,Paramètres!$A$1:$I$89,3,0)*VLOOKUP('Données projet'!$B$18,Paramètres!$A$1:$I$89,5,0)</f>
        <v>298.52159999999981</v>
      </c>
      <c r="GW201" s="13">
        <f t="shared" si="188"/>
        <v>70.866444995542437</v>
      </c>
      <c r="GX201" s="20">
        <f t="shared" si="189"/>
        <v>643.35084503390271</v>
      </c>
      <c r="GY201" s="59">
        <f t="shared" si="201"/>
        <v>936.68417836723597</v>
      </c>
      <c r="GZ201" s="59">
        <f ca="1">AVERAGE(OFFSET($GY$3,0,0,'Données projet'!$E$18+1,1))-AVERAGE(OFFSET($H$3,0,0,'Données projet'!$E$18+1,1))</f>
        <v>412.59676769258488</v>
      </c>
      <c r="HA201" s="59">
        <f t="shared" si="213"/>
        <v>399.90063795152133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4.9264688658948881</v>
      </c>
      <c r="HH201" s="21">
        <f>EXP(-LN(2)/25)*HH200+(1-EXP(-LN(2)/25))/(LN(2)/25)*Calculateur!HC201*Calculateur!HE201*VLOOKUP('Données projet'!$B$18,Paramètres!$A$1:$I$89,3,0)*0.475*44/12</f>
        <v>0</v>
      </c>
      <c r="HI201" s="21">
        <f>EXP(-LN(2)/2)*HI200+(1-EXP(-LN(2)/2))/(LN(2)/2)*HC201*HF201*VLOOKUP('Données projet'!$B$18,Paramètres!$A$1:$I$89,3,0)*0.475*44/12</f>
        <v>0</v>
      </c>
      <c r="HJ201" s="22">
        <f t="shared" si="190"/>
        <v>4.9264688658948881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306.99999999999994</v>
      </c>
      <c r="O202" s="13">
        <f>N202*VLOOKUP('Données projet'!$B$9,Paramètres!$A$1:$I$89,3,0)*VLOOKUP('Données projet'!$B$9,Paramètres!$A$1:$I$89,5,0)</f>
        <v>277.77359999999993</v>
      </c>
      <c r="P202" s="13">
        <f t="shared" si="203"/>
        <v>66.496288176842356</v>
      </c>
      <c r="Q202" s="20">
        <f t="shared" si="162"/>
        <v>599.60338857466706</v>
      </c>
      <c r="R202" s="59">
        <f t="shared" si="191"/>
        <v>892.93672190800044</v>
      </c>
      <c r="S202" s="59">
        <f ca="1">AVERAGE(OFFSET($R$3,0,0,'Données projet'!$E$9+1,1))-AVERAGE(OFFSET($H$3,0,0,'Données projet'!$E$9+1,1))</f>
        <v>439.19854273764042</v>
      </c>
      <c r="T202" s="59">
        <f t="shared" si="204"/>
        <v>278.21741231699929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18.964893620117543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18.964893620117543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306.99999999999994</v>
      </c>
      <c r="AJ202" s="13">
        <f>AI202*VLOOKUP('Données projet'!$B$10,Paramètres!$A$1:$I$89,3,0)*VLOOKUP('Données projet'!$B$10,Paramètres!$A$1:$I$89,5,0)</f>
        <v>311.298</v>
      </c>
      <c r="AK202" s="13">
        <f t="shared" si="164"/>
        <v>73.539838278528748</v>
      </c>
      <c r="AL202" s="20">
        <f t="shared" si="165"/>
        <v>670.25923500177089</v>
      </c>
      <c r="AM202" s="59">
        <f t="shared" si="193"/>
        <v>963.59256833510426</v>
      </c>
      <c r="AN202" s="59">
        <f ca="1">AVERAGE(OFFSET($AM$3,0,0,'Données projet'!$E$10+1,1))-AVERAGE(OFFSET($H$3,0,0,'Données projet'!$E$10+1,1))</f>
        <v>487.18832528146936</v>
      </c>
      <c r="AO202" s="59">
        <f t="shared" si="205"/>
        <v>306.61893266146666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21.25376009151104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21.25376009151104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369.00000000000023</v>
      </c>
      <c r="BE202" s="13">
        <f>BD202*VLOOKUP('Données projet'!$B$11,Paramètres!$A$1:$I$89,3,0)*VLOOKUP('Données projet'!$B$11,Paramètres!$A$1:$I$89,5,0)</f>
        <v>333.87120000000021</v>
      </c>
      <c r="BF202" s="13">
        <f t="shared" si="167"/>
        <v>78.23236011137638</v>
      </c>
      <c r="BG202" s="20">
        <f t="shared" si="168"/>
        <v>717.74703386064755</v>
      </c>
      <c r="BH202" s="59">
        <f t="shared" si="194"/>
        <v>1011.0803671939809</v>
      </c>
      <c r="BI202" s="59">
        <f ca="1">AVERAGE(OFFSET($BH$3,0,0,'Données projet'!$E$11+1,1))-AVERAGE(OFFSET($H$3,0,0,'Données projet'!$E$11+1,1))</f>
        <v>436.23918637269577</v>
      </c>
      <c r="BJ202" s="59">
        <f t="shared" si="206"/>
        <v>611.43967996341894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0.37203090293255203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0.37203090293255203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224.00000000000006</v>
      </c>
      <c r="BZ202" s="13">
        <f>BY202*VLOOKUP('Données projet'!$B$12,Paramètres!$A$1:$I$89,3,0)*VLOOKUP('Données projet'!$B$12,Paramètres!$A$1:$I$89,5,0)</f>
        <v>195.68640000000008</v>
      </c>
      <c r="CA202" s="13">
        <f t="shared" si="170"/>
        <v>48.794969360985156</v>
      </c>
      <c r="CB202" s="20">
        <f t="shared" si="171"/>
        <v>425.8050516370493</v>
      </c>
      <c r="CC202" s="59">
        <f t="shared" si="195"/>
        <v>719.13838497038262</v>
      </c>
      <c r="CD202" s="59">
        <f ca="1">AVERAGE(OFFSET($CC$3,0,0,'Données projet'!$E$12+1,1))-AVERAGE(OFFSET($H$3,0,0,'Données projet'!$E$12+1,1))</f>
        <v>304.32767345253382</v>
      </c>
      <c r="CE202" s="59">
        <f t="shared" si="207"/>
        <v>427.16091343339173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4.017556996492667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4.017556996492667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739.99999999999966</v>
      </c>
      <c r="CU202" s="17">
        <f>CT202*VLOOKUP('Données projet'!$B$13,Paramètres!$A$1:$I$89,3,0)*VLOOKUP('Données projet'!$B$13,Paramètres!$A$1:$I$89,5,0)</f>
        <v>413.65999999999985</v>
      </c>
      <c r="CV202" s="13">
        <f t="shared" si="173"/>
        <v>94.540585122244352</v>
      </c>
      <c r="CW202" s="20">
        <f t="shared" si="174"/>
        <v>885.11601908790863</v>
      </c>
      <c r="CX202" s="59">
        <f t="shared" si="196"/>
        <v>1178.4493524212419</v>
      </c>
      <c r="CY202" s="59">
        <f ca="1">AVERAGE(OFFSET($CX$3,0,0,'Données projet'!$E$13+1,1))-AVERAGE(OFFSET($H$3,0,0,'Données projet'!$E$13+1,1))</f>
        <v>555.15881087162279</v>
      </c>
      <c r="CZ202" s="59">
        <f t="shared" si="208"/>
        <v>668.20427590250733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7.8728878815302927</v>
      </c>
      <c r="DG202" s="21">
        <f>EXP(-LN(2)/25)*DG201+(1-EXP(-LN(2)/25))/(LN(2)/25)*Calculateur!DB202*Calculateur!DD202*VLOOKUP('Données projet'!$B$13,Paramètres!$A$1:$I$89,3,0)*0.475*44/12</f>
        <v>0.53312272902392788</v>
      </c>
      <c r="DH202" s="21">
        <f>EXP(-LN(2)/2)*DH201+(1-EXP(-LN(2)/2))/(LN(2)/2)*DB202*DE202*VLOOKUP('Données projet'!$B$13,Paramètres!$A$1:$I$89,3,0)*0.475*44/12</f>
        <v>3.1090749435887661E-26</v>
      </c>
      <c r="DI202" s="22">
        <f t="shared" si="175"/>
        <v>8.4060106105542207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911.99999999999898</v>
      </c>
      <c r="DP202" s="17">
        <f>DO202*VLOOKUP('Données projet'!$B$14,Paramètres!$A$1:$I$89,3,0)*VLOOKUP('Données projet'!$B$14,Paramètres!$A$1:$I$89,5,0)</f>
        <v>426.81599999999946</v>
      </c>
      <c r="DQ202" s="13">
        <f t="shared" si="176"/>
        <v>97.192496986872399</v>
      </c>
      <c r="DR202" s="20">
        <f t="shared" si="177"/>
        <v>912.64813225213504</v>
      </c>
      <c r="DS202" s="59">
        <f t="shared" si="197"/>
        <v>1205.9814655854684</v>
      </c>
      <c r="DT202" s="59">
        <f ca="1">AVERAGE(OFFSET($DS$3,0,0,'Données projet'!$E$14+1,1))-AVERAGE(OFFSET($H$3,0,0,'Données projet'!$E$14+1,1))</f>
        <v>523.79180230463714</v>
      </c>
      <c r="DU202" s="59">
        <f t="shared" si="209"/>
        <v>459.3547783500515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14.079642863419373</v>
      </c>
      <c r="EB202" s="21">
        <f>EXP(-LN(2)/25)*EB201+(1-EXP(-LN(2)/25))/(LN(2)/25)*Calculateur!DW202*Calculateur!DY202*VLOOKUP('Données projet'!$B$14,Paramètres!$A$1:$I$89,3,0)*0.475*44/12</f>
        <v>0.4930710547447375</v>
      </c>
      <c r="EC202" s="21">
        <f>EXP(-LN(2)/2)*EC201+(1-EXP(-LN(2)/2))/(LN(2)/2)*DW202*DZ202*VLOOKUP('Données projet'!$B$14,Paramètres!$A$1:$I$89,3,0)*0.475*44/12</f>
        <v>4.3584219869021488E-26</v>
      </c>
      <c r="ED202" s="22">
        <f t="shared" si="178"/>
        <v>14.57271391816411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367.99999999999972</v>
      </c>
      <c r="EK202" s="17">
        <f>EJ202*VLOOKUP('Données projet'!$B$15,Paramètres!$A$1:$I$89,3,0)*VLOOKUP('Données projet'!$B$15,Paramètres!$A$1:$I$89,5,0)</f>
        <v>355.92959999999977</v>
      </c>
      <c r="EL202" s="13">
        <f t="shared" si="179"/>
        <v>82.782281100458206</v>
      </c>
      <c r="EM202" s="20">
        <f t="shared" si="180"/>
        <v>764.08985958329765</v>
      </c>
      <c r="EN202" s="59">
        <f t="shared" si="198"/>
        <v>1057.423192916631</v>
      </c>
      <c r="EO202" s="59">
        <f ca="1">AVERAGE(OFFSET($EN$3,0,0,'Données projet'!$E$15+1,1))-AVERAGE(OFFSET($H$3,0,0,'Données projet'!$E$15+1,1))</f>
        <v>484.41278617935654</v>
      </c>
      <c r="EP202" s="59">
        <f t="shared" si="210"/>
        <v>467.97490540700738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5.7586837809539935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5.7586837809539935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367.99999999999972</v>
      </c>
      <c r="FF202" s="17">
        <f>FE202*VLOOKUP('Données projet'!$B$16,Paramètres!$A$1:$I$89,3,0)*VLOOKUP('Données projet'!$B$16,Paramètres!$A$1:$I$89,5,0)</f>
        <v>396.11519999999967</v>
      </c>
      <c r="FG202" s="13">
        <f t="shared" si="182"/>
        <v>90.988634849704994</v>
      </c>
      <c r="FH202" s="20">
        <f t="shared" si="183"/>
        <v>848.37251236323561</v>
      </c>
      <c r="FI202" s="59">
        <f t="shared" si="199"/>
        <v>1141.705845696569</v>
      </c>
      <c r="FJ202" s="59">
        <f ca="1">AVERAGE(OFFSET($FI$3,0,0,'Données projet'!$E$16+1,1))-AVERAGE(OFFSET($H$3,0,0,'Données projet'!$E$16+1,1))</f>
        <v>534.54020133239135</v>
      </c>
      <c r="FK202" s="59">
        <f t="shared" si="211"/>
        <v>515.48696069008815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6.4088577562229956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6.4088577562229956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248.99999999999994</v>
      </c>
      <c r="GA202" s="17">
        <f>FZ202*VLOOKUP('Données projet'!$B$17,Paramètres!$A$1:$I$89,3,0)*VLOOKUP('Données projet'!$B$17,Paramètres!$A$1:$I$89,5,0)</f>
        <v>236.94839999999994</v>
      </c>
      <c r="GB202" s="13">
        <f t="shared" si="185"/>
        <v>57.782475694292401</v>
      </c>
      <c r="GC202" s="20">
        <f t="shared" si="186"/>
        <v>513.32294183422573</v>
      </c>
      <c r="GD202" s="59">
        <f t="shared" si="200"/>
        <v>806.65627516755899</v>
      </c>
      <c r="GE202" s="59">
        <f ca="1">AVERAGE(OFFSET($GD$3,0,0,'Données projet'!$E$17+1,1))-AVERAGE(OFFSET($H$3,0,0,'Données projet'!$E$17+1,1))</f>
        <v>455.71329051283936</v>
      </c>
      <c r="GF202" s="59">
        <f t="shared" si="212"/>
        <v>479.3743231122258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14.88504725786486</v>
      </c>
      <c r="GM202" s="21">
        <f>EXP(-LN(2)/25)*GM201+(1-EXP(-LN(2)/25))/(LN(2)/25)*Calculateur!GH202*Calculateur!GJ202*VLOOKUP('Données projet'!$B$17,Paramètres!$A$1:$I$89,3,0)*0.475*44/12</f>
        <v>0</v>
      </c>
      <c r="GN202" s="21">
        <f>EXP(-LN(2)/2)*GN201+(1-EXP(-LN(2)/2))/(LN(2)/2)*GH202*GK202*VLOOKUP('Données projet'!$B$17,Paramètres!$A$1:$I$89,3,0)*0.475*44/12</f>
        <v>0</v>
      </c>
      <c r="GO202" s="21">
        <f t="shared" si="187"/>
        <v>14.88504725786486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367.99999999999972</v>
      </c>
      <c r="GV202" s="17">
        <f>GU202*VLOOKUP('Données projet'!$B$18,Paramètres!$A$1:$I$89,3,0)*VLOOKUP('Données projet'!$B$18,Paramètres!$A$1:$I$89,5,0)</f>
        <v>298.52159999999981</v>
      </c>
      <c r="GW202" s="13">
        <f t="shared" si="188"/>
        <v>70.866444995542437</v>
      </c>
      <c r="GX202" s="20">
        <f t="shared" si="189"/>
        <v>643.35084503390271</v>
      </c>
      <c r="GY202" s="59">
        <f t="shared" si="201"/>
        <v>936.68417836723597</v>
      </c>
      <c r="GZ202" s="59">
        <f ca="1">AVERAGE(OFFSET($GY$3,0,0,'Données projet'!$E$18+1,1))-AVERAGE(OFFSET($H$3,0,0,'Données projet'!$E$18+1,1))</f>
        <v>412.59676769258488</v>
      </c>
      <c r="HA202" s="59">
        <f t="shared" si="213"/>
        <v>399.90063795152133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4.8298638162839929</v>
      </c>
      <c r="HH202" s="21">
        <f>EXP(-LN(2)/25)*HH201+(1-EXP(-LN(2)/25))/(LN(2)/25)*Calculateur!HC202*Calculateur!HE202*VLOOKUP('Données projet'!$B$18,Paramètres!$A$1:$I$89,3,0)*0.475*44/12</f>
        <v>0</v>
      </c>
      <c r="HI202" s="21">
        <f>EXP(-LN(2)/2)*HI201+(1-EXP(-LN(2)/2))/(LN(2)/2)*HC202*HF202*VLOOKUP('Données projet'!$B$18,Paramètres!$A$1:$I$89,3,0)*0.475*44/12</f>
        <v>0</v>
      </c>
      <c r="HJ202" s="22">
        <f t="shared" si="190"/>
        <v>4.8298638162839929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306.99999999999994</v>
      </c>
      <c r="O203" s="13">
        <f>N203*VLOOKUP('Données projet'!$B$9,Paramètres!$A$1:$I$89,3,0)*VLOOKUP('Données projet'!$B$9,Paramètres!$A$1:$I$89,5,0)</f>
        <v>277.77359999999993</v>
      </c>
      <c r="P203" s="13">
        <f t="shared" si="203"/>
        <v>66.496288176842356</v>
      </c>
      <c r="Q203" s="20">
        <f t="shared" si="162"/>
        <v>599.60338857466706</v>
      </c>
      <c r="R203" s="59">
        <f t="shared" si="191"/>
        <v>892.93672190800044</v>
      </c>
      <c r="S203" s="59">
        <f ca="1">AVERAGE(OFFSET($R$3,0,0,'Données projet'!$E$9+1,1))-AVERAGE(OFFSET($H$3,0,0,'Données projet'!$E$9+1,1))</f>
        <v>439.19854273764042</v>
      </c>
      <c r="T203" s="59">
        <f t="shared" si="204"/>
        <v>278.21741231699929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18.593003623669958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18.593003623669958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306.99999999999994</v>
      </c>
      <c r="AJ203" s="13">
        <f>AI203*VLOOKUP('Données projet'!$B$10,Paramètres!$A$1:$I$89,3,0)*VLOOKUP('Données projet'!$B$10,Paramètres!$A$1:$I$89,5,0)</f>
        <v>311.298</v>
      </c>
      <c r="AK203" s="13">
        <f t="shared" si="164"/>
        <v>73.539838278528748</v>
      </c>
      <c r="AL203" s="20">
        <f t="shared" si="165"/>
        <v>670.25923500177089</v>
      </c>
      <c r="AM203" s="59">
        <f t="shared" si="193"/>
        <v>963.59256833510426</v>
      </c>
      <c r="AN203" s="59">
        <f ca="1">AVERAGE(OFFSET($AM$3,0,0,'Données projet'!$E$10+1,1))-AVERAGE(OFFSET($H$3,0,0,'Données projet'!$E$10+1,1))</f>
        <v>487.18832528146936</v>
      </c>
      <c r="AO203" s="59">
        <f t="shared" si="205"/>
        <v>306.61893266146666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20.836986819630123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20.836986819630123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369.00000000000023</v>
      </c>
      <c r="BE203" s="13">
        <f>BD203*VLOOKUP('Données projet'!$B$11,Paramètres!$A$1:$I$89,3,0)*VLOOKUP('Données projet'!$B$11,Paramètres!$A$1:$I$89,5,0)</f>
        <v>333.87120000000021</v>
      </c>
      <c r="BF203" s="13">
        <f t="shared" si="167"/>
        <v>78.23236011137638</v>
      </c>
      <c r="BG203" s="20">
        <f t="shared" si="168"/>
        <v>717.74703386064755</v>
      </c>
      <c r="BH203" s="59">
        <f t="shared" si="194"/>
        <v>1011.0803671939809</v>
      </c>
      <c r="BI203" s="59">
        <f ca="1">AVERAGE(OFFSET($BH$3,0,0,'Données projet'!$E$11+1,1))-AVERAGE(OFFSET($H$3,0,0,'Données projet'!$E$11+1,1))</f>
        <v>436.23918637269577</v>
      </c>
      <c r="BJ203" s="59">
        <f t="shared" si="206"/>
        <v>611.43967996341894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0.36473560384248932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0.36473560384248932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224.00000000000006</v>
      </c>
      <c r="BZ203" s="13">
        <f>BY203*VLOOKUP('Données projet'!$B$12,Paramètres!$A$1:$I$89,3,0)*VLOOKUP('Données projet'!$B$12,Paramètres!$A$1:$I$89,5,0)</f>
        <v>195.68640000000008</v>
      </c>
      <c r="CA203" s="13">
        <f t="shared" si="170"/>
        <v>48.794969360985156</v>
      </c>
      <c r="CB203" s="20">
        <f t="shared" si="171"/>
        <v>425.8050516370493</v>
      </c>
      <c r="CC203" s="59">
        <f t="shared" si="195"/>
        <v>719.13838497038262</v>
      </c>
      <c r="CD203" s="59">
        <f ca="1">AVERAGE(OFFSET($CC$3,0,0,'Données projet'!$E$12+1,1))-AVERAGE(OFFSET($H$3,0,0,'Données projet'!$E$12+1,1))</f>
        <v>304.32767345253382</v>
      </c>
      <c r="CE203" s="59">
        <f t="shared" si="207"/>
        <v>427.16091343339173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3.93877515425925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3.93877515425925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739.99999999999966</v>
      </c>
      <c r="CU203" s="17">
        <f>CT203*VLOOKUP('Données projet'!$B$13,Paramètres!$A$1:$I$89,3,0)*VLOOKUP('Données projet'!$B$13,Paramètres!$A$1:$I$89,5,0)</f>
        <v>413.65999999999985</v>
      </c>
      <c r="CV203" s="13">
        <f t="shared" si="173"/>
        <v>94.540585122244352</v>
      </c>
      <c r="CW203" s="20">
        <f t="shared" si="174"/>
        <v>885.11601908790863</v>
      </c>
      <c r="CX203" s="59">
        <f t="shared" si="196"/>
        <v>1178.4493524212419</v>
      </c>
      <c r="CY203" s="59">
        <f ca="1">AVERAGE(OFFSET($CX$3,0,0,'Données projet'!$E$13+1,1))-AVERAGE(OFFSET($H$3,0,0,'Données projet'!$E$13+1,1))</f>
        <v>555.15881087162279</v>
      </c>
      <c r="CZ203" s="59">
        <f t="shared" si="208"/>
        <v>668.20427590250733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7.7185053521609346</v>
      </c>
      <c r="DG203" s="21">
        <f>EXP(-LN(2)/25)*DG202+(1-EXP(-LN(2)/25))/(LN(2)/25)*Calculateur!DB203*Calculateur!DD203*VLOOKUP('Données projet'!$B$13,Paramètres!$A$1:$I$89,3,0)*0.475*44/12</f>
        <v>0.51854445996306275</v>
      </c>
      <c r="DH203" s="21">
        <f>EXP(-LN(2)/2)*DH202+(1-EXP(-LN(2)/2))/(LN(2)/2)*DB203*DE203*VLOOKUP('Données projet'!$B$13,Paramètres!$A$1:$I$89,3,0)*0.475*44/12</f>
        <v>2.1984479758287993E-26</v>
      </c>
      <c r="DI203" s="22">
        <f t="shared" si="175"/>
        <v>8.2370498121239972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911.99999999999898</v>
      </c>
      <c r="DP203" s="17">
        <f>DO203*VLOOKUP('Données projet'!$B$14,Paramètres!$A$1:$I$89,3,0)*VLOOKUP('Données projet'!$B$14,Paramètres!$A$1:$I$89,5,0)</f>
        <v>426.81599999999946</v>
      </c>
      <c r="DQ203" s="13">
        <f t="shared" si="176"/>
        <v>97.192496986872399</v>
      </c>
      <c r="DR203" s="20">
        <f t="shared" si="177"/>
        <v>912.64813225213504</v>
      </c>
      <c r="DS203" s="59">
        <f t="shared" si="197"/>
        <v>1205.9814655854684</v>
      </c>
      <c r="DT203" s="59">
        <f ca="1">AVERAGE(OFFSET($DS$3,0,0,'Données projet'!$E$14+1,1))-AVERAGE(OFFSET($H$3,0,0,'Données projet'!$E$14+1,1))</f>
        <v>523.79180230463714</v>
      </c>
      <c r="DU203" s="59">
        <f t="shared" si="209"/>
        <v>459.3547783500515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13.803549654601898</v>
      </c>
      <c r="EB203" s="21">
        <f>EXP(-LN(2)/25)*EB202+(1-EXP(-LN(2)/25))/(LN(2)/25)*Calculateur!DW203*Calculateur!DY203*VLOOKUP('Données projet'!$B$14,Paramètres!$A$1:$I$89,3,0)*0.475*44/12</f>
        <v>0.47958800082326281</v>
      </c>
      <c r="EC203" s="21">
        <f>EXP(-LN(2)/2)*EC202+(1-EXP(-LN(2)/2))/(LN(2)/2)*DW203*DZ203*VLOOKUP('Données projet'!$B$14,Paramètres!$A$1:$I$89,3,0)*0.475*44/12</f>
        <v>3.0818697422110554E-26</v>
      </c>
      <c r="ED203" s="22">
        <f t="shared" si="178"/>
        <v>14.283137655425161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367.99999999999972</v>
      </c>
      <c r="EK203" s="17">
        <f>EJ203*VLOOKUP('Données projet'!$B$15,Paramètres!$A$1:$I$89,3,0)*VLOOKUP('Données projet'!$B$15,Paramètres!$A$1:$I$89,5,0)</f>
        <v>355.92959999999977</v>
      </c>
      <c r="EL203" s="13">
        <f t="shared" si="179"/>
        <v>82.782281100458206</v>
      </c>
      <c r="EM203" s="20">
        <f t="shared" si="180"/>
        <v>764.08985958329765</v>
      </c>
      <c r="EN203" s="59">
        <f t="shared" si="198"/>
        <v>1057.423192916631</v>
      </c>
      <c r="EO203" s="59">
        <f ca="1">AVERAGE(OFFSET($EN$3,0,0,'Données projet'!$E$15+1,1))-AVERAGE(OFFSET($H$3,0,0,'Données projet'!$E$15+1,1))</f>
        <v>484.41278617935654</v>
      </c>
      <c r="EP203" s="59">
        <f t="shared" si="210"/>
        <v>467.97490540700738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5.6457595044597664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5.6457595044597664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367.99999999999972</v>
      </c>
      <c r="FF203" s="17">
        <f>FE203*VLOOKUP('Données projet'!$B$16,Paramètres!$A$1:$I$89,3,0)*VLOOKUP('Données projet'!$B$16,Paramètres!$A$1:$I$89,5,0)</f>
        <v>396.11519999999967</v>
      </c>
      <c r="FG203" s="13">
        <f t="shared" si="182"/>
        <v>90.988634849704994</v>
      </c>
      <c r="FH203" s="20">
        <f t="shared" si="183"/>
        <v>848.37251236323561</v>
      </c>
      <c r="FI203" s="59">
        <f t="shared" si="199"/>
        <v>1141.705845696569</v>
      </c>
      <c r="FJ203" s="59">
        <f ca="1">AVERAGE(OFFSET($FI$3,0,0,'Données projet'!$E$16+1,1))-AVERAGE(OFFSET($H$3,0,0,'Données projet'!$E$16+1,1))</f>
        <v>534.54020133239135</v>
      </c>
      <c r="FK203" s="59">
        <f t="shared" si="211"/>
        <v>515.48696069008815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6.2831839646407106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6.2831839646407106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248.99999999999994</v>
      </c>
      <c r="GA203" s="17">
        <f>FZ203*VLOOKUP('Données projet'!$B$17,Paramètres!$A$1:$I$89,3,0)*VLOOKUP('Données projet'!$B$17,Paramètres!$A$1:$I$89,5,0)</f>
        <v>236.94839999999994</v>
      </c>
      <c r="GB203" s="13">
        <f t="shared" si="185"/>
        <v>57.782475694292401</v>
      </c>
      <c r="GC203" s="20">
        <f t="shared" si="186"/>
        <v>513.32294183422573</v>
      </c>
      <c r="GD203" s="59">
        <f t="shared" si="200"/>
        <v>806.65627516755899</v>
      </c>
      <c r="GE203" s="59">
        <f ca="1">AVERAGE(OFFSET($GD$3,0,0,'Données projet'!$E$17+1,1))-AVERAGE(OFFSET($H$3,0,0,'Données projet'!$E$17+1,1))</f>
        <v>455.71329051283936</v>
      </c>
      <c r="GF203" s="59">
        <f t="shared" si="212"/>
        <v>479.3743231122258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14.593160560120483</v>
      </c>
      <c r="GM203" s="21">
        <f>EXP(-LN(2)/25)*GM202+(1-EXP(-LN(2)/25))/(LN(2)/25)*Calculateur!GH203*Calculateur!GJ203*VLOOKUP('Données projet'!$B$17,Paramètres!$A$1:$I$89,3,0)*0.475*44/12</f>
        <v>0</v>
      </c>
      <c r="GN203" s="21">
        <f>EXP(-LN(2)/2)*GN202+(1-EXP(-LN(2)/2))/(LN(2)/2)*GH203*GK203*VLOOKUP('Données projet'!$B$17,Paramètres!$A$1:$I$89,3,0)*0.475*44/12</f>
        <v>0</v>
      </c>
      <c r="GO203" s="21">
        <f t="shared" si="187"/>
        <v>14.593160560120483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367.99999999999972</v>
      </c>
      <c r="GV203" s="17">
        <f>GU203*VLOOKUP('Données projet'!$B$18,Paramètres!$A$1:$I$89,3,0)*VLOOKUP('Données projet'!$B$18,Paramètres!$A$1:$I$89,5,0)</f>
        <v>298.52159999999981</v>
      </c>
      <c r="GW203" s="13">
        <f t="shared" si="188"/>
        <v>70.866444995542437</v>
      </c>
      <c r="GX203" s="20">
        <f t="shared" si="189"/>
        <v>643.35084503390271</v>
      </c>
      <c r="GY203" s="59">
        <f t="shared" si="201"/>
        <v>936.68417836723597</v>
      </c>
      <c r="GZ203" s="59">
        <f ca="1">AVERAGE(OFFSET($GY$3,0,0,'Données projet'!$E$18+1,1))-AVERAGE(OFFSET($H$3,0,0,'Données projet'!$E$18+1,1))</f>
        <v>412.59676769258488</v>
      </c>
      <c r="HA203" s="59">
        <f t="shared" si="213"/>
        <v>399.90063795152133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4.7351531327727052</v>
      </c>
      <c r="HH203" s="21">
        <f>EXP(-LN(2)/25)*HH202+(1-EXP(-LN(2)/25))/(LN(2)/25)*Calculateur!HC203*Calculateur!HE203*VLOOKUP('Données projet'!$B$18,Paramètres!$A$1:$I$89,3,0)*0.475*44/12</f>
        <v>0</v>
      </c>
      <c r="HI203" s="21">
        <f>EXP(-LN(2)/2)*HI202+(1-EXP(-LN(2)/2))/(LN(2)/2)*HC203*HF203*VLOOKUP('Données projet'!$B$18,Paramètres!$A$1:$I$89,3,0)*0.475*44/12</f>
        <v>0</v>
      </c>
      <c r="HJ203" s="22">
        <f t="shared" si="190"/>
        <v>4.7351531327727052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1.2392705892426346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1.2392705892426346</v>
      </c>
      <c r="BA205" s="82">
        <f>EXP(LN('Données projet'!B88)/'Données projet'!A88)</f>
        <v>2.1016324782757847</v>
      </c>
      <c r="BV205" s="82">
        <f>EXP(LN('Données projet'!B114)/'Données projet'!A114)</f>
        <v>1.3655017210306359</v>
      </c>
      <c r="CQ205" s="82">
        <f>EXP(LN('Données projet'!B140)/'Données projet'!A140)</f>
        <v>1.4037863041747067</v>
      </c>
      <c r="DL205" s="82">
        <f>EXP(LN('Données projet'!B166)/'Données projet'!A166)</f>
        <v>1.3556619776599483</v>
      </c>
      <c r="EG205" s="82">
        <f>EXP(LN('Données projet'!B192)/'Données projet'!A192)</f>
        <v>1.3423796509621049</v>
      </c>
      <c r="FB205" s="82">
        <f>EXP(LN('Données projet'!B218)/'Données projet'!A218)</f>
        <v>1.3423796509621049</v>
      </c>
      <c r="FW205" s="82">
        <f>EXP(LN('Données projet'!B244)/'Données projet'!A244)</f>
        <v>1.5271612967071428</v>
      </c>
      <c r="GR205" s="82">
        <f>EXP(LN('Données projet'!B270)/'Données projet'!A270)</f>
        <v>1.3423796509621049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0" t="s">
        <v>0</v>
      </c>
      <c r="B1" s="111" t="s">
        <v>106</v>
      </c>
      <c r="C1" s="112" t="s">
        <v>144</v>
      </c>
      <c r="D1" s="111" t="s">
        <v>100</v>
      </c>
      <c r="E1" s="112" t="s">
        <v>145</v>
      </c>
      <c r="F1" s="112" t="s">
        <v>100</v>
      </c>
      <c r="G1" s="112" t="s">
        <v>146</v>
      </c>
      <c r="H1" s="112" t="s">
        <v>100</v>
      </c>
      <c r="I1" s="113" t="s">
        <v>147</v>
      </c>
      <c r="J1" s="78"/>
      <c r="K1" s="78"/>
      <c r="L1" s="78"/>
      <c r="M1" s="78"/>
      <c r="N1" s="78"/>
    </row>
    <row r="2" spans="1:16" x14ac:dyDescent="0.3">
      <c r="A2" s="114" t="s">
        <v>1</v>
      </c>
      <c r="B2" s="115" t="s">
        <v>53</v>
      </c>
      <c r="C2" s="116">
        <v>0.62</v>
      </c>
      <c r="D2" s="116" t="s">
        <v>161</v>
      </c>
      <c r="E2" s="116">
        <v>1.56</v>
      </c>
      <c r="F2" s="116" t="s">
        <v>274</v>
      </c>
      <c r="G2" s="117">
        <v>0.43</v>
      </c>
      <c r="H2" s="118" t="s">
        <v>278</v>
      </c>
      <c r="I2" s="119">
        <v>0.25</v>
      </c>
      <c r="J2" s="78"/>
      <c r="K2" s="78"/>
      <c r="L2" s="78"/>
      <c r="M2" s="78"/>
      <c r="N2" s="78"/>
      <c r="O2" s="280" t="s">
        <v>238</v>
      </c>
      <c r="P2" s="120">
        <v>0</v>
      </c>
    </row>
    <row r="3" spans="1:16" ht="15" thickBot="1" x14ac:dyDescent="0.35">
      <c r="A3" s="121" t="s">
        <v>2</v>
      </c>
      <c r="B3" s="122" t="s">
        <v>54</v>
      </c>
      <c r="C3" s="123">
        <v>0.64</v>
      </c>
      <c r="D3" s="123" t="s">
        <v>161</v>
      </c>
      <c r="E3" s="123">
        <v>1.56</v>
      </c>
      <c r="F3" s="124" t="s">
        <v>274</v>
      </c>
      <c r="G3" s="125">
        <v>0.43</v>
      </c>
      <c r="H3" s="123" t="s">
        <v>278</v>
      </c>
      <c r="I3" s="126">
        <v>0.25</v>
      </c>
      <c r="J3" s="78"/>
      <c r="K3" s="78"/>
      <c r="L3" s="78"/>
      <c r="M3" s="78"/>
      <c r="N3" s="78"/>
      <c r="O3" s="281"/>
      <c r="P3" s="127">
        <v>0.2</v>
      </c>
    </row>
    <row r="4" spans="1:16" ht="15" thickBot="1" x14ac:dyDescent="0.35">
      <c r="A4" s="121" t="s">
        <v>98</v>
      </c>
      <c r="B4" s="122" t="s">
        <v>99</v>
      </c>
      <c r="C4" s="123">
        <v>0.42</v>
      </c>
      <c r="D4" s="123" t="s">
        <v>161</v>
      </c>
      <c r="E4" s="123">
        <v>1.56</v>
      </c>
      <c r="F4" s="124" t="s">
        <v>274</v>
      </c>
      <c r="G4" s="125">
        <v>0.43</v>
      </c>
      <c r="H4" s="123" t="s">
        <v>278</v>
      </c>
      <c r="I4" s="126">
        <v>0.25</v>
      </c>
      <c r="J4" s="78"/>
      <c r="K4" s="78"/>
      <c r="L4" s="78"/>
      <c r="M4" s="78"/>
      <c r="N4" s="78"/>
    </row>
    <row r="5" spans="1:16" x14ac:dyDescent="0.3">
      <c r="A5" s="121" t="s">
        <v>4</v>
      </c>
      <c r="B5" s="122" t="s">
        <v>55</v>
      </c>
      <c r="C5" s="123">
        <v>0.42</v>
      </c>
      <c r="D5" s="123" t="s">
        <v>161</v>
      </c>
      <c r="E5" s="123">
        <v>1.56</v>
      </c>
      <c r="F5" s="124" t="s">
        <v>274</v>
      </c>
      <c r="G5" s="125">
        <v>0.43</v>
      </c>
      <c r="H5" s="123" t="s">
        <v>278</v>
      </c>
      <c r="I5" s="126">
        <v>0.25</v>
      </c>
      <c r="J5" s="78"/>
      <c r="K5" s="78"/>
      <c r="L5" s="78"/>
      <c r="M5" s="78"/>
      <c r="N5" s="78"/>
      <c r="O5" s="280" t="s">
        <v>237</v>
      </c>
      <c r="P5" s="120">
        <v>0</v>
      </c>
    </row>
    <row r="6" spans="1:16" x14ac:dyDescent="0.3">
      <c r="A6" s="121" t="s">
        <v>3</v>
      </c>
      <c r="B6" s="122" t="s">
        <v>97</v>
      </c>
      <c r="C6" s="123">
        <v>0.42</v>
      </c>
      <c r="D6" s="123" t="s">
        <v>161</v>
      </c>
      <c r="E6" s="123">
        <v>1.56</v>
      </c>
      <c r="F6" s="124" t="s">
        <v>274</v>
      </c>
      <c r="G6" s="125">
        <v>0.43</v>
      </c>
      <c r="H6" s="123" t="s">
        <v>278</v>
      </c>
      <c r="I6" s="126">
        <v>0.25</v>
      </c>
      <c r="J6" s="78"/>
      <c r="K6" s="78"/>
      <c r="L6" s="78"/>
      <c r="M6" s="78"/>
      <c r="N6" s="78"/>
      <c r="O6" s="282"/>
      <c r="P6" s="128">
        <v>0.05</v>
      </c>
    </row>
    <row r="7" spans="1:16" x14ac:dyDescent="0.3">
      <c r="A7" s="121" t="s">
        <v>5</v>
      </c>
      <c r="B7" s="122" t="s">
        <v>56</v>
      </c>
      <c r="C7" s="123">
        <v>0.52</v>
      </c>
      <c r="D7" s="123" t="s">
        <v>161</v>
      </c>
      <c r="E7" s="123">
        <v>1.56</v>
      </c>
      <c r="F7" s="124" t="s">
        <v>274</v>
      </c>
      <c r="G7" s="125">
        <v>0.43</v>
      </c>
      <c r="H7" s="123" t="s">
        <v>278</v>
      </c>
      <c r="I7" s="126">
        <v>0.25</v>
      </c>
      <c r="J7" s="78"/>
      <c r="K7" s="78"/>
      <c r="L7" s="78"/>
      <c r="M7" s="78"/>
      <c r="N7" s="78"/>
      <c r="O7" s="282"/>
      <c r="P7" s="128">
        <v>0.1</v>
      </c>
    </row>
    <row r="8" spans="1:16" ht="15" thickBot="1" x14ac:dyDescent="0.35">
      <c r="A8" s="121" t="s">
        <v>164</v>
      </c>
      <c r="B8" s="122" t="s">
        <v>57</v>
      </c>
      <c r="C8" s="123">
        <v>0.36</v>
      </c>
      <c r="D8" s="123" t="s">
        <v>161</v>
      </c>
      <c r="E8" s="123">
        <v>1.3</v>
      </c>
      <c r="F8" s="124" t="s">
        <v>274</v>
      </c>
      <c r="G8" s="125">
        <v>0.55000000000000004</v>
      </c>
      <c r="H8" s="123" t="s">
        <v>153</v>
      </c>
      <c r="I8" s="126">
        <v>0.43</v>
      </c>
      <c r="J8" s="78"/>
      <c r="K8" s="78"/>
      <c r="L8" s="78"/>
      <c r="M8" s="78"/>
      <c r="N8" s="78"/>
      <c r="O8" s="281"/>
      <c r="P8" s="127">
        <v>0.15</v>
      </c>
    </row>
    <row r="9" spans="1:16" ht="15" thickBot="1" x14ac:dyDescent="0.35">
      <c r="A9" s="121" t="s">
        <v>6</v>
      </c>
      <c r="B9" s="122" t="s">
        <v>58</v>
      </c>
      <c r="C9" s="123">
        <v>0.61</v>
      </c>
      <c r="D9" s="123" t="s">
        <v>161</v>
      </c>
      <c r="E9" s="123">
        <v>1.56</v>
      </c>
      <c r="F9" s="124" t="s">
        <v>274</v>
      </c>
      <c r="G9" s="125">
        <v>0.43</v>
      </c>
      <c r="H9" s="123" t="s">
        <v>278</v>
      </c>
      <c r="I9" s="126">
        <v>0.25</v>
      </c>
      <c r="J9" s="78"/>
      <c r="K9" s="78"/>
      <c r="L9" s="78"/>
      <c r="M9" s="78"/>
      <c r="N9" s="78"/>
    </row>
    <row r="10" spans="1:16" x14ac:dyDescent="0.3">
      <c r="A10" s="121" t="s">
        <v>7</v>
      </c>
      <c r="B10" s="122" t="s">
        <v>59</v>
      </c>
      <c r="C10" s="123">
        <v>0.66</v>
      </c>
      <c r="D10" s="123" t="s">
        <v>161</v>
      </c>
      <c r="E10" s="123">
        <v>1.56</v>
      </c>
      <c r="F10" s="124" t="s">
        <v>274</v>
      </c>
      <c r="G10" s="125">
        <v>0.43</v>
      </c>
      <c r="H10" s="123" t="s">
        <v>278</v>
      </c>
      <c r="I10" s="126">
        <v>0.25</v>
      </c>
      <c r="J10" s="78"/>
      <c r="K10" s="78"/>
      <c r="L10" s="78"/>
      <c r="M10" s="78"/>
      <c r="N10" s="78"/>
      <c r="O10" s="280" t="s">
        <v>236</v>
      </c>
      <c r="P10" s="120">
        <v>0</v>
      </c>
    </row>
    <row r="11" spans="1:16" ht="15" thickBot="1" x14ac:dyDescent="0.35">
      <c r="A11" s="121" t="s">
        <v>8</v>
      </c>
      <c r="B11" s="122" t="s">
        <v>60</v>
      </c>
      <c r="C11" s="123">
        <v>0.47</v>
      </c>
      <c r="D11" s="123" t="s">
        <v>161</v>
      </c>
      <c r="E11" s="123">
        <v>1.56</v>
      </c>
      <c r="F11" s="124" t="s">
        <v>274</v>
      </c>
      <c r="G11" s="125">
        <v>0.43</v>
      </c>
      <c r="H11" s="123" t="s">
        <v>278</v>
      </c>
      <c r="I11" s="126">
        <v>0.25</v>
      </c>
      <c r="J11" s="78"/>
      <c r="K11" s="78"/>
      <c r="L11" s="78"/>
      <c r="M11" s="78"/>
      <c r="N11" s="78"/>
      <c r="O11" s="281"/>
      <c r="P11" s="127">
        <v>0.1</v>
      </c>
    </row>
    <row r="12" spans="1:16" x14ac:dyDescent="0.3">
      <c r="A12" s="121" t="s">
        <v>9</v>
      </c>
      <c r="B12" s="122" t="s">
        <v>61</v>
      </c>
      <c r="C12" s="123">
        <v>0.67</v>
      </c>
      <c r="D12" s="123" t="s">
        <v>161</v>
      </c>
      <c r="E12" s="123">
        <v>1.56</v>
      </c>
      <c r="F12" s="124" t="s">
        <v>274</v>
      </c>
      <c r="G12" s="125">
        <v>0.43</v>
      </c>
      <c r="H12" s="123" t="s">
        <v>152</v>
      </c>
      <c r="I12" s="126">
        <v>0.25</v>
      </c>
      <c r="J12" s="78"/>
      <c r="K12" s="78"/>
      <c r="L12" s="78"/>
      <c r="M12" s="78"/>
      <c r="N12" s="78"/>
    </row>
    <row r="13" spans="1:16" x14ac:dyDescent="0.3">
      <c r="A13" s="121" t="s">
        <v>10</v>
      </c>
      <c r="B13" s="122" t="s">
        <v>62</v>
      </c>
      <c r="C13" s="123">
        <v>0.7</v>
      </c>
      <c r="D13" s="123" t="s">
        <v>161</v>
      </c>
      <c r="E13" s="123">
        <v>1.56</v>
      </c>
      <c r="F13" s="124" t="s">
        <v>274</v>
      </c>
      <c r="G13" s="125">
        <v>0.43</v>
      </c>
      <c r="H13" s="123" t="s">
        <v>152</v>
      </c>
      <c r="I13" s="126">
        <v>0.25</v>
      </c>
      <c r="J13" s="78"/>
      <c r="K13" s="78"/>
      <c r="L13" s="78"/>
      <c r="M13" s="78"/>
      <c r="N13" s="78"/>
    </row>
    <row r="14" spans="1:16" x14ac:dyDescent="0.3">
      <c r="A14" s="121" t="s">
        <v>11</v>
      </c>
      <c r="B14" s="122" t="s">
        <v>63</v>
      </c>
      <c r="C14" s="123">
        <v>0.54</v>
      </c>
      <c r="D14" s="123" t="s">
        <v>161</v>
      </c>
      <c r="E14" s="123">
        <v>1.56</v>
      </c>
      <c r="F14" s="124" t="s">
        <v>274</v>
      </c>
      <c r="G14" s="125">
        <v>0.43</v>
      </c>
      <c r="H14" s="123" t="s">
        <v>152</v>
      </c>
      <c r="I14" s="126">
        <v>0.25</v>
      </c>
      <c r="J14" s="78"/>
      <c r="K14" s="78"/>
      <c r="L14" s="78"/>
      <c r="M14" s="78"/>
      <c r="N14" s="78"/>
    </row>
    <row r="15" spans="1:16" x14ac:dyDescent="0.3">
      <c r="A15" s="121" t="s">
        <v>12</v>
      </c>
      <c r="B15" s="122" t="s">
        <v>64</v>
      </c>
      <c r="C15" s="123">
        <v>0.65</v>
      </c>
      <c r="D15" s="123" t="s">
        <v>161</v>
      </c>
      <c r="E15" s="123">
        <v>1.56</v>
      </c>
      <c r="F15" s="124" t="s">
        <v>274</v>
      </c>
      <c r="G15" s="125">
        <v>0.43</v>
      </c>
      <c r="H15" s="123" t="s">
        <v>152</v>
      </c>
      <c r="I15" s="126">
        <v>0.25</v>
      </c>
      <c r="J15" s="78"/>
      <c r="K15" s="78"/>
      <c r="L15" s="78"/>
      <c r="M15" s="78"/>
      <c r="N15" s="78"/>
    </row>
    <row r="16" spans="1:16" x14ac:dyDescent="0.3">
      <c r="A16" s="121" t="s">
        <v>13</v>
      </c>
      <c r="B16" s="122" t="s">
        <v>65</v>
      </c>
      <c r="C16" s="123">
        <v>0.56000000000000005</v>
      </c>
      <c r="D16" s="123" t="s">
        <v>161</v>
      </c>
      <c r="E16" s="123">
        <v>1.56</v>
      </c>
      <c r="F16" s="124" t="s">
        <v>274</v>
      </c>
      <c r="G16" s="125">
        <v>0.43</v>
      </c>
      <c r="H16" s="123" t="s">
        <v>152</v>
      </c>
      <c r="I16" s="126">
        <v>0.25</v>
      </c>
      <c r="J16" s="78"/>
      <c r="K16" s="78"/>
      <c r="L16" s="78"/>
      <c r="M16" s="78"/>
      <c r="N16" s="78"/>
    </row>
    <row r="17" spans="1:14" x14ac:dyDescent="0.3">
      <c r="A17" s="121" t="s">
        <v>14</v>
      </c>
      <c r="B17" s="122" t="s">
        <v>66</v>
      </c>
      <c r="C17" s="123">
        <v>0.57999999999999996</v>
      </c>
      <c r="D17" s="123" t="s">
        <v>161</v>
      </c>
      <c r="E17" s="123">
        <v>1.56</v>
      </c>
      <c r="F17" s="124" t="s">
        <v>274</v>
      </c>
      <c r="G17" s="125">
        <v>0.43</v>
      </c>
      <c r="H17" s="123" t="s">
        <v>152</v>
      </c>
      <c r="I17" s="126">
        <v>0.25</v>
      </c>
      <c r="J17" s="78"/>
      <c r="K17" s="78"/>
      <c r="L17" s="78"/>
      <c r="M17" s="78"/>
      <c r="N17" s="78"/>
    </row>
    <row r="18" spans="1:14" x14ac:dyDescent="0.3">
      <c r="A18" s="121" t="s">
        <v>15</v>
      </c>
      <c r="B18" s="122" t="s">
        <v>67</v>
      </c>
      <c r="C18" s="123">
        <v>0.64</v>
      </c>
      <c r="D18" s="123" t="s">
        <v>161</v>
      </c>
      <c r="E18" s="123">
        <v>1.56</v>
      </c>
      <c r="F18" s="124" t="s">
        <v>274</v>
      </c>
      <c r="G18" s="125">
        <v>0.43</v>
      </c>
      <c r="H18" s="123" t="s">
        <v>152</v>
      </c>
      <c r="I18" s="126">
        <v>0.25</v>
      </c>
      <c r="J18" s="78"/>
      <c r="K18" s="78"/>
      <c r="L18" s="78"/>
      <c r="M18" s="78"/>
      <c r="N18" s="78"/>
    </row>
    <row r="19" spans="1:14" x14ac:dyDescent="0.3">
      <c r="A19" s="121" t="s">
        <v>16</v>
      </c>
      <c r="B19" s="122" t="s">
        <v>68</v>
      </c>
      <c r="C19" s="123">
        <v>0.73</v>
      </c>
      <c r="D19" s="123" t="s">
        <v>161</v>
      </c>
      <c r="E19" s="123">
        <v>1.56</v>
      </c>
      <c r="F19" s="124" t="s">
        <v>274</v>
      </c>
      <c r="G19" s="125">
        <v>0.43</v>
      </c>
      <c r="H19" s="123" t="s">
        <v>152</v>
      </c>
      <c r="I19" s="126">
        <v>0.25</v>
      </c>
      <c r="J19" s="78"/>
      <c r="K19" s="78"/>
      <c r="L19" s="78"/>
      <c r="M19" s="78"/>
      <c r="N19" s="78"/>
    </row>
    <row r="20" spans="1:14" x14ac:dyDescent="0.3">
      <c r="A20" s="121" t="s">
        <v>52</v>
      </c>
      <c r="B20" s="122" t="s">
        <v>69</v>
      </c>
      <c r="C20" s="123">
        <v>0.69</v>
      </c>
      <c r="D20" s="123" t="s">
        <v>131</v>
      </c>
      <c r="E20" s="123">
        <v>1.56</v>
      </c>
      <c r="F20" s="124" t="s">
        <v>274</v>
      </c>
      <c r="G20" s="125">
        <v>0.43</v>
      </c>
      <c r="H20" s="123" t="s">
        <v>282</v>
      </c>
      <c r="I20" s="126">
        <v>0.25</v>
      </c>
      <c r="J20" s="78"/>
      <c r="K20" s="78"/>
      <c r="L20" s="78"/>
      <c r="M20" s="78"/>
      <c r="N20" s="78"/>
    </row>
    <row r="21" spans="1:14" x14ac:dyDescent="0.3">
      <c r="A21" s="121" t="s">
        <v>154</v>
      </c>
      <c r="B21" s="122" t="s">
        <v>155</v>
      </c>
      <c r="C21" s="123">
        <v>0.36</v>
      </c>
      <c r="D21" s="123" t="s">
        <v>161</v>
      </c>
      <c r="E21" s="123">
        <v>1.3</v>
      </c>
      <c r="F21" s="124" t="s">
        <v>274</v>
      </c>
      <c r="G21" s="125">
        <v>0.55000000000000004</v>
      </c>
      <c r="H21" s="123" t="s">
        <v>153</v>
      </c>
      <c r="I21" s="126">
        <v>0.43</v>
      </c>
      <c r="J21" s="78"/>
      <c r="K21" s="78"/>
      <c r="L21" s="78"/>
      <c r="M21" s="78"/>
      <c r="N21" s="78"/>
    </row>
    <row r="22" spans="1:14" x14ac:dyDescent="0.3">
      <c r="A22" s="121" t="s">
        <v>17</v>
      </c>
      <c r="B22" s="122" t="s">
        <v>70</v>
      </c>
      <c r="C22" s="123">
        <v>0.4</v>
      </c>
      <c r="D22" s="123" t="s">
        <v>161</v>
      </c>
      <c r="E22" s="123">
        <v>1.3</v>
      </c>
      <c r="F22" s="124" t="s">
        <v>274</v>
      </c>
      <c r="G22" s="125">
        <v>0.55000000000000004</v>
      </c>
      <c r="H22" s="123" t="s">
        <v>153</v>
      </c>
      <c r="I22" s="126">
        <v>0.43</v>
      </c>
      <c r="J22" s="78"/>
      <c r="K22" s="78"/>
      <c r="L22" s="78"/>
      <c r="M22" s="78"/>
      <c r="N22" s="78"/>
    </row>
    <row r="23" spans="1:14" x14ac:dyDescent="0.3">
      <c r="A23" s="121" t="s">
        <v>18</v>
      </c>
      <c r="B23" s="122" t="s">
        <v>71</v>
      </c>
      <c r="C23" s="123">
        <v>0.43</v>
      </c>
      <c r="D23" s="123" t="s">
        <v>161</v>
      </c>
      <c r="E23" s="123">
        <v>1.3</v>
      </c>
      <c r="F23" s="124" t="s">
        <v>274</v>
      </c>
      <c r="G23" s="125">
        <v>0.55000000000000004</v>
      </c>
      <c r="H23" s="123" t="s">
        <v>153</v>
      </c>
      <c r="I23" s="126">
        <v>0.43</v>
      </c>
      <c r="J23" s="78"/>
      <c r="K23" s="78"/>
      <c r="L23" s="78"/>
      <c r="M23" s="78"/>
      <c r="N23" s="78"/>
    </row>
    <row r="24" spans="1:14" x14ac:dyDescent="0.3">
      <c r="A24" s="121" t="s">
        <v>19</v>
      </c>
      <c r="B24" s="122" t="s">
        <v>72</v>
      </c>
      <c r="C24" s="123">
        <v>0.37</v>
      </c>
      <c r="D24" s="123" t="s">
        <v>161</v>
      </c>
      <c r="E24" s="123">
        <v>1.3</v>
      </c>
      <c r="F24" s="124" t="s">
        <v>274</v>
      </c>
      <c r="G24" s="125">
        <v>0.55000000000000004</v>
      </c>
      <c r="H24" s="123" t="s">
        <v>152</v>
      </c>
      <c r="I24" s="126">
        <v>0.43</v>
      </c>
      <c r="J24" s="78"/>
      <c r="K24" s="78"/>
      <c r="L24" s="78"/>
      <c r="M24" s="78"/>
      <c r="N24" s="78"/>
    </row>
    <row r="25" spans="1:14" x14ac:dyDescent="0.3">
      <c r="A25" s="121" t="s">
        <v>20</v>
      </c>
      <c r="B25" s="122" t="s">
        <v>73</v>
      </c>
      <c r="C25" s="123">
        <v>0.36</v>
      </c>
      <c r="D25" s="123" t="s">
        <v>161</v>
      </c>
      <c r="E25" s="123">
        <v>1.3</v>
      </c>
      <c r="F25" s="124" t="s">
        <v>274</v>
      </c>
      <c r="G25" s="125">
        <v>0.55000000000000004</v>
      </c>
      <c r="H25" s="123" t="s">
        <v>152</v>
      </c>
      <c r="I25" s="126">
        <v>0.43</v>
      </c>
      <c r="J25" s="78"/>
      <c r="K25" s="78"/>
      <c r="L25" s="78"/>
      <c r="M25" s="78"/>
      <c r="N25" s="78"/>
    </row>
    <row r="26" spans="1:14" x14ac:dyDescent="0.3">
      <c r="A26" s="121" t="s">
        <v>21</v>
      </c>
      <c r="B26" s="122" t="s">
        <v>74</v>
      </c>
      <c r="C26" s="123">
        <v>0.56000000000000005</v>
      </c>
      <c r="D26" s="123" t="s">
        <v>161</v>
      </c>
      <c r="E26" s="123">
        <v>1.56</v>
      </c>
      <c r="F26" s="124" t="s">
        <v>274</v>
      </c>
      <c r="G26" s="125">
        <v>0.53</v>
      </c>
      <c r="H26" s="123" t="s">
        <v>275</v>
      </c>
      <c r="I26" s="126">
        <v>0.25</v>
      </c>
      <c r="J26" s="78"/>
      <c r="K26" s="78"/>
      <c r="L26" s="78"/>
      <c r="M26" s="78"/>
      <c r="N26" s="78"/>
    </row>
    <row r="27" spans="1:14" x14ac:dyDescent="0.3">
      <c r="A27" s="121" t="s">
        <v>22</v>
      </c>
      <c r="B27" s="122" t="s">
        <v>75</v>
      </c>
      <c r="C27" s="123">
        <v>0.51</v>
      </c>
      <c r="D27" s="123" t="s">
        <v>161</v>
      </c>
      <c r="E27" s="123">
        <v>1.56</v>
      </c>
      <c r="F27" s="124" t="s">
        <v>274</v>
      </c>
      <c r="G27" s="125">
        <v>0.53</v>
      </c>
      <c r="H27" s="123" t="s">
        <v>275</v>
      </c>
      <c r="I27" s="126">
        <v>0.25</v>
      </c>
      <c r="J27" s="78"/>
      <c r="K27" s="78"/>
      <c r="L27" s="78"/>
      <c r="M27" s="78"/>
      <c r="N27" s="78"/>
    </row>
    <row r="28" spans="1:14" x14ac:dyDescent="0.3">
      <c r="A28" s="121" t="s">
        <v>23</v>
      </c>
      <c r="B28" s="122" t="s">
        <v>76</v>
      </c>
      <c r="C28" s="123">
        <v>0.51</v>
      </c>
      <c r="D28" s="123" t="s">
        <v>161</v>
      </c>
      <c r="E28" s="123">
        <v>1.56</v>
      </c>
      <c r="F28" s="124" t="s">
        <v>274</v>
      </c>
      <c r="G28" s="125">
        <v>0.53</v>
      </c>
      <c r="H28" s="123" t="s">
        <v>275</v>
      </c>
      <c r="I28" s="126">
        <v>0.25</v>
      </c>
      <c r="J28" s="78"/>
      <c r="K28" s="78"/>
      <c r="L28" s="78"/>
      <c r="M28" s="78"/>
      <c r="N28" s="78"/>
    </row>
    <row r="29" spans="1:14" x14ac:dyDescent="0.3">
      <c r="A29" s="121" t="s">
        <v>24</v>
      </c>
      <c r="B29" s="122" t="s">
        <v>24</v>
      </c>
      <c r="C29" s="123">
        <v>0.56000000000000005</v>
      </c>
      <c r="D29" s="123" t="s">
        <v>161</v>
      </c>
      <c r="E29" s="123">
        <v>1.56</v>
      </c>
      <c r="F29" s="124" t="s">
        <v>274</v>
      </c>
      <c r="G29" s="125">
        <v>0.53</v>
      </c>
      <c r="H29" s="123" t="s">
        <v>275</v>
      </c>
      <c r="I29" s="126">
        <v>0.25</v>
      </c>
      <c r="J29" s="78"/>
      <c r="K29" s="78"/>
      <c r="L29" s="78"/>
      <c r="M29" s="78"/>
      <c r="N29" s="78"/>
    </row>
    <row r="30" spans="1:14" x14ac:dyDescent="0.3">
      <c r="A30" s="121" t="s">
        <v>25</v>
      </c>
      <c r="B30" s="122" t="s">
        <v>77</v>
      </c>
      <c r="C30" s="123">
        <v>0.55000000000000004</v>
      </c>
      <c r="D30" s="123" t="s">
        <v>161</v>
      </c>
      <c r="E30" s="123">
        <v>1.56</v>
      </c>
      <c r="F30" s="124" t="s">
        <v>274</v>
      </c>
      <c r="G30" s="125">
        <v>0.53</v>
      </c>
      <c r="H30" s="123" t="s">
        <v>152</v>
      </c>
      <c r="I30" s="126">
        <v>0.25</v>
      </c>
      <c r="J30" s="78"/>
      <c r="K30" s="78"/>
      <c r="L30" s="78"/>
      <c r="M30" s="78"/>
      <c r="N30" s="78"/>
    </row>
    <row r="31" spans="1:14" x14ac:dyDescent="0.3">
      <c r="A31" s="121" t="s">
        <v>26</v>
      </c>
      <c r="B31" s="122" t="s">
        <v>78</v>
      </c>
      <c r="C31" s="123">
        <v>0.56000000000000005</v>
      </c>
      <c r="D31" s="123" t="s">
        <v>161</v>
      </c>
      <c r="E31" s="123">
        <v>1.56</v>
      </c>
      <c r="F31" s="124" t="s">
        <v>274</v>
      </c>
      <c r="G31" s="125">
        <v>0.43</v>
      </c>
      <c r="H31" s="123" t="s">
        <v>278</v>
      </c>
      <c r="I31" s="126">
        <v>0.25</v>
      </c>
      <c r="J31" s="78"/>
      <c r="K31" s="78"/>
      <c r="L31" s="78"/>
      <c r="M31" s="78"/>
      <c r="N31" s="78"/>
    </row>
    <row r="32" spans="1:14" x14ac:dyDescent="0.3">
      <c r="A32" s="121" t="s">
        <v>27</v>
      </c>
      <c r="B32" s="122" t="s">
        <v>79</v>
      </c>
      <c r="C32" s="123">
        <v>0.48</v>
      </c>
      <c r="D32" s="123" t="s">
        <v>161</v>
      </c>
      <c r="E32" s="123">
        <v>1.3</v>
      </c>
      <c r="F32" s="124" t="s">
        <v>274</v>
      </c>
      <c r="G32" s="125">
        <v>0.6</v>
      </c>
      <c r="H32" s="123" t="s">
        <v>281</v>
      </c>
      <c r="I32" s="126">
        <v>0.43</v>
      </c>
      <c r="J32" s="78"/>
      <c r="K32" s="78"/>
      <c r="L32" s="78"/>
      <c r="M32" s="78"/>
      <c r="N32" s="78"/>
    </row>
    <row r="33" spans="1:14" x14ac:dyDescent="0.3">
      <c r="A33" s="121" t="s">
        <v>28</v>
      </c>
      <c r="B33" s="122" t="s">
        <v>80</v>
      </c>
      <c r="C33" s="123">
        <v>0.42</v>
      </c>
      <c r="D33" s="123" t="s">
        <v>161</v>
      </c>
      <c r="E33" s="123">
        <v>1.3</v>
      </c>
      <c r="F33" s="124" t="s">
        <v>274</v>
      </c>
      <c r="G33" s="125">
        <v>0.6</v>
      </c>
      <c r="H33" s="123" t="s">
        <v>281</v>
      </c>
      <c r="I33" s="126">
        <v>0.43</v>
      </c>
      <c r="J33" s="78"/>
      <c r="K33" s="78"/>
      <c r="L33" s="78"/>
      <c r="M33" s="78"/>
      <c r="N33" s="78"/>
    </row>
    <row r="34" spans="1:14" x14ac:dyDescent="0.3">
      <c r="A34" s="121" t="s">
        <v>81</v>
      </c>
      <c r="B34" s="122" t="s">
        <v>163</v>
      </c>
      <c r="C34" s="123">
        <v>0.42</v>
      </c>
      <c r="D34" s="123" t="s">
        <v>103</v>
      </c>
      <c r="E34" s="123">
        <v>1.3</v>
      </c>
      <c r="F34" s="124" t="s">
        <v>274</v>
      </c>
      <c r="G34" s="125">
        <v>0.6</v>
      </c>
      <c r="H34" s="122" t="s">
        <v>280</v>
      </c>
      <c r="I34" s="126">
        <v>0.43</v>
      </c>
      <c r="J34" s="78"/>
      <c r="K34" s="78"/>
      <c r="L34" s="78"/>
      <c r="M34" s="78"/>
      <c r="N34" s="78"/>
    </row>
    <row r="35" spans="1:14" x14ac:dyDescent="0.3">
      <c r="A35" s="121" t="s">
        <v>29</v>
      </c>
      <c r="B35" s="122" t="s">
        <v>82</v>
      </c>
      <c r="C35" s="123">
        <v>0.5</v>
      </c>
      <c r="D35" s="123" t="s">
        <v>161</v>
      </c>
      <c r="E35" s="123">
        <v>1.56</v>
      </c>
      <c r="F35" s="124" t="s">
        <v>274</v>
      </c>
      <c r="G35" s="125">
        <v>0.43</v>
      </c>
      <c r="H35" s="123" t="s">
        <v>278</v>
      </c>
      <c r="I35" s="126">
        <v>0.25</v>
      </c>
      <c r="J35" s="78"/>
      <c r="K35" s="78"/>
      <c r="L35" s="78"/>
      <c r="M35" s="78"/>
      <c r="N35" s="78"/>
    </row>
    <row r="36" spans="1:14" x14ac:dyDescent="0.3">
      <c r="A36" s="121" t="s">
        <v>102</v>
      </c>
      <c r="B36" s="122" t="s">
        <v>101</v>
      </c>
      <c r="C36" s="123">
        <v>0.55000000000000004</v>
      </c>
      <c r="D36" s="123" t="s">
        <v>161</v>
      </c>
      <c r="E36" s="123">
        <v>1.56</v>
      </c>
      <c r="F36" s="124" t="s">
        <v>274</v>
      </c>
      <c r="G36" s="125">
        <v>0.53</v>
      </c>
      <c r="H36" s="123" t="s">
        <v>275</v>
      </c>
      <c r="I36" s="126">
        <v>0.25</v>
      </c>
      <c r="J36" s="78"/>
      <c r="K36" s="78"/>
      <c r="L36" s="78"/>
      <c r="M36" s="78"/>
      <c r="N36" s="78"/>
    </row>
    <row r="37" spans="1:14" x14ac:dyDescent="0.3">
      <c r="A37" s="121" t="s">
        <v>30</v>
      </c>
      <c r="B37" s="122" t="s">
        <v>104</v>
      </c>
      <c r="C37" s="123">
        <v>0.52</v>
      </c>
      <c r="D37" s="123" t="s">
        <v>161</v>
      </c>
      <c r="E37" s="123">
        <v>1.56</v>
      </c>
      <c r="F37" s="124" t="s">
        <v>274</v>
      </c>
      <c r="G37" s="125">
        <v>0.53</v>
      </c>
      <c r="H37" s="123" t="s">
        <v>275</v>
      </c>
      <c r="I37" s="126">
        <v>0.25</v>
      </c>
      <c r="J37" s="78"/>
      <c r="K37" s="78"/>
      <c r="L37" s="78"/>
      <c r="M37" s="78"/>
      <c r="N37" s="78"/>
    </row>
    <row r="38" spans="1:14" x14ac:dyDescent="0.3">
      <c r="A38" s="121" t="s">
        <v>31</v>
      </c>
      <c r="B38" s="122" t="s">
        <v>105</v>
      </c>
      <c r="C38" s="123">
        <v>0.52</v>
      </c>
      <c r="D38" s="123" t="s">
        <v>161</v>
      </c>
      <c r="E38" s="123">
        <v>1.56</v>
      </c>
      <c r="F38" s="124" t="s">
        <v>274</v>
      </c>
      <c r="G38" s="125">
        <v>0.43</v>
      </c>
      <c r="H38" s="123" t="s">
        <v>278</v>
      </c>
      <c r="I38" s="126">
        <v>0.25</v>
      </c>
      <c r="J38" s="78"/>
      <c r="K38" s="78"/>
      <c r="L38" s="78"/>
      <c r="M38" s="78"/>
      <c r="N38" s="78"/>
    </row>
    <row r="39" spans="1:14" x14ac:dyDescent="0.3">
      <c r="A39" s="121" t="s">
        <v>107</v>
      </c>
      <c r="B39" s="122" t="s">
        <v>132</v>
      </c>
      <c r="C39" s="123">
        <v>0.313</v>
      </c>
      <c r="D39" s="123" t="s">
        <v>130</v>
      </c>
      <c r="E39" s="123">
        <v>1.56</v>
      </c>
      <c r="F39" s="124" t="s">
        <v>274</v>
      </c>
      <c r="G39" s="125">
        <v>0.6</v>
      </c>
      <c r="H39" s="123" t="s">
        <v>283</v>
      </c>
      <c r="I39" s="126">
        <v>1.03</v>
      </c>
      <c r="J39" s="78"/>
      <c r="K39" s="78"/>
      <c r="L39" s="78"/>
      <c r="M39" s="78"/>
      <c r="N39" s="78"/>
    </row>
    <row r="40" spans="1:14" x14ac:dyDescent="0.3">
      <c r="A40" s="121" t="s">
        <v>108</v>
      </c>
      <c r="B40" s="122" t="s">
        <v>132</v>
      </c>
      <c r="C40" s="123">
        <v>0.35199999999999998</v>
      </c>
      <c r="D40" s="123" t="s">
        <v>130</v>
      </c>
      <c r="E40" s="123">
        <v>1.56</v>
      </c>
      <c r="F40" s="124" t="s">
        <v>274</v>
      </c>
      <c r="G40" s="125">
        <v>0.6</v>
      </c>
      <c r="H40" s="123" t="s">
        <v>283</v>
      </c>
      <c r="I40" s="126">
        <v>1.03</v>
      </c>
      <c r="J40" s="78"/>
      <c r="K40" s="78"/>
      <c r="L40" s="78"/>
      <c r="M40" s="78"/>
      <c r="N40" s="78"/>
    </row>
    <row r="41" spans="1:14" x14ac:dyDescent="0.3">
      <c r="A41" s="121" t="s">
        <v>121</v>
      </c>
      <c r="B41" s="122" t="s">
        <v>132</v>
      </c>
      <c r="C41" s="123">
        <v>0.32200000000000001</v>
      </c>
      <c r="D41" s="123" t="s">
        <v>130</v>
      </c>
      <c r="E41" s="123">
        <v>1.56</v>
      </c>
      <c r="F41" s="124" t="s">
        <v>274</v>
      </c>
      <c r="G41" s="125">
        <v>0.6</v>
      </c>
      <c r="H41" s="123" t="s">
        <v>283</v>
      </c>
      <c r="I41" s="126">
        <v>1.03</v>
      </c>
      <c r="J41" s="78"/>
      <c r="K41" s="78"/>
      <c r="L41" s="78"/>
      <c r="M41" s="78"/>
      <c r="N41" s="78"/>
    </row>
    <row r="42" spans="1:14" x14ac:dyDescent="0.3">
      <c r="A42" s="121" t="s">
        <v>122</v>
      </c>
      <c r="B42" s="122" t="s">
        <v>132</v>
      </c>
      <c r="C42" s="123">
        <v>0.311</v>
      </c>
      <c r="D42" s="123" t="s">
        <v>130</v>
      </c>
      <c r="E42" s="123">
        <v>1.56</v>
      </c>
      <c r="F42" s="124" t="s">
        <v>274</v>
      </c>
      <c r="G42" s="125">
        <v>0.6</v>
      </c>
      <c r="H42" s="123" t="s">
        <v>283</v>
      </c>
      <c r="I42" s="126">
        <v>1.03</v>
      </c>
      <c r="J42" s="78"/>
      <c r="K42" s="78"/>
      <c r="L42" s="78"/>
      <c r="M42" s="78"/>
      <c r="N42" s="78"/>
    </row>
    <row r="43" spans="1:14" x14ac:dyDescent="0.3">
      <c r="A43" s="121" t="s">
        <v>109</v>
      </c>
      <c r="B43" s="122" t="s">
        <v>132</v>
      </c>
      <c r="C43" s="123">
        <v>0.33900000000000002</v>
      </c>
      <c r="D43" s="123" t="s">
        <v>130</v>
      </c>
      <c r="E43" s="123">
        <v>1.56</v>
      </c>
      <c r="F43" s="124" t="s">
        <v>274</v>
      </c>
      <c r="G43" s="125">
        <v>0.6</v>
      </c>
      <c r="H43" s="123" t="s">
        <v>283</v>
      </c>
      <c r="I43" s="126">
        <v>1.03</v>
      </c>
      <c r="J43" s="78"/>
      <c r="K43" s="78"/>
      <c r="L43" s="78"/>
      <c r="M43" s="78"/>
      <c r="N43" s="78"/>
    </row>
    <row r="44" spans="1:14" x14ac:dyDescent="0.3">
      <c r="A44" s="121" t="s">
        <v>123</v>
      </c>
      <c r="B44" s="122" t="s">
        <v>132</v>
      </c>
      <c r="C44" s="123">
        <v>0.33600000000000002</v>
      </c>
      <c r="D44" s="123" t="s">
        <v>130</v>
      </c>
      <c r="E44" s="123">
        <v>1.56</v>
      </c>
      <c r="F44" s="124" t="s">
        <v>274</v>
      </c>
      <c r="G44" s="125">
        <v>0.6</v>
      </c>
      <c r="H44" s="123" t="s">
        <v>283</v>
      </c>
      <c r="I44" s="126">
        <v>1.03</v>
      </c>
      <c r="J44" s="78"/>
      <c r="K44" s="78"/>
      <c r="L44" s="78"/>
      <c r="M44" s="78"/>
      <c r="N44" s="78"/>
    </row>
    <row r="45" spans="1:14" x14ac:dyDescent="0.3">
      <c r="A45" s="121" t="s">
        <v>110</v>
      </c>
      <c r="B45" s="122" t="s">
        <v>132</v>
      </c>
      <c r="C45" s="123">
        <v>0.32900000000000001</v>
      </c>
      <c r="D45" s="123" t="s">
        <v>130</v>
      </c>
      <c r="E45" s="123">
        <v>1.56</v>
      </c>
      <c r="F45" s="124" t="s">
        <v>274</v>
      </c>
      <c r="G45" s="125">
        <v>0.6</v>
      </c>
      <c r="H45" s="123" t="s">
        <v>283</v>
      </c>
      <c r="I45" s="126">
        <v>1.03</v>
      </c>
      <c r="J45" s="78"/>
      <c r="K45" s="78"/>
      <c r="L45" s="78"/>
      <c r="M45" s="78"/>
      <c r="N45" s="78"/>
    </row>
    <row r="46" spans="1:14" x14ac:dyDescent="0.3">
      <c r="A46" s="121" t="s">
        <v>124</v>
      </c>
      <c r="B46" s="122" t="s">
        <v>132</v>
      </c>
      <c r="C46" s="123">
        <v>0.34300000000000003</v>
      </c>
      <c r="D46" s="123" t="s">
        <v>130</v>
      </c>
      <c r="E46" s="123">
        <v>1.56</v>
      </c>
      <c r="F46" s="124" t="s">
        <v>274</v>
      </c>
      <c r="G46" s="125">
        <v>0.6</v>
      </c>
      <c r="H46" s="123" t="s">
        <v>283</v>
      </c>
      <c r="I46" s="126">
        <v>1.03</v>
      </c>
      <c r="J46" s="78"/>
      <c r="K46" s="78"/>
      <c r="L46" s="78"/>
      <c r="M46" s="78"/>
      <c r="N46" s="78"/>
    </row>
    <row r="47" spans="1:14" x14ac:dyDescent="0.3">
      <c r="A47" s="121" t="s">
        <v>125</v>
      </c>
      <c r="B47" s="122" t="s">
        <v>132</v>
      </c>
      <c r="C47" s="123">
        <v>0.32500000000000001</v>
      </c>
      <c r="D47" s="123" t="s">
        <v>130</v>
      </c>
      <c r="E47" s="123">
        <v>1.56</v>
      </c>
      <c r="F47" s="124" t="s">
        <v>274</v>
      </c>
      <c r="G47" s="125">
        <v>0.6</v>
      </c>
      <c r="H47" s="123" t="s">
        <v>283</v>
      </c>
      <c r="I47" s="126">
        <v>1.03</v>
      </c>
      <c r="J47" s="78"/>
      <c r="K47" s="78"/>
      <c r="L47" s="78"/>
      <c r="M47" s="78"/>
      <c r="N47" s="78"/>
    </row>
    <row r="48" spans="1:14" x14ac:dyDescent="0.3">
      <c r="A48" s="121" t="s">
        <v>126</v>
      </c>
      <c r="B48" s="122" t="s">
        <v>132</v>
      </c>
      <c r="C48" s="123">
        <v>0.32</v>
      </c>
      <c r="D48" s="123" t="s">
        <v>130</v>
      </c>
      <c r="E48" s="123">
        <v>1.56</v>
      </c>
      <c r="F48" s="124" t="s">
        <v>274</v>
      </c>
      <c r="G48" s="125">
        <v>0.6</v>
      </c>
      <c r="H48" s="123" t="s">
        <v>283</v>
      </c>
      <c r="I48" s="126">
        <v>1.03</v>
      </c>
      <c r="J48" s="78"/>
      <c r="K48" s="78"/>
      <c r="L48" s="78"/>
      <c r="M48" s="78"/>
      <c r="N48" s="78"/>
    </row>
    <row r="49" spans="1:14" x14ac:dyDescent="0.3">
      <c r="A49" s="121" t="s">
        <v>111</v>
      </c>
      <c r="B49" s="122" t="s">
        <v>132</v>
      </c>
      <c r="C49" s="123">
        <v>0.28199999999999997</v>
      </c>
      <c r="D49" s="123" t="s">
        <v>130</v>
      </c>
      <c r="E49" s="123">
        <v>1.56</v>
      </c>
      <c r="F49" s="124" t="s">
        <v>274</v>
      </c>
      <c r="G49" s="125">
        <v>0.6</v>
      </c>
      <c r="H49" s="123" t="s">
        <v>283</v>
      </c>
      <c r="I49" s="126">
        <v>1.03</v>
      </c>
      <c r="J49" s="78"/>
      <c r="K49" s="78"/>
      <c r="L49" s="78"/>
      <c r="M49" s="78"/>
      <c r="N49" s="78"/>
    </row>
    <row r="50" spans="1:14" x14ac:dyDescent="0.3">
      <c r="A50" s="121" t="s">
        <v>127</v>
      </c>
      <c r="B50" s="122" t="s">
        <v>132</v>
      </c>
      <c r="C50" s="123">
        <v>0.32800000000000001</v>
      </c>
      <c r="D50" s="123" t="s">
        <v>130</v>
      </c>
      <c r="E50" s="123">
        <v>1.56</v>
      </c>
      <c r="F50" s="124" t="s">
        <v>274</v>
      </c>
      <c r="G50" s="125">
        <v>0.6</v>
      </c>
      <c r="H50" s="123" t="s">
        <v>283</v>
      </c>
      <c r="I50" s="126">
        <v>1.03</v>
      </c>
      <c r="J50" s="78"/>
      <c r="K50" s="78"/>
      <c r="L50" s="78"/>
      <c r="M50" s="78"/>
      <c r="N50" s="78"/>
    </row>
    <row r="51" spans="1:14" x14ac:dyDescent="0.3">
      <c r="A51" s="121" t="s">
        <v>112</v>
      </c>
      <c r="B51" s="122" t="s">
        <v>132</v>
      </c>
      <c r="C51" s="123">
        <v>0.32600000000000001</v>
      </c>
      <c r="D51" s="123" t="s">
        <v>130</v>
      </c>
      <c r="E51" s="123">
        <v>1.56</v>
      </c>
      <c r="F51" s="124" t="s">
        <v>274</v>
      </c>
      <c r="G51" s="125">
        <v>0.6</v>
      </c>
      <c r="H51" s="123" t="s">
        <v>283</v>
      </c>
      <c r="I51" s="126">
        <v>1.03</v>
      </c>
      <c r="J51" s="78"/>
      <c r="K51" s="78"/>
      <c r="L51" s="78"/>
      <c r="M51" s="78"/>
      <c r="N51" s="78"/>
    </row>
    <row r="52" spans="1:14" x14ac:dyDescent="0.3">
      <c r="A52" s="121" t="s">
        <v>113</v>
      </c>
      <c r="B52" s="122" t="s">
        <v>132</v>
      </c>
      <c r="C52" s="123">
        <v>0.35899999999999999</v>
      </c>
      <c r="D52" s="123" t="s">
        <v>130</v>
      </c>
      <c r="E52" s="123">
        <v>1.56</v>
      </c>
      <c r="F52" s="124" t="s">
        <v>274</v>
      </c>
      <c r="G52" s="125">
        <v>0.6</v>
      </c>
      <c r="H52" s="123" t="s">
        <v>283</v>
      </c>
      <c r="I52" s="126">
        <v>1.03</v>
      </c>
      <c r="J52" s="78"/>
      <c r="K52" s="78"/>
      <c r="L52" s="78"/>
      <c r="M52" s="78"/>
      <c r="N52" s="78"/>
    </row>
    <row r="53" spans="1:14" x14ac:dyDescent="0.3">
      <c r="A53" s="121" t="s">
        <v>114</v>
      </c>
      <c r="B53" s="122" t="s">
        <v>132</v>
      </c>
      <c r="C53" s="123">
        <v>0.34599999999999997</v>
      </c>
      <c r="D53" s="123" t="s">
        <v>130</v>
      </c>
      <c r="E53" s="123">
        <v>1.56</v>
      </c>
      <c r="F53" s="124" t="s">
        <v>274</v>
      </c>
      <c r="G53" s="125">
        <v>0.6</v>
      </c>
      <c r="H53" s="123" t="s">
        <v>283</v>
      </c>
      <c r="I53" s="126">
        <v>1.03</v>
      </c>
      <c r="J53" s="78"/>
      <c r="K53" s="78"/>
      <c r="L53" s="78"/>
      <c r="M53" s="78"/>
      <c r="N53" s="78"/>
    </row>
    <row r="54" spans="1:14" x14ac:dyDescent="0.3">
      <c r="A54" s="121" t="s">
        <v>115</v>
      </c>
      <c r="B54" s="122" t="s">
        <v>132</v>
      </c>
      <c r="C54" s="123">
        <v>0.32600000000000001</v>
      </c>
      <c r="D54" s="123" t="s">
        <v>130</v>
      </c>
      <c r="E54" s="123">
        <v>1.56</v>
      </c>
      <c r="F54" s="124" t="s">
        <v>274</v>
      </c>
      <c r="G54" s="125">
        <v>0.6</v>
      </c>
      <c r="H54" s="123" t="s">
        <v>283</v>
      </c>
      <c r="I54" s="126">
        <v>1.03</v>
      </c>
      <c r="J54" s="78"/>
      <c r="K54" s="78"/>
      <c r="L54" s="78"/>
      <c r="M54" s="78"/>
      <c r="N54" s="78"/>
    </row>
    <row r="55" spans="1:14" x14ac:dyDescent="0.3">
      <c r="A55" s="121" t="s">
        <v>116</v>
      </c>
      <c r="B55" s="122" t="s">
        <v>132</v>
      </c>
      <c r="C55" s="123">
        <v>0.30499999999999999</v>
      </c>
      <c r="D55" s="123" t="s">
        <v>130</v>
      </c>
      <c r="E55" s="123">
        <v>1.56</v>
      </c>
      <c r="F55" s="124" t="s">
        <v>274</v>
      </c>
      <c r="G55" s="125">
        <v>0.6</v>
      </c>
      <c r="H55" s="123" t="s">
        <v>283</v>
      </c>
      <c r="I55" s="126">
        <v>1.03</v>
      </c>
      <c r="J55" s="78"/>
      <c r="K55" s="78"/>
      <c r="L55" s="78"/>
      <c r="M55" s="78"/>
      <c r="N55" s="78"/>
    </row>
    <row r="56" spans="1:14" x14ac:dyDescent="0.3">
      <c r="A56" s="121" t="s">
        <v>128</v>
      </c>
      <c r="B56" s="122" t="s">
        <v>132</v>
      </c>
      <c r="C56" s="123">
        <v>0.32300000000000001</v>
      </c>
      <c r="D56" s="123" t="s">
        <v>130</v>
      </c>
      <c r="E56" s="123">
        <v>1.56</v>
      </c>
      <c r="F56" s="124" t="s">
        <v>274</v>
      </c>
      <c r="G56" s="125">
        <v>0.6</v>
      </c>
      <c r="H56" s="123" t="s">
        <v>283</v>
      </c>
      <c r="I56" s="126">
        <v>1.03</v>
      </c>
      <c r="J56" s="78"/>
      <c r="K56" s="78"/>
      <c r="L56" s="78"/>
      <c r="M56" s="78"/>
      <c r="N56" s="78"/>
    </row>
    <row r="57" spans="1:14" x14ac:dyDescent="0.3">
      <c r="A57" s="121" t="s">
        <v>129</v>
      </c>
      <c r="B57" s="122" t="s">
        <v>132</v>
      </c>
      <c r="C57" s="123">
        <v>0.36699999999999999</v>
      </c>
      <c r="D57" s="123" t="s">
        <v>130</v>
      </c>
      <c r="E57" s="123">
        <v>1.56</v>
      </c>
      <c r="F57" s="124" t="s">
        <v>274</v>
      </c>
      <c r="G57" s="125">
        <v>0.6</v>
      </c>
      <c r="H57" s="123" t="s">
        <v>283</v>
      </c>
      <c r="I57" s="126">
        <v>1.03</v>
      </c>
      <c r="J57" s="78"/>
      <c r="K57" s="78"/>
      <c r="L57" s="78"/>
      <c r="M57" s="78"/>
      <c r="N57" s="78"/>
    </row>
    <row r="58" spans="1:14" x14ac:dyDescent="0.3">
      <c r="A58" s="121" t="s">
        <v>117</v>
      </c>
      <c r="B58" s="122" t="s">
        <v>132</v>
      </c>
      <c r="C58" s="123">
        <v>0.36</v>
      </c>
      <c r="D58" s="123" t="s">
        <v>130</v>
      </c>
      <c r="E58" s="123">
        <v>1.56</v>
      </c>
      <c r="F58" s="124" t="s">
        <v>274</v>
      </c>
      <c r="G58" s="125">
        <v>0.6</v>
      </c>
      <c r="H58" s="123" t="s">
        <v>283</v>
      </c>
      <c r="I58" s="126">
        <v>1.03</v>
      </c>
      <c r="J58" s="78"/>
      <c r="K58" s="78"/>
      <c r="L58" s="78"/>
      <c r="M58" s="78"/>
      <c r="N58" s="78"/>
    </row>
    <row r="59" spans="1:14" x14ac:dyDescent="0.3">
      <c r="A59" s="121" t="s">
        <v>118</v>
      </c>
      <c r="B59" s="122" t="s">
        <v>132</v>
      </c>
      <c r="C59" s="123">
        <v>0.36799999999999999</v>
      </c>
      <c r="D59" s="123" t="s">
        <v>130</v>
      </c>
      <c r="E59" s="123">
        <v>1.56</v>
      </c>
      <c r="F59" s="124" t="s">
        <v>274</v>
      </c>
      <c r="G59" s="125">
        <v>0.6</v>
      </c>
      <c r="H59" s="123" t="s">
        <v>283</v>
      </c>
      <c r="I59" s="126">
        <v>1.03</v>
      </c>
      <c r="J59" s="78"/>
      <c r="K59" s="78"/>
      <c r="L59" s="78"/>
      <c r="M59" s="78"/>
      <c r="N59" s="78"/>
    </row>
    <row r="60" spans="1:14" x14ac:dyDescent="0.3">
      <c r="A60" s="121" t="s">
        <v>119</v>
      </c>
      <c r="B60" s="122" t="s">
        <v>132</v>
      </c>
      <c r="C60" s="123">
        <v>0.30599999999999999</v>
      </c>
      <c r="D60" s="123" t="s">
        <v>130</v>
      </c>
      <c r="E60" s="123">
        <v>1.56</v>
      </c>
      <c r="F60" s="124" t="s">
        <v>274</v>
      </c>
      <c r="G60" s="125">
        <v>0.6</v>
      </c>
      <c r="H60" s="123" t="s">
        <v>283</v>
      </c>
      <c r="I60" s="126">
        <v>1.03</v>
      </c>
      <c r="J60" s="78"/>
      <c r="K60" s="78"/>
      <c r="L60" s="78"/>
      <c r="M60" s="78"/>
      <c r="N60" s="78"/>
    </row>
    <row r="61" spans="1:14" x14ac:dyDescent="0.3">
      <c r="A61" s="121" t="s">
        <v>120</v>
      </c>
      <c r="B61" s="122" t="s">
        <v>132</v>
      </c>
      <c r="C61" s="123">
        <v>0.313</v>
      </c>
      <c r="D61" s="123" t="s">
        <v>130</v>
      </c>
      <c r="E61" s="123">
        <v>1.56</v>
      </c>
      <c r="F61" s="124" t="s">
        <v>274</v>
      </c>
      <c r="G61" s="125">
        <v>0.6</v>
      </c>
      <c r="H61" s="123" t="s">
        <v>283</v>
      </c>
      <c r="I61" s="126">
        <v>1.03</v>
      </c>
      <c r="J61" s="78"/>
      <c r="K61" s="78"/>
      <c r="L61" s="78"/>
      <c r="M61" s="78"/>
      <c r="N61" s="78"/>
    </row>
    <row r="62" spans="1:14" x14ac:dyDescent="0.3">
      <c r="A62" s="121" t="s">
        <v>32</v>
      </c>
      <c r="B62" s="122" t="s">
        <v>133</v>
      </c>
      <c r="C62" s="123">
        <v>0.37</v>
      </c>
      <c r="D62" s="123" t="s">
        <v>161</v>
      </c>
      <c r="E62" s="123">
        <v>1.56</v>
      </c>
      <c r="F62" s="124" t="s">
        <v>274</v>
      </c>
      <c r="G62" s="125">
        <v>0.6</v>
      </c>
      <c r="H62" s="123" t="s">
        <v>283</v>
      </c>
      <c r="I62" s="126">
        <v>1.03</v>
      </c>
      <c r="J62" s="78"/>
      <c r="K62" s="78"/>
      <c r="L62" s="78"/>
      <c r="M62" s="78"/>
      <c r="N62" s="78"/>
    </row>
    <row r="63" spans="1:14" x14ac:dyDescent="0.3">
      <c r="A63" s="121" t="s">
        <v>90</v>
      </c>
      <c r="B63" s="122" t="s">
        <v>83</v>
      </c>
      <c r="C63" s="123">
        <v>0.45</v>
      </c>
      <c r="D63" s="123" t="s">
        <v>161</v>
      </c>
      <c r="E63" s="123">
        <v>1.3</v>
      </c>
      <c r="F63" s="124" t="s">
        <v>274</v>
      </c>
      <c r="G63" s="125">
        <v>0.45</v>
      </c>
      <c r="H63" s="123" t="s">
        <v>276</v>
      </c>
      <c r="I63" s="126">
        <v>0.43</v>
      </c>
      <c r="J63" s="78"/>
      <c r="K63" s="78"/>
      <c r="L63" s="78"/>
      <c r="M63" s="78"/>
      <c r="N63" s="78"/>
    </row>
    <row r="64" spans="1:14" x14ac:dyDescent="0.3">
      <c r="A64" s="121" t="s">
        <v>33</v>
      </c>
      <c r="B64" s="122" t="s">
        <v>134</v>
      </c>
      <c r="C64" s="123">
        <v>0.39</v>
      </c>
      <c r="D64" s="123" t="s">
        <v>161</v>
      </c>
      <c r="E64" s="123">
        <v>1.3</v>
      </c>
      <c r="F64" s="124" t="s">
        <v>274</v>
      </c>
      <c r="G64" s="125">
        <v>0.45</v>
      </c>
      <c r="H64" s="123" t="s">
        <v>276</v>
      </c>
      <c r="I64" s="126">
        <v>0.43</v>
      </c>
      <c r="J64" s="78"/>
      <c r="K64" s="78"/>
      <c r="L64" s="78"/>
      <c r="M64" s="78"/>
      <c r="N64" s="78"/>
    </row>
    <row r="65" spans="1:14" x14ac:dyDescent="0.3">
      <c r="A65" s="121" t="s">
        <v>34</v>
      </c>
      <c r="B65" s="122" t="s">
        <v>135</v>
      </c>
      <c r="C65" s="123">
        <v>0.44</v>
      </c>
      <c r="D65" s="123" t="s">
        <v>161</v>
      </c>
      <c r="E65" s="123">
        <v>1.3</v>
      </c>
      <c r="F65" s="124" t="s">
        <v>274</v>
      </c>
      <c r="G65" s="125">
        <v>0.45</v>
      </c>
      <c r="H65" s="123" t="s">
        <v>276</v>
      </c>
      <c r="I65" s="126">
        <v>0.43</v>
      </c>
      <c r="J65" s="78"/>
      <c r="K65" s="78"/>
      <c r="L65" s="78"/>
      <c r="M65" s="78"/>
      <c r="N65" s="78"/>
    </row>
    <row r="66" spans="1:14" x14ac:dyDescent="0.3">
      <c r="A66" s="121" t="s">
        <v>35</v>
      </c>
      <c r="B66" s="122" t="s">
        <v>84</v>
      </c>
      <c r="C66" s="123">
        <v>0.46</v>
      </c>
      <c r="D66" s="123" t="s">
        <v>161</v>
      </c>
      <c r="E66" s="123">
        <v>1.3</v>
      </c>
      <c r="F66" s="124" t="s">
        <v>274</v>
      </c>
      <c r="G66" s="125">
        <v>0.45</v>
      </c>
      <c r="H66" s="123" t="s">
        <v>276</v>
      </c>
      <c r="I66" s="126">
        <v>0.43</v>
      </c>
      <c r="J66" s="78"/>
      <c r="K66" s="78"/>
      <c r="L66" s="78"/>
      <c r="M66" s="78"/>
      <c r="N66" s="78"/>
    </row>
    <row r="67" spans="1:14" x14ac:dyDescent="0.3">
      <c r="A67" s="121" t="s">
        <v>36</v>
      </c>
      <c r="B67" s="122" t="s">
        <v>85</v>
      </c>
      <c r="C67" s="123">
        <v>0.46</v>
      </c>
      <c r="D67" s="123" t="s">
        <v>161</v>
      </c>
      <c r="E67" s="123">
        <v>1.3</v>
      </c>
      <c r="F67" s="124" t="s">
        <v>274</v>
      </c>
      <c r="G67" s="125">
        <v>0.45</v>
      </c>
      <c r="H67" s="123" t="s">
        <v>152</v>
      </c>
      <c r="I67" s="126">
        <v>0.59</v>
      </c>
      <c r="J67" s="78"/>
      <c r="K67" s="78"/>
      <c r="L67" s="78"/>
      <c r="M67" s="78"/>
      <c r="N67" s="78"/>
    </row>
    <row r="68" spans="1:14" x14ac:dyDescent="0.3">
      <c r="A68" s="121" t="s">
        <v>37</v>
      </c>
      <c r="B68" s="122" t="s">
        <v>136</v>
      </c>
      <c r="C68" s="123">
        <v>0.44</v>
      </c>
      <c r="D68" s="123" t="s">
        <v>161</v>
      </c>
      <c r="E68" s="123">
        <v>1.3</v>
      </c>
      <c r="F68" s="124" t="s">
        <v>274</v>
      </c>
      <c r="G68" s="125">
        <v>0.45</v>
      </c>
      <c r="H68" s="123" t="s">
        <v>276</v>
      </c>
      <c r="I68" s="126">
        <v>0.43</v>
      </c>
      <c r="J68" s="78"/>
      <c r="K68" s="78"/>
      <c r="L68" s="78"/>
      <c r="M68" s="78"/>
      <c r="N68" s="78"/>
    </row>
    <row r="69" spans="1:14" x14ac:dyDescent="0.3">
      <c r="A69" s="121" t="s">
        <v>38</v>
      </c>
      <c r="B69" s="122" t="s">
        <v>86</v>
      </c>
      <c r="C69" s="123">
        <v>0.46</v>
      </c>
      <c r="D69" s="123" t="s">
        <v>161</v>
      </c>
      <c r="E69" s="123">
        <v>1.3</v>
      </c>
      <c r="F69" s="124" t="s">
        <v>274</v>
      </c>
      <c r="G69" s="125">
        <v>0.45</v>
      </c>
      <c r="H69" s="123" t="s">
        <v>276</v>
      </c>
      <c r="I69" s="126">
        <v>0.43</v>
      </c>
      <c r="J69" s="78"/>
      <c r="K69" s="78"/>
      <c r="L69" s="78"/>
      <c r="M69" s="78"/>
      <c r="N69" s="78"/>
    </row>
    <row r="70" spans="1:14" x14ac:dyDescent="0.3">
      <c r="A70" s="121" t="s">
        <v>39</v>
      </c>
      <c r="B70" s="122" t="s">
        <v>137</v>
      </c>
      <c r="C70" s="123">
        <v>0.48</v>
      </c>
      <c r="D70" s="123" t="s">
        <v>161</v>
      </c>
      <c r="E70" s="123">
        <v>2.4</v>
      </c>
      <c r="F70" s="123" t="s">
        <v>284</v>
      </c>
      <c r="G70" s="125">
        <v>0.45</v>
      </c>
      <c r="H70" s="123" t="s">
        <v>276</v>
      </c>
      <c r="I70" s="126">
        <v>0.43</v>
      </c>
      <c r="J70" s="78"/>
      <c r="K70" s="78"/>
      <c r="L70" s="78"/>
      <c r="M70" s="78"/>
      <c r="N70" s="78"/>
    </row>
    <row r="71" spans="1:14" x14ac:dyDescent="0.3">
      <c r="A71" s="121" t="s">
        <v>40</v>
      </c>
      <c r="B71" s="122" t="s">
        <v>87</v>
      </c>
      <c r="C71" s="123">
        <v>0.46</v>
      </c>
      <c r="D71" s="123" t="s">
        <v>150</v>
      </c>
      <c r="E71" s="123">
        <v>1.3</v>
      </c>
      <c r="F71" s="124" t="s">
        <v>274</v>
      </c>
      <c r="G71" s="125">
        <v>0.45</v>
      </c>
      <c r="H71" s="123" t="s">
        <v>276</v>
      </c>
      <c r="I71" s="126">
        <v>0.43</v>
      </c>
      <c r="J71" s="78"/>
      <c r="K71" s="78"/>
      <c r="L71" s="78"/>
      <c r="M71" s="78"/>
      <c r="N71" s="78"/>
    </row>
    <row r="72" spans="1:14" x14ac:dyDescent="0.3">
      <c r="A72" s="121" t="s">
        <v>41</v>
      </c>
      <c r="B72" s="122" t="s">
        <v>88</v>
      </c>
      <c r="C72" s="123">
        <v>0.44</v>
      </c>
      <c r="D72" s="123" t="s">
        <v>161</v>
      </c>
      <c r="E72" s="123">
        <v>1.3</v>
      </c>
      <c r="F72" s="124" t="s">
        <v>274</v>
      </c>
      <c r="G72" s="125">
        <v>0.45</v>
      </c>
      <c r="H72" s="123" t="s">
        <v>276</v>
      </c>
      <c r="I72" s="126">
        <v>0.43</v>
      </c>
      <c r="J72" s="78"/>
      <c r="K72" s="78"/>
      <c r="L72" s="78"/>
      <c r="M72" s="78"/>
      <c r="N72" s="78"/>
    </row>
    <row r="73" spans="1:14" x14ac:dyDescent="0.3">
      <c r="A73" s="121" t="s">
        <v>138</v>
      </c>
      <c r="B73" s="122" t="s">
        <v>140</v>
      </c>
      <c r="C73" s="123">
        <v>0.46</v>
      </c>
      <c r="D73" s="123" t="s">
        <v>151</v>
      </c>
      <c r="E73" s="123">
        <v>1.3</v>
      </c>
      <c r="F73" s="124" t="s">
        <v>274</v>
      </c>
      <c r="G73" s="125">
        <v>0.45</v>
      </c>
      <c r="H73" s="123" t="s">
        <v>276</v>
      </c>
      <c r="I73" s="126">
        <v>0.43</v>
      </c>
      <c r="J73" s="78"/>
      <c r="K73" s="78"/>
      <c r="L73" s="78"/>
      <c r="M73" s="78"/>
      <c r="N73" s="78"/>
    </row>
    <row r="74" spans="1:14" x14ac:dyDescent="0.3">
      <c r="A74" s="121" t="s">
        <v>42</v>
      </c>
      <c r="B74" s="122" t="s">
        <v>139</v>
      </c>
      <c r="C74" s="123">
        <v>0.34</v>
      </c>
      <c r="D74" s="123" t="s">
        <v>161</v>
      </c>
      <c r="E74" s="123">
        <v>1.3</v>
      </c>
      <c r="F74" s="124" t="s">
        <v>274</v>
      </c>
      <c r="G74" s="125">
        <v>0.45</v>
      </c>
      <c r="H74" s="123" t="s">
        <v>276</v>
      </c>
      <c r="I74" s="126">
        <v>0.43</v>
      </c>
      <c r="J74" s="78"/>
      <c r="K74" s="78"/>
      <c r="L74" s="78"/>
      <c r="M74" s="78"/>
      <c r="N74" s="78"/>
    </row>
    <row r="75" spans="1:14" x14ac:dyDescent="0.3">
      <c r="A75" s="121" t="s">
        <v>43</v>
      </c>
      <c r="B75" s="122" t="s">
        <v>162</v>
      </c>
      <c r="C75" s="123">
        <v>0.5</v>
      </c>
      <c r="D75" s="123" t="s">
        <v>161</v>
      </c>
      <c r="E75" s="123">
        <v>1.56</v>
      </c>
      <c r="F75" s="124" t="s">
        <v>274</v>
      </c>
      <c r="G75" s="125">
        <v>0.53</v>
      </c>
      <c r="H75" s="123" t="s">
        <v>275</v>
      </c>
      <c r="I75" s="126">
        <v>0.25</v>
      </c>
      <c r="J75" s="78"/>
      <c r="K75" s="78"/>
      <c r="L75" s="78"/>
      <c r="M75" s="78"/>
      <c r="N75" s="78"/>
    </row>
    <row r="76" spans="1:14" x14ac:dyDescent="0.3">
      <c r="A76" s="121" t="s">
        <v>44</v>
      </c>
      <c r="B76" s="122" t="s">
        <v>89</v>
      </c>
      <c r="C76" s="123">
        <v>0.57999999999999996</v>
      </c>
      <c r="D76" s="123" t="s">
        <v>161</v>
      </c>
      <c r="E76" s="123">
        <v>1.56</v>
      </c>
      <c r="F76" s="124" t="s">
        <v>274</v>
      </c>
      <c r="G76" s="125">
        <v>0.3</v>
      </c>
      <c r="H76" s="123" t="s">
        <v>277</v>
      </c>
      <c r="I76" s="126">
        <v>0.25</v>
      </c>
      <c r="J76" s="78"/>
      <c r="K76" s="78"/>
      <c r="L76" s="78"/>
      <c r="M76" s="78"/>
      <c r="N76" s="78"/>
    </row>
    <row r="77" spans="1:14" x14ac:dyDescent="0.3">
      <c r="A77" s="121" t="s">
        <v>47</v>
      </c>
      <c r="B77" s="122" t="s">
        <v>141</v>
      </c>
      <c r="C77" s="123">
        <v>0.37</v>
      </c>
      <c r="D77" s="123" t="s">
        <v>161</v>
      </c>
      <c r="E77" s="123">
        <v>1.3</v>
      </c>
      <c r="F77" s="124" t="s">
        <v>274</v>
      </c>
      <c r="G77" s="125">
        <v>0.55000000000000004</v>
      </c>
      <c r="H77" s="123" t="s">
        <v>152</v>
      </c>
      <c r="I77" s="126">
        <v>0.43</v>
      </c>
      <c r="J77" s="78"/>
      <c r="K77" s="78"/>
      <c r="L77" s="78"/>
      <c r="M77" s="78"/>
      <c r="N77" s="78"/>
    </row>
    <row r="78" spans="1:14" x14ac:dyDescent="0.3">
      <c r="A78" s="121" t="s">
        <v>45</v>
      </c>
      <c r="B78" s="122" t="s">
        <v>96</v>
      </c>
      <c r="C78" s="123">
        <v>0.37</v>
      </c>
      <c r="D78" s="123" t="s">
        <v>161</v>
      </c>
      <c r="E78" s="123">
        <v>1.3</v>
      </c>
      <c r="F78" s="124" t="s">
        <v>274</v>
      </c>
      <c r="G78" s="125">
        <v>0.55000000000000004</v>
      </c>
      <c r="H78" s="123" t="s">
        <v>152</v>
      </c>
      <c r="I78" s="126">
        <v>0.43</v>
      </c>
      <c r="J78" s="78"/>
      <c r="K78" s="78"/>
      <c r="L78" s="78"/>
      <c r="M78" s="78"/>
      <c r="N78" s="78"/>
    </row>
    <row r="79" spans="1:14" x14ac:dyDescent="0.3">
      <c r="A79" s="121" t="s">
        <v>46</v>
      </c>
      <c r="B79" s="122" t="s">
        <v>95</v>
      </c>
      <c r="C79" s="123">
        <v>0.38</v>
      </c>
      <c r="D79" s="123" t="s">
        <v>161</v>
      </c>
      <c r="E79" s="123">
        <v>1.3</v>
      </c>
      <c r="F79" s="124" t="s">
        <v>274</v>
      </c>
      <c r="G79" s="125">
        <v>0.55000000000000004</v>
      </c>
      <c r="H79" s="123" t="s">
        <v>153</v>
      </c>
      <c r="I79" s="126">
        <v>0.43</v>
      </c>
      <c r="J79" s="78"/>
      <c r="K79" s="78"/>
      <c r="L79" s="78"/>
      <c r="M79" s="78"/>
      <c r="N79" s="78"/>
    </row>
    <row r="80" spans="1:14" x14ac:dyDescent="0.3">
      <c r="A80" s="121" t="s">
        <v>48</v>
      </c>
      <c r="B80" s="122" t="s">
        <v>94</v>
      </c>
      <c r="C80" s="123">
        <v>0.36</v>
      </c>
      <c r="D80" s="123" t="s">
        <v>161</v>
      </c>
      <c r="E80" s="123">
        <v>1.3</v>
      </c>
      <c r="F80" s="124" t="s">
        <v>274</v>
      </c>
      <c r="G80" s="125">
        <v>0.55000000000000004</v>
      </c>
      <c r="H80" s="123" t="s">
        <v>153</v>
      </c>
      <c r="I80" s="126">
        <v>0.43</v>
      </c>
      <c r="J80" s="78"/>
      <c r="K80" s="78"/>
      <c r="L80" s="78"/>
      <c r="M80" s="78"/>
      <c r="N80" s="78"/>
    </row>
    <row r="81" spans="1:14" x14ac:dyDescent="0.3">
      <c r="A81" s="121" t="s">
        <v>49</v>
      </c>
      <c r="B81" s="122" t="s">
        <v>142</v>
      </c>
      <c r="C81" s="123">
        <v>0.37</v>
      </c>
      <c r="D81" s="123" t="s">
        <v>161</v>
      </c>
      <c r="E81" s="123">
        <v>1.56</v>
      </c>
      <c r="F81" s="124" t="s">
        <v>274</v>
      </c>
      <c r="G81" s="125">
        <v>0.43</v>
      </c>
      <c r="H81" s="123" t="s">
        <v>278</v>
      </c>
      <c r="I81" s="126">
        <v>0.25</v>
      </c>
      <c r="J81" s="78"/>
      <c r="K81" s="78"/>
      <c r="L81" s="78"/>
      <c r="M81" s="78"/>
      <c r="N81" s="78"/>
    </row>
    <row r="82" spans="1:14" x14ac:dyDescent="0.3">
      <c r="A82" s="121" t="s">
        <v>158</v>
      </c>
      <c r="B82" s="122" t="s">
        <v>159</v>
      </c>
      <c r="C82" s="123">
        <v>0.35</v>
      </c>
      <c r="D82" s="123" t="s">
        <v>160</v>
      </c>
      <c r="E82" s="123">
        <v>1.3</v>
      </c>
      <c r="F82" s="124" t="s">
        <v>274</v>
      </c>
      <c r="G82" s="125">
        <v>0.55000000000000004</v>
      </c>
      <c r="H82" s="123" t="s">
        <v>153</v>
      </c>
      <c r="I82" s="126">
        <v>0.43</v>
      </c>
      <c r="J82" s="78"/>
      <c r="K82" s="78"/>
      <c r="L82" s="78"/>
      <c r="M82" s="78"/>
      <c r="N82" s="78"/>
    </row>
    <row r="83" spans="1:14" x14ac:dyDescent="0.3">
      <c r="A83" s="121" t="s">
        <v>156</v>
      </c>
      <c r="B83" s="122" t="s">
        <v>157</v>
      </c>
      <c r="C83" s="123">
        <v>0.34</v>
      </c>
      <c r="D83" s="123" t="s">
        <v>161</v>
      </c>
      <c r="E83" s="123">
        <v>1.3</v>
      </c>
      <c r="F83" s="124" t="s">
        <v>274</v>
      </c>
      <c r="G83" s="125">
        <v>0.55000000000000004</v>
      </c>
      <c r="H83" s="123" t="s">
        <v>153</v>
      </c>
      <c r="I83" s="126">
        <v>0.43</v>
      </c>
      <c r="J83" s="78"/>
      <c r="K83" s="78"/>
      <c r="L83" s="78"/>
      <c r="M83" s="78"/>
      <c r="N83" s="78"/>
    </row>
    <row r="84" spans="1:14" x14ac:dyDescent="0.3">
      <c r="A84" s="121" t="s">
        <v>92</v>
      </c>
      <c r="B84" s="122" t="s">
        <v>93</v>
      </c>
      <c r="C84" s="123">
        <v>0.31</v>
      </c>
      <c r="D84" s="123" t="s">
        <v>161</v>
      </c>
      <c r="E84" s="123">
        <v>1.3</v>
      </c>
      <c r="F84" s="124" t="s">
        <v>274</v>
      </c>
      <c r="G84" s="125">
        <v>0.55000000000000004</v>
      </c>
      <c r="H84" s="123" t="s">
        <v>153</v>
      </c>
      <c r="I84" s="126">
        <v>0.43</v>
      </c>
      <c r="J84" s="78"/>
      <c r="K84" s="78"/>
      <c r="L84" s="78"/>
      <c r="M84" s="78"/>
      <c r="N84" s="78"/>
    </row>
    <row r="85" spans="1:14" x14ac:dyDescent="0.3">
      <c r="A85" s="121" t="s">
        <v>50</v>
      </c>
      <c r="B85" s="122" t="s">
        <v>143</v>
      </c>
      <c r="C85" s="123">
        <v>0.43</v>
      </c>
      <c r="D85" s="123" t="s">
        <v>161</v>
      </c>
      <c r="E85" s="123">
        <v>1.56</v>
      </c>
      <c r="F85" s="124" t="s">
        <v>274</v>
      </c>
      <c r="G85" s="125">
        <v>0.53</v>
      </c>
      <c r="H85" s="123" t="s">
        <v>275</v>
      </c>
      <c r="I85" s="126">
        <v>0.25</v>
      </c>
      <c r="J85" s="78"/>
      <c r="K85" s="78"/>
      <c r="L85" s="78"/>
      <c r="M85" s="78"/>
      <c r="N85" s="78"/>
    </row>
    <row r="86" spans="1:14" x14ac:dyDescent="0.3">
      <c r="A86" s="121" t="s">
        <v>51</v>
      </c>
      <c r="B86" s="122" t="s">
        <v>91</v>
      </c>
      <c r="C86" s="123">
        <v>0.38</v>
      </c>
      <c r="D86" s="123" t="s">
        <v>161</v>
      </c>
      <c r="E86" s="123">
        <v>1.56</v>
      </c>
      <c r="F86" s="124" t="s">
        <v>274</v>
      </c>
      <c r="G86" s="125">
        <v>0.6</v>
      </c>
      <c r="H86" s="123" t="s">
        <v>279</v>
      </c>
      <c r="I86" s="126">
        <v>0.25</v>
      </c>
      <c r="J86" s="78"/>
      <c r="K86" s="78"/>
      <c r="L86" s="78"/>
      <c r="M86" s="78"/>
      <c r="N86" s="78"/>
    </row>
    <row r="87" spans="1:14" x14ac:dyDescent="0.3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3">
      <c r="A88" s="121" t="s">
        <v>148</v>
      </c>
      <c r="B88" s="129"/>
      <c r="C88" s="123">
        <v>0.42</v>
      </c>
      <c r="D88" s="123" t="s">
        <v>161</v>
      </c>
      <c r="E88" s="123">
        <v>1.3</v>
      </c>
      <c r="F88" s="124" t="s">
        <v>274</v>
      </c>
      <c r="G88" s="130"/>
      <c r="H88" s="129"/>
      <c r="I88" s="131"/>
    </row>
    <row r="89" spans="1:14" ht="15" thickBot="1" x14ac:dyDescent="0.35">
      <c r="A89" s="132" t="s">
        <v>149</v>
      </c>
      <c r="B89" s="133"/>
      <c r="C89" s="134">
        <v>0.56999999999999995</v>
      </c>
      <c r="D89" s="135" t="s">
        <v>161</v>
      </c>
      <c r="E89" s="134">
        <v>1.56</v>
      </c>
      <c r="F89" s="134" t="s">
        <v>274</v>
      </c>
      <c r="G89" s="133"/>
      <c r="H89" s="133"/>
      <c r="I89" s="136"/>
    </row>
    <row r="93" spans="1:14" x14ac:dyDescent="0.3">
      <c r="A93" s="121" t="s">
        <v>208</v>
      </c>
    </row>
    <row r="94" spans="1:14" x14ac:dyDescent="0.3">
      <c r="A94" s="121" t="s">
        <v>209</v>
      </c>
    </row>
    <row r="95" spans="1:14" x14ac:dyDescent="0.3">
      <c r="A95" s="12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110" zoomScaleNormal="110" workbookViewId="0">
      <selection activeCell="D18" sqref="D18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7" t="s">
        <v>207</v>
      </c>
      <c r="B5" s="138" t="s">
        <v>250</v>
      </c>
      <c r="C5" s="139" t="str">
        <f>Calculateur!S2</f>
        <v>ΔStock moyen de long terme (tCO₂/ha)</v>
      </c>
      <c r="D5" s="139" t="str">
        <f>Calculateur!T2</f>
        <v>Δstock CO₂ 30 ans (tCO₂/ha)</v>
      </c>
      <c r="E5" s="139" t="s">
        <v>228</v>
      </c>
      <c r="F5" s="139" t="s">
        <v>239</v>
      </c>
      <c r="G5" s="139" t="s">
        <v>240</v>
      </c>
      <c r="H5" s="140" t="s">
        <v>241</v>
      </c>
      <c r="I5" s="141" t="s">
        <v>242</v>
      </c>
      <c r="J5" s="142" t="s">
        <v>243</v>
      </c>
      <c r="K5" s="143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4" t="str">
        <f>IF('Données projet'!$B$9="","",'Données projet'!$B$9)</f>
        <v>Chêne sessile</v>
      </c>
      <c r="B6" s="145">
        <f>'Données projet'!D9</f>
        <v>1.6936057318673905</v>
      </c>
      <c r="C6" s="146">
        <f ca="1">IF(OR('Données projet'!B9="",'Données projet'!C9="",'Données projet'!C9=0%),0,Calculateur!S3)</f>
        <v>439.19854273764042</v>
      </c>
      <c r="D6" s="146">
        <f>IF(OR('Données projet'!B9="",'Données projet'!C9="",'Données projet'!C9=0%),0,Calculateur!T3)</f>
        <v>278.21741231699929</v>
      </c>
      <c r="E6" s="146">
        <f ca="1">MIN(C6,D6)</f>
        <v>278.21741231699929</v>
      </c>
      <c r="F6" s="146">
        <f ca="1">E6*B6</f>
        <v>471.19060420538312</v>
      </c>
      <c r="G6" s="146">
        <f ca="1">F6*(100%-'Données projet'!$C$24)*(100%-'Données projet'!$C$25)*(100%-'Données projet'!$C$26)*(100%-'Données projet'!$C$27)</f>
        <v>381.66438940636039</v>
      </c>
      <c r="H6" s="147">
        <f>IF(OR('Données projet'!B9="",'Données projet'!C9="",'Données projet'!C9=0%),0,AVERAGE(Calculateur!$AC$3:$AC$33)*B6)</f>
        <v>0</v>
      </c>
      <c r="I6" s="148">
        <f>H6*(100%-'Données projet'!$C$24)*(100%-'Données projet'!$C$25)*(100%-'Données projet'!$C$26)*(100%-'Données projet'!$C$27)</f>
        <v>0</v>
      </c>
      <c r="J6" s="149">
        <f>IF(OR('Données projet'!B9="",'Données projet'!C9="",'Données projet'!C9=0%),0,SUM(Calculateur!$V$3:$V$33)*VLOOKUP('Données projet'!$B$9,Paramètres!$A$1:$I$89,9,0)*B6)</f>
        <v>26.250888843944551</v>
      </c>
      <c r="K6" s="150">
        <f>J6*(100%-'Données projet'!$C$24)*(100%-'Données projet'!$C$25)*(100%-'Données projet'!$C$26)*(100%-'Données projet'!$C$27)</f>
        <v>21.263219963595088</v>
      </c>
      <c r="L6" s="151">
        <f ca="1">G6+I6+K6</f>
        <v>402.92760936995546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2" t="str">
        <f>IF('Données projet'!$B$10="","",'Données projet'!$B$10)</f>
        <v>Chêne pubescent</v>
      </c>
      <c r="B7" s="153">
        <f>'Données projet'!D10</f>
        <v>0.21994879634641434</v>
      </c>
      <c r="C7" s="146">
        <f ca="1">IF(OR('Données projet'!B10="",'Données projet'!C10="",'Données projet'!C10=0%),0,Calculateur!AN3)</f>
        <v>487.18832528146936</v>
      </c>
      <c r="D7" s="146">
        <f>IF(OR('Données projet'!B10="",'Données projet'!C10="",'Données projet'!C10=0%),0,Calculateur!AO3)</f>
        <v>306.61893266146666</v>
      </c>
      <c r="E7" s="146">
        <f t="shared" ref="E7:E15" ca="1" si="0">MIN(C7,D7)</f>
        <v>306.61893266146666</v>
      </c>
      <c r="F7" s="146">
        <f t="shared" ref="F7:F15" ca="1" si="1">E7*B7</f>
        <v>67.440465175911868</v>
      </c>
      <c r="G7" s="146">
        <f ca="1">F7*(100%-'Données projet'!$C$24)*(100%-'Données projet'!$C$25)*(100%-'Données projet'!$C$26)*(100%-'Données projet'!$C$27)</f>
        <v>54.626776792488613</v>
      </c>
      <c r="H7" s="154">
        <f>IF(OR('Données projet'!B10="",'Données projet'!C10="",'Données projet'!C10=0%),0,AVERAGE(Calculateur!$AX$3:$AX$33)*B7)</f>
        <v>0</v>
      </c>
      <c r="I7" s="148">
        <f>H7*(100%-'Données projet'!$C$24)*(100%-'Données projet'!$C$25)*(100%-'Données projet'!$C$26)*(100%-'Données projet'!$C$27)</f>
        <v>0</v>
      </c>
      <c r="J7" s="149">
        <f>IF(OR('Données projet'!B10="",'Données projet'!C10="",'Données projet'!C10=0%),0,SUM(Calculateur!$AQ$3:$AQ$33)*VLOOKUP('Données projet'!$B$10,Paramètres!$A$1:$I$89,9,0)*B7)</f>
        <v>3.4092063433694224</v>
      </c>
      <c r="K7" s="150">
        <f>J7*(100%-'Données projet'!$C$24)*(100%-'Données projet'!$C$25)*(100%-'Données projet'!$C$26)*(100%-'Données projet'!$C$27)</f>
        <v>2.7614571381292321</v>
      </c>
      <c r="L7" s="151">
        <f t="shared" ref="L7:L15" ca="1" si="2">G7+I7+K7</f>
        <v>57.388233930617844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2" t="str">
        <f>IF('Données projet'!$B$11="","",'Données projet'!$B$11)</f>
        <v>Robinier faux-acacia</v>
      </c>
      <c r="B8" s="153">
        <f>'Données projet'!D11</f>
        <v>2.3919431602672558</v>
      </c>
      <c r="C8" s="146">
        <f ca="1">IF(OR('Données projet'!B11="",'Données projet'!C11="",'Données projet'!C11=0%),0,Calculateur!BI3)</f>
        <v>436.23918637269577</v>
      </c>
      <c r="D8" s="146">
        <f>IF(OR('Données projet'!B11="",'Données projet'!C11="",'Données projet'!C11=0%),0,Calculateur!BJ3)</f>
        <v>611.43967996341894</v>
      </c>
      <c r="E8" s="146">
        <f t="shared" ca="1" si="0"/>
        <v>436.23918637269577</v>
      </c>
      <c r="F8" s="146">
        <f t="shared" ca="1" si="1"/>
        <v>1043.4593380847223</v>
      </c>
      <c r="G8" s="146">
        <f ca="1">F8*(100%-'Données projet'!$C$24)*(100%-'Données projet'!$C$25)*(100%-'Données projet'!$C$26)*(100%-'Données projet'!$C$27)</f>
        <v>845.20206384862513</v>
      </c>
      <c r="H8" s="154">
        <f>IF(OR('Données projet'!B11="",'Données projet'!C11="",'Données projet'!C11=0%),0,AVERAGE(Calculateur!$BS$3:$BS$33)*B8)</f>
        <v>0</v>
      </c>
      <c r="I8" s="148">
        <f>H8*(100%-'Données projet'!$C$24)*(100%-'Données projet'!$C$25)*(100%-'Données projet'!$C$26)*(100%-'Données projet'!$C$27)</f>
        <v>0</v>
      </c>
      <c r="J8" s="149">
        <f>IF(OR('Données projet'!B11="",'Données projet'!C11="",'Données projet'!C11=0%),0,SUM(Calculateur!$BL$3:$BL$33)*VLOOKUP('Données projet'!$B$11,Paramètres!$A$1:$I$89,9,0)*B8)</f>
        <v>77.140166918619002</v>
      </c>
      <c r="K8" s="150">
        <f>J8*(100%-'Données projet'!$C$24)*(100%-'Données projet'!$C$25)*(100%-'Données projet'!$C$26)*(100%-'Données projet'!$C$27)</f>
        <v>62.483535204081392</v>
      </c>
      <c r="L8" s="151">
        <f t="shared" ca="1" si="2"/>
        <v>907.68559905270649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2" t="str">
        <f>IF('Données projet'!$B$12="","",'Données projet'!$B$12)</f>
        <v>Chêne rouge d'Amérique</v>
      </c>
      <c r="B9" s="153">
        <f>'Données projet'!D12</f>
        <v>0.9089384009015572</v>
      </c>
      <c r="C9" s="146">
        <f ca="1">IF(OR('Données projet'!B12="",'Données projet'!C12="",'Données projet'!C12=0%),0,Calculateur!CD3)</f>
        <v>304.32767345253382</v>
      </c>
      <c r="D9" s="146">
        <f>IF(OR('Données projet'!B12="",'Données projet'!C12="",'Données projet'!C12=0%),0,Calculateur!CE3)</f>
        <v>427.16091343339173</v>
      </c>
      <c r="E9" s="146">
        <f t="shared" ca="1" si="0"/>
        <v>304.32767345253382</v>
      </c>
      <c r="F9" s="146">
        <f t="shared" ca="1" si="1"/>
        <v>276.61510885803739</v>
      </c>
      <c r="G9" s="146">
        <f ca="1">F9*(100%-'Données projet'!$C$24)*(100%-'Données projet'!$C$25)*(100%-'Données projet'!$C$26)*(100%-'Données projet'!$C$27)</f>
        <v>224.0582381750103</v>
      </c>
      <c r="H9" s="154">
        <f>IF(OR('Données projet'!B12="",'Données projet'!C12="",'Données projet'!C12=0%),0,AVERAGE(Calculateur!$CN$3:$CN$33)*B9)</f>
        <v>0</v>
      </c>
      <c r="I9" s="148">
        <f>H9*(100%-'Données projet'!$C$24)*(100%-'Données projet'!$C$25)*(100%-'Données projet'!$C$26)*(100%-'Données projet'!$C$27)</f>
        <v>0</v>
      </c>
      <c r="J9" s="149">
        <f>IF(OR('Données projet'!B12="",'Données projet'!C12="",'Données projet'!C12=0%),0,SUM(Calculateur!$CG$3:$CG$33)*VLOOKUP('Données projet'!$B$12,Paramètres!$A$1:$I$89,9,0)*B9)</f>
        <v>42.492870242147802</v>
      </c>
      <c r="K9" s="150">
        <f>J9*(100%-'Données projet'!$C$24)*(100%-'Données projet'!$C$25)*(100%-'Données projet'!$C$26)*(100%-'Données projet'!$C$27)</f>
        <v>34.419224896139724</v>
      </c>
      <c r="L9" s="151">
        <f t="shared" ca="1" si="2"/>
        <v>258.47746307115005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2" t="str">
        <f>IF('Données projet'!$B$13="","",'Données projet'!$B$13)</f>
        <v>Douglas</v>
      </c>
      <c r="B10" s="153">
        <f>'Données projet'!D13</f>
        <v>6.6206291528974814</v>
      </c>
      <c r="C10" s="146">
        <f ca="1">IF(OR('Données projet'!B13="",'Données projet'!C13="",'Données projet'!C13=0%),0,Calculateur!CY3)</f>
        <v>555.15881087162279</v>
      </c>
      <c r="D10" s="146">
        <f>IF(OR('Données projet'!B13="",'Données projet'!C13="",'Données projet'!C13=0%),0,Calculateur!CZ3)</f>
        <v>668.20427590250733</v>
      </c>
      <c r="E10" s="146">
        <f t="shared" ca="1" si="0"/>
        <v>555.15881087162279</v>
      </c>
      <c r="F10" s="146">
        <f t="shared" ca="1" si="1"/>
        <v>3675.5006077445651</v>
      </c>
      <c r="G10" s="146">
        <f ca="1">F10*(100%-'Données projet'!$C$24)*(100%-'Données projet'!$C$25)*(100%-'Données projet'!$C$26)*(100%-'Données projet'!$C$27)</f>
        <v>2977.1554922730975</v>
      </c>
      <c r="H10" s="154">
        <f>IF(OR('Données projet'!B13="",'Données projet'!C13="",'Données projet'!C13=0%),0,AVERAGE(Calculateur!$DI$3:$DI$33)*B10)</f>
        <v>56.389868384536712</v>
      </c>
      <c r="I10" s="148">
        <f>H10*(100%-'Données projet'!$C$24)*(100%-'Données projet'!$C$25)*(100%-'Données projet'!$C$26)*(100%-'Données projet'!$C$27)</f>
        <v>45.675793391474741</v>
      </c>
      <c r="J10" s="149">
        <f>IF(OR('Données projet'!B13="",'Données projet'!C13="",'Données projet'!C13=0%),0,SUM(Calculateur!$DB$3:$DB$33)*VLOOKUP('Données projet'!$B$13,Paramètres!$A$1:$I$89,9,0)*B10)</f>
        <v>549.4460133989619</v>
      </c>
      <c r="K10" s="150">
        <f>J10*(100%-'Données projet'!$C$24)*(100%-'Données projet'!$C$25)*(100%-'Données projet'!$C$26)*(100%-'Données projet'!$C$27)</f>
        <v>445.05127085315917</v>
      </c>
      <c r="L10" s="151">
        <f t="shared" ca="1" si="2"/>
        <v>3467.8825565177312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2" t="str">
        <f>IF('Données projet'!$B$14="","",'Données projet'!$B$14)</f>
        <v>Cèdre de l'Atlas</v>
      </c>
      <c r="B11" s="153">
        <f>'Données projet'!D14</f>
        <v>0.86109953769621217</v>
      </c>
      <c r="C11" s="146">
        <f ca="1">IF(OR('Données projet'!B14="",'Données projet'!C14="",'Données projet'!C14=0%),0,Calculateur!DT3)</f>
        <v>523.79180230463714</v>
      </c>
      <c r="D11" s="146">
        <f>IF(OR('Données projet'!B14="",'Données projet'!C14="",'Données projet'!C14=0%),0,Calculateur!DU3)</f>
        <v>459.3547783500515</v>
      </c>
      <c r="E11" s="146">
        <f t="shared" ca="1" si="0"/>
        <v>459.3547783500515</v>
      </c>
      <c r="F11" s="146">
        <f t="shared" ca="1" si="1"/>
        <v>395.55018727577539</v>
      </c>
      <c r="G11" s="146">
        <f ca="1">F11*(100%-'Données projet'!$C$24)*(100%-'Données projet'!$C$25)*(100%-'Données projet'!$C$26)*(100%-'Données projet'!$C$27)</f>
        <v>320.39565169337806</v>
      </c>
      <c r="H11" s="154">
        <f>IF(OR('Données projet'!B14="",'Données projet'!C14="",'Données projet'!C14=0%),0,AVERAGE(Calculateur!$ED$3:$ED$33)*B11)</f>
        <v>8.7795037047914448</v>
      </c>
      <c r="I11" s="148">
        <f>H11*(100%-'Données projet'!$C$24)*(100%-'Données projet'!$C$25)*(100%-'Données projet'!$C$26)*(100%-'Données projet'!$C$27)</f>
        <v>7.1113980008810707</v>
      </c>
      <c r="J11" s="149">
        <f>IF(OR('Données projet'!B14="",'Données projet'!C14="",'Données projet'!C14=0%),0,SUM(Calculateur!$DW$3:$DW$33)*VLOOKUP('Données projet'!$B$14,Paramètres!$A$1:$I$89,9,0)*B11)</f>
        <v>88.865472290249102</v>
      </c>
      <c r="K11" s="150">
        <f>J11*(100%-'Données projet'!$C$24)*(100%-'Données projet'!$C$25)*(100%-'Données projet'!$C$26)*(100%-'Données projet'!$C$27)</f>
        <v>71.981032555101777</v>
      </c>
      <c r="L11" s="151">
        <f t="shared" ca="1" si="2"/>
        <v>399.4880822493609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2" t="str">
        <f>IF('Données projet'!$B$15="","",'Données projet'!$B$15)</f>
        <v>Alisier torminal</v>
      </c>
      <c r="B12" s="153">
        <f>'Données projet'!D15</f>
        <v>0.43989759269282869</v>
      </c>
      <c r="C12" s="146">
        <f ca="1">IF(OR('Données projet'!B15="",'Données projet'!C15="",'Données projet'!C15=0%),0,Calculateur!EO3)</f>
        <v>484.41278617935654</v>
      </c>
      <c r="D12" s="146">
        <f>IF(OR('Données projet'!B15="",'Données projet'!C15="",'Données projet'!C15=0%),0,Calculateur!EP3)</f>
        <v>467.97490540700738</v>
      </c>
      <c r="E12" s="146">
        <f t="shared" ca="1" si="0"/>
        <v>467.97490540700738</v>
      </c>
      <c r="F12" s="146">
        <f t="shared" ca="1" si="1"/>
        <v>205.86103432919677</v>
      </c>
      <c r="G12" s="146">
        <f ca="1">F12*(100%-'Données projet'!$C$24)*(100%-'Données projet'!$C$25)*(100%-'Données projet'!$C$26)*(100%-'Données projet'!$C$27)</f>
        <v>166.74743780664937</v>
      </c>
      <c r="H12" s="154">
        <f>IF(OR('Données projet'!B15="",'Données projet'!C15="",'Données projet'!C15=0%),0,AVERAGE(Calculateur!$EY$3:$EY$33)*B12)</f>
        <v>0</v>
      </c>
      <c r="I12" s="148">
        <f>H12*(100%-'Données projet'!$C$24)*(100%-'Données projet'!$C$25)*(100%-'Données projet'!$C$26)*(100%-'Données projet'!$C$27)</f>
        <v>0</v>
      </c>
      <c r="J12" s="149">
        <f>IF(OR('Données projet'!B15="",'Données projet'!C15="",'Données projet'!C15=0%),0,SUM(Calculateur!$ER$3:$ER$33)*VLOOKUP('Données projet'!$B$15,Paramètres!$A$1:$I$89,9,0)*B12)</f>
        <v>19.245519680311254</v>
      </c>
      <c r="K12" s="150">
        <f>J12*(100%-'Données projet'!$C$24)*(100%-'Données projet'!$C$25)*(100%-'Données projet'!$C$26)*(100%-'Données projet'!$C$27)</f>
        <v>15.588870941052116</v>
      </c>
      <c r="L12" s="151">
        <f t="shared" ca="1" si="2"/>
        <v>182.33630874770148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2" t="str">
        <f>IF('Données projet'!$B$16="","",'Données projet'!$B$16)</f>
        <v>Cormier</v>
      </c>
      <c r="B13" s="153">
        <f>'Données projet'!D16</f>
        <v>0.43989759269282869</v>
      </c>
      <c r="C13" s="146">
        <f ca="1">IF(OR('Données projet'!B16="",'Données projet'!C16="",'Données projet'!C16=0%),0,Calculateur!FJ3)</f>
        <v>534.54020133239135</v>
      </c>
      <c r="D13" s="146">
        <f>IF(OR('Données projet'!B16="",'Données projet'!C16="",'Données projet'!C16=0%),0,Calculateur!FK3)</f>
        <v>515.48696069008815</v>
      </c>
      <c r="E13" s="146">
        <f t="shared" ca="1" si="0"/>
        <v>515.48696069008815</v>
      </c>
      <c r="F13" s="146">
        <f t="shared" ca="1" si="1"/>
        <v>226.76147307211258</v>
      </c>
      <c r="G13" s="146">
        <f ca="1">F13*(100%-'Données projet'!$C$24)*(100%-'Données projet'!$C$25)*(100%-'Données projet'!$C$26)*(100%-'Données projet'!$C$27)</f>
        <v>183.67679318841118</v>
      </c>
      <c r="H13" s="154">
        <f>IF(OR('Données projet'!B16="",'Données projet'!C16="",'Données projet'!C16=0%),0,AVERAGE(Calculateur!$FT$3:$FT$33)*B13)</f>
        <v>0</v>
      </c>
      <c r="I13" s="148">
        <f>H13*(100%-'Données projet'!$C$24)*(100%-'Données projet'!$C$25)*(100%-'Données projet'!$C$26)*(100%-'Données projet'!$C$27)</f>
        <v>0</v>
      </c>
      <c r="J13" s="149">
        <f>IF(OR('Données projet'!C16="",'Données projet'!C16=0%),0,SUM(Calculateur!$FM$3:$FM$33)*VLOOKUP('Données projet'!$B$16,Paramètres!$A$1:$I$89,9,0)*B13)</f>
        <v>19.245519680311254</v>
      </c>
      <c r="K13" s="150">
        <f>J13*(100%-'Données projet'!$C$24)*(100%-'Données projet'!$C$25)*(100%-'Données projet'!$C$26)*(100%-'Données projet'!$C$27)</f>
        <v>15.588870941052116</v>
      </c>
      <c r="L13" s="151">
        <f t="shared" ca="1" si="2"/>
        <v>199.26566412946329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2" t="str">
        <f>IF('Données projet'!$B$17="","",'Données projet'!$B$17)</f>
        <v>Charme</v>
      </c>
      <c r="B14" s="153">
        <f>'Données projet'!D17</f>
        <v>0.70108678835419569</v>
      </c>
      <c r="C14" s="146">
        <f ca="1">IF(OR('Données projet'!B17="",'Données projet'!C17="",'Données projet'!C17=0%),0,Calculateur!GE3)</f>
        <v>455.71329051283936</v>
      </c>
      <c r="D14" s="146">
        <f>IF(OR('Données projet'!B17="",'Données projet'!C17="",'Données projet'!C17=0%),0,Calculateur!GF3)</f>
        <v>479.3743231122258</v>
      </c>
      <c r="E14" s="146">
        <f t="shared" ca="1" si="0"/>
        <v>455.71329051283936</v>
      </c>
      <c r="F14" s="146">
        <f t="shared" ca="1" si="1"/>
        <v>319.49456725596912</v>
      </c>
      <c r="G14" s="146">
        <f ca="1">F14*(100%-'Données projet'!$C$24)*(100%-'Données projet'!$C$25)*(100%-'Données projet'!$C$26)*(100%-'Données projet'!$C$27)</f>
        <v>258.79059947733498</v>
      </c>
      <c r="H14" s="154">
        <f>IF(OR('Données projet'!B17="",'Données projet'!C17="",'Données projet'!C17=0%),0,AVERAGE(Calculateur!$GO$3:$GO$33)*B14)</f>
        <v>0</v>
      </c>
      <c r="I14" s="148">
        <f>H14*(100%-'Données projet'!$C$24)*(100%-'Données projet'!$C$25)*(100%-'Données projet'!$C$26)*(100%-'Données projet'!$C$27)</f>
        <v>0</v>
      </c>
      <c r="J14" s="149">
        <f>IF(OR('Données projet'!B17="",'Données projet'!C17="",'Données projet'!C17=0%),0,SUM(Calculateur!$GH$3:$GH$33)*VLOOKUP('Données projet'!$B$17,Paramètres!$A$1:$I$89,9,0)*B14)</f>
        <v>18.754071588474734</v>
      </c>
      <c r="K14" s="150">
        <f>J14*(100%-'Données projet'!$C$24)*(100%-'Données projet'!$C$25)*(100%-'Données projet'!$C$26)*(100%-'Données projet'!$C$27)</f>
        <v>15.190797986664535</v>
      </c>
      <c r="L14" s="151">
        <f t="shared" ca="1" si="2"/>
        <v>273.98139746399954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5" t="str">
        <f>IF('Données projet'!B18="","",'Données projet'!B18)</f>
        <v>Bouleau verruqueux</v>
      </c>
      <c r="B15" s="156">
        <f>'Données projet'!D18</f>
        <v>2.9929532462838333</v>
      </c>
      <c r="C15" s="157">
        <f ca="1">IF(OR('Données projet'!B18="",'Données projet'!C18="",'Données projet'!C18=0%),0,Calculateur!GZ3)</f>
        <v>412.59676769258488</v>
      </c>
      <c r="D15" s="157">
        <f>IF(OR('Données projet'!B18="",'Données projet'!C18="",'Données projet'!C18=0%),0,Calculateur!HA3)</f>
        <v>399.90063795152133</v>
      </c>
      <c r="E15" s="157">
        <f t="shared" ca="1" si="0"/>
        <v>399.90063795152133</v>
      </c>
      <c r="F15" s="158">
        <f t="shared" ca="1" si="1"/>
        <v>1196.8839125479817</v>
      </c>
      <c r="G15" s="158">
        <f ca="1">F15*(100%-'Données projet'!$C$24)*(100%-'Données projet'!$C$25)*(100%-'Données projet'!$C$26)*(100%-'Données projet'!$C$27)</f>
        <v>969.47596916386533</v>
      </c>
      <c r="H15" s="159">
        <f>IF(OR('Données projet'!B18="",'Données projet'!C18="",'Données projet'!C18=0%),0,AVERAGE(Calculateur!$HJ$3:$HJ$33)*B15)</f>
        <v>0</v>
      </c>
      <c r="I15" s="160">
        <f>H15*(100%-'Données projet'!$C$24)*(100%-'Données projet'!$C$25)*(100%-'Données projet'!$C$26)*(100%-'Données projet'!$C$27)</f>
        <v>0</v>
      </c>
      <c r="J15" s="161">
        <f>IF(OR('Données projet'!B18="",'Données projet'!C18="",'Données projet'!C18=0%),0,SUM(Calculateur!$HC$3:$HC$33)*VLOOKUP('Données projet'!$B$18,Paramètres!$A$1:$I$89,9,0)*B15)</f>
        <v>130.9417045249177</v>
      </c>
      <c r="K15" s="162">
        <f>J15*(100%-'Données projet'!$C$24)*(100%-'Données projet'!$C$25)*(100%-'Données projet'!$C$26)*(100%-'Données projet'!$C$27)</f>
        <v>106.06278066518334</v>
      </c>
      <c r="L15" s="163">
        <f t="shared" ca="1" si="2"/>
        <v>1075.5387498290486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8"/>
      <c r="B16" s="212"/>
      <c r="C16" s="213"/>
      <c r="D16" s="23"/>
      <c r="E16" s="23"/>
      <c r="F16" s="164">
        <f t="shared" ref="F16:L16" ca="1" si="3">SUM(F6:F15)</f>
        <v>7878.7572985496545</v>
      </c>
      <c r="G16" s="165">
        <f t="shared" ca="1" si="3"/>
        <v>6381.7934118252197</v>
      </c>
      <c r="H16" s="166">
        <f t="shared" si="3"/>
        <v>65.169372089328164</v>
      </c>
      <c r="I16" s="166">
        <f t="shared" si="3"/>
        <v>52.787191392355808</v>
      </c>
      <c r="J16" s="167">
        <f t="shared" si="3"/>
        <v>975.79143351130688</v>
      </c>
      <c r="K16" s="167">
        <f t="shared" si="3"/>
        <v>790.39106114415858</v>
      </c>
      <c r="L16" s="168">
        <f t="shared" ca="1" si="3"/>
        <v>7224.9716643617339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9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9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9" t="str">
        <f>A8</f>
        <v>Robinier faux-acacia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9" t="str">
        <f>A9</f>
        <v>Chêne rouge d'Amérique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9" t="str">
        <f>A10</f>
        <v>Douglas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9" t="str">
        <f>A11</f>
        <v>Cèdre de l'Atlas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9" t="str">
        <f>A12</f>
        <v>Alisier torminal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9" t="str">
        <f>A13</f>
        <v>Cormier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9" t="str">
        <f>A14</f>
        <v>Charme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9" t="str">
        <f>A15</f>
        <v>Bouleau verruqueux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6" zoomScale="85" zoomScaleNormal="85" workbookViewId="0">
      <selection activeCell="I21" sqref="I21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0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7" t="s">
        <v>315</v>
      </c>
      <c r="I4" s="257"/>
      <c r="K4" s="299" t="s">
        <v>253</v>
      </c>
      <c r="L4" s="300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1"/>
      <c r="I6" s="171"/>
      <c r="J6" s="171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1" t="s">
        <v>310</v>
      </c>
      <c r="S7" s="292"/>
      <c r="T7" s="292"/>
      <c r="U7" s="292"/>
      <c r="V7" s="29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2" t="s">
        <v>311</v>
      </c>
      <c r="C9" s="23"/>
      <c r="D9" s="23"/>
      <c r="E9" s="23"/>
      <c r="F9" s="229"/>
      <c r="G9" s="92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5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2" t="s">
        <v>317</v>
      </c>
      <c r="C10" s="23"/>
      <c r="D10" s="23"/>
      <c r="E10" s="23"/>
      <c r="F10" s="229"/>
      <c r="G10" s="92" t="s">
        <v>316</v>
      </c>
      <c r="J10" s="199"/>
      <c r="K10" s="207"/>
      <c r="O10" s="23"/>
      <c r="P10" s="23"/>
      <c r="Q10" s="233"/>
      <c r="R10" s="23"/>
      <c r="S10" s="36" t="str">
        <f>B14</f>
        <v>Chêne sessile</v>
      </c>
      <c r="T10" s="176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-3460.5329282660728</v>
      </c>
      <c r="U10" s="177">
        <f>'Données projet'!D9</f>
        <v>1.6936057318673905</v>
      </c>
      <c r="V10" s="176">
        <f>U10*T10</f>
        <v>-5860.7784026272657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2" t="s">
        <v>312</v>
      </c>
      <c r="B11" s="23"/>
      <c r="C11" s="23"/>
      <c r="D11" s="23"/>
      <c r="E11" s="23"/>
      <c r="F11" s="229"/>
      <c r="G11" s="92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Chêne pubescent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-3770.1732041731693</v>
      </c>
      <c r="U11" s="177">
        <f>'Données projet'!D10</f>
        <v>0.21994879634641434</v>
      </c>
      <c r="V11" s="176">
        <f t="shared" ref="V11" si="0">U11*T11</f>
        <v>-829.24505827539281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>Robinier faux-acacia</v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-1142.9303513027864</v>
      </c>
      <c r="U12" s="177">
        <f>'Données projet'!D11</f>
        <v>2.3919431602672558</v>
      </c>
      <c r="V12" s="176">
        <f t="shared" ref="V12:V19" si="1">U12*T12</f>
        <v>-2733.8244364605521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9"/>
      <c r="J13" s="23"/>
      <c r="K13" s="207"/>
      <c r="L13" s="92" t="s">
        <v>257</v>
      </c>
      <c r="M13" s="23"/>
      <c r="N13" s="23"/>
      <c r="O13" s="23"/>
      <c r="P13" s="23"/>
      <c r="Q13" s="233"/>
      <c r="R13" s="23"/>
      <c r="S13" s="36" t="str">
        <f>B107</f>
        <v>Chêne rouge d'Amérique</v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-2668.6983285758151</v>
      </c>
      <c r="U13" s="177">
        <f>'Données projet'!D12</f>
        <v>0.9089384009015572</v>
      </c>
      <c r="V13" s="176">
        <f t="shared" si="1"/>
        <v>-2425.6823912643599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3" t="str">
        <f>IF('Données projet'!$B$9="","",'Données projet'!$B$9)</f>
        <v>Chêne sessile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2"/>
      <c r="L14" s="201"/>
      <c r="M14" s="23"/>
      <c r="N14" s="23"/>
      <c r="O14" s="4"/>
      <c r="P14" s="4"/>
      <c r="Q14" s="234"/>
      <c r="R14" s="4"/>
      <c r="S14" s="36" t="str">
        <f>B138</f>
        <v>Douglas</v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-1085.4308372333642</v>
      </c>
      <c r="U14" s="177">
        <f>'Données projet'!D13</f>
        <v>6.6206291528974814</v>
      </c>
      <c r="V14" s="176">
        <f t="shared" si="1"/>
        <v>-7186.2350444411322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9"/>
      <c r="G15" s="302" t="s">
        <v>318</v>
      </c>
      <c r="H15" s="189"/>
      <c r="I15" s="190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>Cèdre de l'Atlas</v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-1686.7618255459824</v>
      </c>
      <c r="U15" s="177">
        <f>'Données projet'!D14</f>
        <v>0.86109953769621217</v>
      </c>
      <c r="V15" s="176">
        <f t="shared" si="1"/>
        <v>-1452.4698281812643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302"/>
      <c r="H16" s="189"/>
      <c r="I16" s="190"/>
      <c r="J16" s="201"/>
      <c r="K16" s="207"/>
      <c r="L16" s="299" t="s">
        <v>254</v>
      </c>
      <c r="M16" s="300"/>
      <c r="N16" s="2"/>
      <c r="O16" s="23"/>
      <c r="P16" s="23"/>
      <c r="Q16" s="233"/>
      <c r="R16" s="23"/>
      <c r="S16" s="36" t="str">
        <f>B200</f>
        <v>Alisier torminal</v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-3926.4076411751716</v>
      </c>
      <c r="U16" s="177">
        <f>'Données projet'!D15</f>
        <v>0.43989759269282869</v>
      </c>
      <c r="V16" s="176">
        <f t="shared" si="1"/>
        <v>-1727.2172692836859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8" t="s">
        <v>132</v>
      </c>
      <c r="C17" s="197" t="s">
        <v>132</v>
      </c>
      <c r="D17" s="196" t="s">
        <v>132</v>
      </c>
      <c r="E17" s="192">
        <v>3894.34</v>
      </c>
      <c r="F17" s="229"/>
      <c r="G17" s="302"/>
      <c r="J17" s="201"/>
      <c r="K17" s="207"/>
      <c r="L17" s="259" t="s">
        <v>289</v>
      </c>
      <c r="M17" s="261"/>
      <c r="N17" s="174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>Cormier</v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-4546.5476411751724</v>
      </c>
      <c r="U17" s="177">
        <f>'Données projet'!D16</f>
        <v>0.43989759269282869</v>
      </c>
      <c r="V17" s="176">
        <f t="shared" si="1"/>
        <v>-2000.0153624162169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8" t="s">
        <v>132</v>
      </c>
      <c r="C18" s="197" t="s">
        <v>132</v>
      </c>
      <c r="D18" s="196" t="s">
        <v>132</v>
      </c>
      <c r="E18" s="192"/>
      <c r="F18" s="229"/>
      <c r="G18" s="302"/>
      <c r="J18" s="201"/>
      <c r="K18" s="207"/>
      <c r="L18" s="259" t="s">
        <v>255</v>
      </c>
      <c r="M18" s="261"/>
      <c r="N18" s="191"/>
      <c r="O18" s="23"/>
      <c r="P18" s="23"/>
      <c r="Q18" s="233"/>
      <c r="R18" s="23"/>
      <c r="S18" s="36" t="str">
        <f>B262</f>
        <v>Charme</v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-1548.9254649184193</v>
      </c>
      <c r="U18" s="177">
        <f>'Données projet'!D17</f>
        <v>0.70108678835419569</v>
      </c>
      <c r="V18" s="176">
        <f t="shared" si="1"/>
        <v>-1085.9311795996839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8" t="s">
        <v>132</v>
      </c>
      <c r="C19" s="197" t="s">
        <v>132</v>
      </c>
      <c r="D19" s="196" t="s">
        <v>132</v>
      </c>
      <c r="E19" s="192"/>
      <c r="F19" s="229"/>
      <c r="G19" s="302"/>
      <c r="H19" s="211" t="s">
        <v>178</v>
      </c>
      <c r="I19" s="211" t="s">
        <v>287</v>
      </c>
      <c r="J19" s="92"/>
      <c r="K19" s="172"/>
      <c r="L19" s="299" t="s">
        <v>288</v>
      </c>
      <c r="M19" s="300"/>
      <c r="N19" s="178">
        <f>N17*N18</f>
        <v>0</v>
      </c>
      <c r="O19" s="23"/>
      <c r="P19" s="4"/>
      <c r="Q19" s="234"/>
      <c r="R19" s="4"/>
      <c r="S19" s="36" t="str">
        <f>B293</f>
        <v>Bouleau verruqueux</v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-2366.3684591635729</v>
      </c>
      <c r="U19" s="177">
        <f>'Données projet'!D18</f>
        <v>2.9929532462838333</v>
      </c>
      <c r="V19" s="176">
        <f t="shared" si="1"/>
        <v>-7082.4301617572883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8" t="s">
        <v>132</v>
      </c>
      <c r="C20" s="197" t="s">
        <v>132</v>
      </c>
      <c r="D20" s="196" t="s">
        <v>132</v>
      </c>
      <c r="E20" s="192"/>
      <c r="F20" s="229"/>
      <c r="G20" s="302"/>
      <c r="H20" s="189">
        <v>0</v>
      </c>
      <c r="I20" s="190">
        <v>3661.41</v>
      </c>
      <c r="J20" s="4"/>
      <c r="K20" s="172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8" t="s">
        <v>132</v>
      </c>
      <c r="C21" s="197" t="s">
        <v>132</v>
      </c>
      <c r="D21" s="196" t="s">
        <v>132</v>
      </c>
      <c r="E21" s="192"/>
      <c r="F21" s="229"/>
      <c r="H21" s="189">
        <v>1</v>
      </c>
      <c r="I21" s="190">
        <f>990*1.2</f>
        <v>1188</v>
      </c>
      <c r="K21" s="172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8" t="s">
        <v>132</v>
      </c>
      <c r="C22" s="197" t="s">
        <v>132</v>
      </c>
      <c r="D22" s="196" t="s">
        <v>132</v>
      </c>
      <c r="E22" s="192"/>
      <c r="F22" s="229"/>
      <c r="H22" s="189">
        <v>2</v>
      </c>
      <c r="I22" s="190">
        <f>990*1.2</f>
        <v>1188</v>
      </c>
      <c r="K22" s="172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9">
        <f>'Données projet'!A36</f>
        <v>20</v>
      </c>
      <c r="B23" s="180">
        <f>'Données projet'!D36</f>
        <v>6</v>
      </c>
      <c r="C23" s="192">
        <v>22.5</v>
      </c>
      <c r="D23" s="181">
        <f>B23*C23</f>
        <v>135</v>
      </c>
      <c r="E23" s="192"/>
      <c r="F23" s="229"/>
      <c r="H23" s="189">
        <v>3</v>
      </c>
      <c r="I23" s="190">
        <f>990*1.2</f>
        <v>1188</v>
      </c>
      <c r="K23" s="207"/>
      <c r="L23" s="301" t="s">
        <v>260</v>
      </c>
      <c r="M23" s="301"/>
      <c r="N23" s="301"/>
      <c r="O23" s="23"/>
      <c r="P23" s="23"/>
      <c r="Q23" s="233"/>
      <c r="R23" s="23"/>
      <c r="S23" s="36" t="s">
        <v>264</v>
      </c>
      <c r="T23" s="29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-185684.47910534314</v>
      </c>
      <c r="U23" s="296"/>
      <c r="V23" s="29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9">
        <f>'Données projet'!A37</f>
        <v>25</v>
      </c>
      <c r="B24" s="180">
        <f>'Données projet'!D37</f>
        <v>28</v>
      </c>
      <c r="C24" s="192">
        <v>22.5</v>
      </c>
      <c r="D24" s="181">
        <f t="shared" ref="D24:D42" si="2">B24*C24</f>
        <v>630</v>
      </c>
      <c r="E24" s="192"/>
      <c r="F24" s="232"/>
      <c r="H24" s="189">
        <v>4</v>
      </c>
      <c r="I24" s="190">
        <f>990*1.2</f>
        <v>1188</v>
      </c>
      <c r="K24" s="207"/>
      <c r="O24" s="23"/>
      <c r="P24" s="23"/>
      <c r="Q24" s="233"/>
      <c r="R24" s="23"/>
      <c r="S24" s="36" t="s">
        <v>261</v>
      </c>
      <c r="T24" s="297">
        <f ca="1">'Scénario référence'!$B$8*$M$30*'Données projet'!$C$5+('Scénario référence'!B9+'Scénario référence'!B10+'Scénario référence'!F8+'Scénario référence'!F9)*$N$19/(1+M4)^N16*'Données projet'!$C$5</f>
        <v>417720.14392697124</v>
      </c>
      <c r="U24" s="297"/>
      <c r="V24" s="29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9">
        <f>'Données projet'!A38</f>
        <v>30</v>
      </c>
      <c r="B25" s="180">
        <f>'Données projet'!D38</f>
        <v>28</v>
      </c>
      <c r="C25" s="192">
        <v>22.5</v>
      </c>
      <c r="D25" s="181">
        <f t="shared" si="2"/>
        <v>630</v>
      </c>
      <c r="E25" s="192"/>
      <c r="F25" s="232"/>
      <c r="H25" s="189">
        <v>5</v>
      </c>
      <c r="I25" s="190">
        <f>990*1.2</f>
        <v>1188</v>
      </c>
      <c r="K25" s="207"/>
      <c r="L25" s="129" t="s">
        <v>285</v>
      </c>
      <c r="M25" s="129"/>
      <c r="N25" s="129"/>
      <c r="O25" s="129"/>
      <c r="P25" s="191">
        <v>1200</v>
      </c>
      <c r="Q25" s="233"/>
      <c r="R25" s="23"/>
      <c r="S25" s="185" t="s">
        <v>266</v>
      </c>
      <c r="T25" s="298">
        <f ca="1">T23-T24</f>
        <v>-603404.62303231435</v>
      </c>
      <c r="U25" s="298"/>
      <c r="V25" s="29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9">
        <f>'Données projet'!A39</f>
        <v>35</v>
      </c>
      <c r="B26" s="180">
        <f>'Données projet'!D39</f>
        <v>28</v>
      </c>
      <c r="C26" s="192"/>
      <c r="D26" s="181">
        <f t="shared" si="2"/>
        <v>0</v>
      </c>
      <c r="E26" s="192"/>
      <c r="F26" s="232"/>
      <c r="G26" s="228"/>
      <c r="H26" s="189">
        <v>6</v>
      </c>
      <c r="I26" s="190"/>
      <c r="K26" s="207"/>
      <c r="L26" s="285" t="s">
        <v>258</v>
      </c>
      <c r="M26" s="286"/>
      <c r="N26" s="286"/>
      <c r="O26" s="286"/>
      <c r="P26" s="287"/>
      <c r="Q26" s="233"/>
      <c r="R26" s="23"/>
      <c r="S26" s="185" t="s">
        <v>265</v>
      </c>
      <c r="T26" s="295" t="str">
        <f ca="1">IF(T25&lt;0,"Votre projet est additionnel","Votre projet n'est pas additionnel")</f>
        <v>Votre projet est additionnel</v>
      </c>
      <c r="U26" s="295"/>
      <c r="V26" s="29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9">
        <f>'Données projet'!A40</f>
        <v>40</v>
      </c>
      <c r="B27" s="180">
        <f>'Données projet'!D40</f>
        <v>28</v>
      </c>
      <c r="C27" s="192"/>
      <c r="D27" s="181">
        <f t="shared" si="2"/>
        <v>0</v>
      </c>
      <c r="E27" s="192"/>
      <c r="F27" s="232"/>
      <c r="G27" s="228"/>
      <c r="H27" s="189">
        <v>7</v>
      </c>
      <c r="I27" s="190"/>
      <c r="K27" s="207"/>
      <c r="L27" s="288"/>
      <c r="M27" s="289"/>
      <c r="N27" s="289"/>
      <c r="O27" s="289"/>
      <c r="P27" s="290"/>
      <c r="Q27" s="233"/>
      <c r="R27" s="23"/>
      <c r="S27" s="294" t="s">
        <v>267</v>
      </c>
      <c r="T27" s="294"/>
      <c r="U27" s="294"/>
      <c r="V27" s="29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9">
        <f>'Données projet'!A41</f>
        <v>45</v>
      </c>
      <c r="B28" s="180">
        <f>'Données projet'!D41</f>
        <v>28</v>
      </c>
      <c r="C28" s="192"/>
      <c r="D28" s="181">
        <f t="shared" si="2"/>
        <v>0</v>
      </c>
      <c r="E28" s="192"/>
      <c r="F28" s="232"/>
      <c r="G28" s="204"/>
      <c r="H28" s="189">
        <v>8</v>
      </c>
      <c r="I28" s="190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9">
        <f>'Données projet'!A42</f>
        <v>50</v>
      </c>
      <c r="B29" s="180">
        <f>'Données projet'!D42</f>
        <v>28</v>
      </c>
      <c r="C29" s="192"/>
      <c r="D29" s="181">
        <f t="shared" si="2"/>
        <v>0</v>
      </c>
      <c r="E29" s="192"/>
      <c r="F29" s="232"/>
      <c r="G29" s="202"/>
      <c r="H29" s="189">
        <v>9</v>
      </c>
      <c r="I29" s="190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9">
        <f>'Données projet'!A43</f>
        <v>55</v>
      </c>
      <c r="B30" s="180">
        <f>'Données projet'!D43</f>
        <v>28</v>
      </c>
      <c r="C30" s="192"/>
      <c r="D30" s="181">
        <f t="shared" si="2"/>
        <v>0</v>
      </c>
      <c r="E30" s="192"/>
      <c r="F30" s="232"/>
      <c r="G30" s="202"/>
      <c r="H30" s="189">
        <v>10</v>
      </c>
      <c r="I30" s="190"/>
      <c r="K30" s="182"/>
      <c r="L30" s="36" t="s">
        <v>259</v>
      </c>
      <c r="M30" s="183">
        <f ca="1">SUM(OFFSET($P$33,0,0,MIN('Données projet'!$E$9:$E$18)+1,1))</f>
        <v>24187.616903704184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9">
        <f>'Données projet'!A44</f>
        <v>60</v>
      </c>
      <c r="B31" s="180">
        <f>'Données projet'!D44</f>
        <v>28</v>
      </c>
      <c r="C31" s="192"/>
      <c r="D31" s="181">
        <f t="shared" si="2"/>
        <v>0</v>
      </c>
      <c r="E31" s="192"/>
      <c r="F31" s="232"/>
      <c r="G31" s="202"/>
      <c r="H31" s="189">
        <v>11</v>
      </c>
      <c r="I31" s="190"/>
      <c r="K31" s="172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9">
        <f>'Données projet'!A45</f>
        <v>65</v>
      </c>
      <c r="B32" s="180">
        <f>'Données projet'!D45</f>
        <v>28</v>
      </c>
      <c r="C32" s="192"/>
      <c r="D32" s="181">
        <f t="shared" si="2"/>
        <v>0</v>
      </c>
      <c r="E32" s="192"/>
      <c r="F32" s="232"/>
      <c r="G32" s="202"/>
      <c r="H32" s="189">
        <v>12</v>
      </c>
      <c r="I32" s="190"/>
      <c r="K32" s="172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9">
        <f>'Données projet'!A46</f>
        <v>70</v>
      </c>
      <c r="B33" s="180">
        <f>'Données projet'!D46</f>
        <v>28</v>
      </c>
      <c r="C33" s="192"/>
      <c r="D33" s="181">
        <f t="shared" si="2"/>
        <v>0</v>
      </c>
      <c r="E33" s="192"/>
      <c r="F33" s="232"/>
      <c r="G33" s="202"/>
      <c r="H33" s="189">
        <v>13</v>
      </c>
      <c r="I33" s="190"/>
      <c r="K33" s="172"/>
      <c r="L33" s="4"/>
      <c r="M33" s="4"/>
      <c r="N33" s="4"/>
      <c r="O33" s="193">
        <v>0</v>
      </c>
      <c r="P33" s="184">
        <f t="shared" ref="P33:P64" si="3">$P$25/(1+$M$4)^O33</f>
        <v>1200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9">
        <f>'Données projet'!A47</f>
        <v>75</v>
      </c>
      <c r="B34" s="180">
        <f>'Données projet'!D47</f>
        <v>28</v>
      </c>
      <c r="C34" s="192"/>
      <c r="D34" s="181">
        <f t="shared" si="2"/>
        <v>0</v>
      </c>
      <c r="E34" s="192"/>
      <c r="F34" s="232"/>
      <c r="G34" s="202"/>
      <c r="H34" s="189">
        <v>14</v>
      </c>
      <c r="I34" s="190"/>
      <c r="K34" s="172"/>
      <c r="L34" s="97"/>
      <c r="M34" s="97"/>
      <c r="N34" s="249"/>
      <c r="O34" s="193">
        <f>IF(O33+1&lt;=MIN('Données projet'!$E$9:$E$18),O33+1,"STOP")</f>
        <v>1</v>
      </c>
      <c r="P34" s="184">
        <f t="shared" si="3"/>
        <v>1148.3253588516748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9">
        <f>'Données projet'!A48</f>
        <v>80</v>
      </c>
      <c r="B35" s="180">
        <f>'Données projet'!D48</f>
        <v>28</v>
      </c>
      <c r="C35" s="192"/>
      <c r="D35" s="181">
        <f t="shared" si="2"/>
        <v>0</v>
      </c>
      <c r="E35" s="192"/>
      <c r="F35" s="232"/>
      <c r="G35" s="202"/>
      <c r="H35" s="189">
        <v>15</v>
      </c>
      <c r="I35" s="190"/>
      <c r="K35" s="172"/>
      <c r="L35" s="97"/>
      <c r="M35" s="97"/>
      <c r="N35" s="249"/>
      <c r="O35" s="193">
        <f>IF(O34+1&lt;=MIN('Données projet'!$E$9:$E$18),O34+1,"STOP")</f>
        <v>2</v>
      </c>
      <c r="P35" s="184">
        <f t="shared" si="3"/>
        <v>1098.8759414848564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9">
        <f>'Données projet'!A49</f>
        <v>85</v>
      </c>
      <c r="B36" s="180">
        <f>'Données projet'!D49</f>
        <v>28</v>
      </c>
      <c r="C36" s="192"/>
      <c r="D36" s="181">
        <f t="shared" si="2"/>
        <v>0</v>
      </c>
      <c r="E36" s="192"/>
      <c r="F36" s="232"/>
      <c r="G36" s="202"/>
      <c r="H36" s="189">
        <v>16</v>
      </c>
      <c r="I36" s="190"/>
      <c r="K36" s="172"/>
      <c r="L36" s="23"/>
      <c r="M36" s="23"/>
      <c r="N36" s="23"/>
      <c r="O36" s="193">
        <f>IF(O35+1&lt;=MIN('Données projet'!$E$9:$E$18),O35+1,"STOP")</f>
        <v>3</v>
      </c>
      <c r="P36" s="184">
        <f t="shared" si="3"/>
        <v>1051.5559248658913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9">
        <f>'Données projet'!A50</f>
        <v>90</v>
      </c>
      <c r="B37" s="180">
        <f>'Données projet'!D50</f>
        <v>28</v>
      </c>
      <c r="C37" s="192"/>
      <c r="D37" s="181">
        <f t="shared" si="2"/>
        <v>0</v>
      </c>
      <c r="E37" s="192"/>
      <c r="F37" s="232"/>
      <c r="G37" s="202"/>
      <c r="H37" s="189">
        <v>17</v>
      </c>
      <c r="I37" s="190"/>
      <c r="K37" s="172"/>
      <c r="L37" s="23"/>
      <c r="M37" s="23"/>
      <c r="N37" s="23"/>
      <c r="O37" s="193">
        <f>IF(O36+1&lt;=MIN('Données projet'!$E$9:$E$18),O36+1,"STOP")</f>
        <v>4</v>
      </c>
      <c r="P37" s="184">
        <f t="shared" si="3"/>
        <v>1006.2736123118578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9">
        <f>'Données projet'!A51</f>
        <v>95</v>
      </c>
      <c r="B38" s="180">
        <f>'Données projet'!D51</f>
        <v>28</v>
      </c>
      <c r="C38" s="192"/>
      <c r="D38" s="181">
        <f t="shared" si="2"/>
        <v>0</v>
      </c>
      <c r="E38" s="192"/>
      <c r="F38" s="232"/>
      <c r="G38" s="202"/>
      <c r="H38" s="189">
        <v>18</v>
      </c>
      <c r="I38" s="190"/>
      <c r="K38" s="172"/>
      <c r="L38" s="23"/>
      <c r="M38" s="23"/>
      <c r="N38" s="23"/>
      <c r="O38" s="193">
        <f>IF(O37+1&lt;=MIN('Données projet'!$E$9:$E$18),O37+1,"STOP")</f>
        <v>5</v>
      </c>
      <c r="P38" s="184">
        <f t="shared" si="3"/>
        <v>962.94125580082095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9">
        <f>'Données projet'!A52</f>
        <v>100</v>
      </c>
      <c r="B39" s="180">
        <f>'Données projet'!D52</f>
        <v>27</v>
      </c>
      <c r="C39" s="192"/>
      <c r="D39" s="181">
        <f t="shared" si="2"/>
        <v>0</v>
      </c>
      <c r="E39" s="192"/>
      <c r="F39" s="232"/>
      <c r="G39" s="202"/>
      <c r="H39" s="189">
        <v>19</v>
      </c>
      <c r="I39" s="190"/>
      <c r="K39" s="207"/>
      <c r="L39" s="23"/>
      <c r="M39" s="23"/>
      <c r="N39" s="23"/>
      <c r="O39" s="193">
        <f>IF(O38+1&lt;=MIN('Données projet'!$E$9:$E$18),O38+1,"STOP")</f>
        <v>6</v>
      </c>
      <c r="P39" s="184">
        <f t="shared" si="3"/>
        <v>921.47488593380012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9">
        <f>'Données projet'!A53</f>
        <v>105</v>
      </c>
      <c r="B40" s="180">
        <f>'Données projet'!D53</f>
        <v>26</v>
      </c>
      <c r="C40" s="192"/>
      <c r="D40" s="181">
        <f t="shared" si="2"/>
        <v>0</v>
      </c>
      <c r="E40" s="192"/>
      <c r="F40" s="232"/>
      <c r="G40" s="202"/>
      <c r="H40" s="189">
        <v>20</v>
      </c>
      <c r="I40" s="190"/>
      <c r="K40" s="207"/>
      <c r="L40" s="23"/>
      <c r="M40" s="23"/>
      <c r="N40" s="23"/>
      <c r="O40" s="193">
        <f>IF(O39+1&lt;=MIN('Données projet'!$E$9:$E$18),O39+1,"STOP")</f>
        <v>7</v>
      </c>
      <c r="P40" s="184">
        <f t="shared" si="3"/>
        <v>881.7941492189475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9">
        <f>'Données projet'!A54</f>
        <v>110</v>
      </c>
      <c r="B41" s="180">
        <f>'Données projet'!D54</f>
        <v>25</v>
      </c>
      <c r="C41" s="192"/>
      <c r="D41" s="181">
        <f t="shared" si="2"/>
        <v>0</v>
      </c>
      <c r="E41" s="192"/>
      <c r="F41" s="232"/>
      <c r="G41" s="202"/>
      <c r="H41" s="189">
        <v>21</v>
      </c>
      <c r="I41" s="190"/>
      <c r="K41" s="207"/>
      <c r="L41" s="23"/>
      <c r="M41" s="23"/>
      <c r="N41" s="23"/>
      <c r="O41" s="193">
        <f>IF(O40+1&lt;=MIN('Données projet'!$E$9:$E$18),O40+1,"STOP")</f>
        <v>8</v>
      </c>
      <c r="P41" s="184">
        <f t="shared" si="3"/>
        <v>843.82215236262937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9">
        <f>'Données projet'!A55</f>
        <v>115</v>
      </c>
      <c r="B42" s="180">
        <f>'Données projet'!D55</f>
        <v>24</v>
      </c>
      <c r="C42" s="192"/>
      <c r="D42" s="181">
        <f t="shared" si="2"/>
        <v>0</v>
      </c>
      <c r="E42" s="192"/>
      <c r="F42" s="232"/>
      <c r="G42" s="202"/>
      <c r="H42" s="189">
        <v>22</v>
      </c>
      <c r="I42" s="190"/>
      <c r="K42" s="207"/>
      <c r="L42" s="23"/>
      <c r="M42" s="23"/>
      <c r="N42" s="23"/>
      <c r="O42" s="193">
        <f>IF(O41+1&lt;=MIN('Données projet'!$E$9:$E$18),O41+1,"STOP")</f>
        <v>9</v>
      </c>
      <c r="P42" s="184">
        <f t="shared" si="3"/>
        <v>807.48531326567411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6"/>
      <c r="B43" s="186"/>
      <c r="C43" s="186"/>
      <c r="D43" s="226"/>
      <c r="E43" s="226"/>
      <c r="F43" s="237"/>
      <c r="G43" s="202"/>
      <c r="H43" s="189">
        <v>23</v>
      </c>
      <c r="I43" s="190"/>
      <c r="K43" s="207"/>
      <c r="L43" s="23"/>
      <c r="M43" s="23"/>
      <c r="N43" s="23"/>
      <c r="O43" s="193">
        <f>IF(O42+1&lt;=MIN('Données projet'!$E$9:$E$18),O42+1,"STOP")</f>
        <v>10</v>
      </c>
      <c r="P43" s="184">
        <f t="shared" si="3"/>
        <v>772.71321843605199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9"/>
      <c r="G44" s="202"/>
      <c r="H44" s="189">
        <v>24</v>
      </c>
      <c r="I44" s="190"/>
      <c r="K44" s="207"/>
      <c r="L44" s="23"/>
      <c r="M44" s="23"/>
      <c r="N44" s="23"/>
      <c r="O44" s="193">
        <f>IF(O43+1&lt;=MIN('Données projet'!$E$9:$E$18),O43+1,"STOP")</f>
        <v>11</v>
      </c>
      <c r="P44" s="184">
        <f t="shared" si="3"/>
        <v>739.43848654167653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3" t="str">
        <f>IF('Données projet'!$B$10="","",'Données projet'!$B$10)</f>
        <v>Chêne pubescent</v>
      </c>
      <c r="C45" s="4"/>
      <c r="D45" s="4"/>
      <c r="E45" s="4"/>
      <c r="F45" s="229"/>
      <c r="G45" s="202"/>
      <c r="H45" s="189">
        <v>25</v>
      </c>
      <c r="I45" s="190"/>
      <c r="J45" s="23"/>
      <c r="K45" s="207"/>
      <c r="L45" s="23"/>
      <c r="M45" s="23"/>
      <c r="N45" s="23"/>
      <c r="O45" s="193">
        <f>IF(O44+1&lt;=MIN('Données projet'!$E$9:$E$18),O44+1,"STOP")</f>
        <v>12</v>
      </c>
      <c r="P45" s="184">
        <f t="shared" si="3"/>
        <v>707.59663783892506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9"/>
      <c r="G46" s="202"/>
      <c r="H46" s="189">
        <v>26</v>
      </c>
      <c r="I46" s="190"/>
      <c r="J46" s="23"/>
      <c r="K46" s="207"/>
      <c r="L46" s="203"/>
      <c r="M46" s="203"/>
      <c r="N46" s="203"/>
      <c r="O46" s="193">
        <f>IF(O45+1&lt;=MIN('Données projet'!$E$9:$E$18),O45+1,"STOP")</f>
        <v>13</v>
      </c>
      <c r="P46" s="187">
        <f t="shared" si="3"/>
        <v>677.12596922385171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89">
        <v>27</v>
      </c>
      <c r="I47" s="190"/>
      <c r="J47" s="23"/>
      <c r="K47" s="207"/>
      <c r="L47" s="4"/>
      <c r="M47" s="4"/>
      <c r="N47" s="4"/>
      <c r="O47" s="193">
        <f>IF(O46+1&lt;=MIN('Données projet'!$E$9:$E$18),O46+1,"STOP")</f>
        <v>14</v>
      </c>
      <c r="P47" s="184">
        <f t="shared" si="3"/>
        <v>647.96743466397299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8" t="s">
        <v>132</v>
      </c>
      <c r="C48" s="197" t="s">
        <v>132</v>
      </c>
      <c r="D48" s="196" t="s">
        <v>132</v>
      </c>
      <c r="E48" s="192">
        <v>3994.36</v>
      </c>
      <c r="F48" s="230"/>
      <c r="G48" s="202"/>
      <c r="H48" s="189">
        <v>28</v>
      </c>
      <c r="I48" s="190"/>
      <c r="J48" s="23"/>
      <c r="K48" s="207"/>
      <c r="L48" s="4"/>
      <c r="M48" s="4"/>
      <c r="N48" s="4"/>
      <c r="O48" s="193">
        <f>IF(O47+1&lt;=MIN('Données projet'!$E$9:$E$18),O47+1,"STOP")</f>
        <v>15</v>
      </c>
      <c r="P48" s="184">
        <f t="shared" si="3"/>
        <v>620.06453077892149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4" customFormat="1" ht="17.25" customHeight="1" x14ac:dyDescent="0.3">
      <c r="A49" s="49">
        <v>1</v>
      </c>
      <c r="B49" s="198" t="s">
        <v>132</v>
      </c>
      <c r="C49" s="197" t="s">
        <v>132</v>
      </c>
      <c r="D49" s="196" t="s">
        <v>132</v>
      </c>
      <c r="E49" s="192"/>
      <c r="F49" s="230"/>
      <c r="G49" s="203"/>
      <c r="H49" s="189">
        <v>29</v>
      </c>
      <c r="I49" s="190"/>
      <c r="J49" s="203"/>
      <c r="K49" s="209"/>
      <c r="L49" s="4"/>
      <c r="M49" s="4"/>
      <c r="N49" s="4"/>
      <c r="O49" s="193">
        <f>IF(O48+1&lt;=MIN('Données projet'!$E$9:$E$18),O48+1,"STOP")</f>
        <v>16</v>
      </c>
      <c r="P49" s="184">
        <f t="shared" si="3"/>
        <v>593.36318734825045</v>
      </c>
      <c r="Q49" s="235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86"/>
      <c r="AT49" s="186"/>
      <c r="AU49" s="186"/>
      <c r="AV49" s="186"/>
      <c r="AW49" s="186"/>
      <c r="AX49" s="186"/>
      <c r="AY49" s="186"/>
      <c r="AZ49" s="186"/>
      <c r="BA49" s="186"/>
      <c r="BB49" s="186"/>
      <c r="BC49" s="186"/>
      <c r="BD49" s="186"/>
    </row>
    <row r="50" spans="1:56" x14ac:dyDescent="0.3">
      <c r="A50" s="49">
        <v>2</v>
      </c>
      <c r="B50" s="198" t="s">
        <v>132</v>
      </c>
      <c r="C50" s="197" t="s">
        <v>132</v>
      </c>
      <c r="D50" s="196" t="s">
        <v>132</v>
      </c>
      <c r="E50" s="192"/>
      <c r="F50" s="230"/>
      <c r="G50" s="23"/>
      <c r="H50" s="189">
        <v>30</v>
      </c>
      <c r="I50" s="190"/>
      <c r="J50" s="23"/>
      <c r="K50" s="172"/>
      <c r="L50" s="4"/>
      <c r="M50" s="4"/>
      <c r="N50" s="4"/>
      <c r="O50" s="193">
        <f>IF(O49+1&lt;=MIN('Données projet'!$E$9:$E$18),O49+1,"STOP")</f>
        <v>17</v>
      </c>
      <c r="P50" s="184">
        <f t="shared" si="3"/>
        <v>567.811662534211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8" t="s">
        <v>132</v>
      </c>
      <c r="C51" s="197" t="s">
        <v>132</v>
      </c>
      <c r="D51" s="196" t="s">
        <v>132</v>
      </c>
      <c r="E51" s="192"/>
      <c r="F51" s="230"/>
      <c r="G51" s="23"/>
      <c r="H51" s="189"/>
      <c r="I51" s="190"/>
      <c r="J51" s="23"/>
      <c r="K51" s="172"/>
      <c r="L51" s="4"/>
      <c r="M51" s="4"/>
      <c r="N51" s="4"/>
      <c r="O51" s="193">
        <f>IF(O50+1&lt;=MIN('Données projet'!$E$9:$E$18),O50+1,"STOP")</f>
        <v>18</v>
      </c>
      <c r="P51" s="184">
        <f t="shared" si="3"/>
        <v>543.36044261646998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8" t="s">
        <v>132</v>
      </c>
      <c r="C52" s="197" t="s">
        <v>132</v>
      </c>
      <c r="D52" s="196" t="s">
        <v>132</v>
      </c>
      <c r="E52" s="192"/>
      <c r="F52" s="230"/>
      <c r="G52" s="23"/>
      <c r="H52" s="189"/>
      <c r="I52" s="190"/>
      <c r="J52" s="23"/>
      <c r="K52" s="172"/>
      <c r="L52" s="4"/>
      <c r="M52" s="4"/>
      <c r="N52" s="4"/>
      <c r="O52" s="193">
        <f>IF(O51+1&lt;=MIN('Données projet'!$E$9:$E$18),O51+1,"STOP")</f>
        <v>19</v>
      </c>
      <c r="P52" s="184">
        <f t="shared" si="3"/>
        <v>519.96214604446891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8" t="s">
        <v>132</v>
      </c>
      <c r="C53" s="197" t="s">
        <v>132</v>
      </c>
      <c r="D53" s="196" t="s">
        <v>132</v>
      </c>
      <c r="E53" s="192"/>
      <c r="F53" s="230"/>
      <c r="G53" s="204"/>
      <c r="H53" s="189"/>
      <c r="I53" s="190"/>
      <c r="J53" s="23"/>
      <c r="K53" s="172"/>
      <c r="L53" s="4"/>
      <c r="M53" s="4"/>
      <c r="N53" s="4"/>
      <c r="O53" s="193">
        <f>IF(O52+1&lt;=MIN('Données projet'!$E$9:$E$18),O52+1,"STOP")</f>
        <v>20</v>
      </c>
      <c r="P53" s="184">
        <f t="shared" si="3"/>
        <v>497.57143162150146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9">
        <f>'Données projet'!A62</f>
        <v>20</v>
      </c>
      <c r="B54" s="180">
        <f>'Données projet'!D62</f>
        <v>6</v>
      </c>
      <c r="C54" s="192">
        <v>22.5</v>
      </c>
      <c r="D54" s="178">
        <f>B54*C54</f>
        <v>135</v>
      </c>
      <c r="E54" s="192"/>
      <c r="F54" s="231"/>
      <c r="G54" s="204"/>
      <c r="H54" s="189"/>
      <c r="I54" s="190"/>
      <c r="J54" s="23"/>
      <c r="K54" s="172"/>
      <c r="L54" s="4"/>
      <c r="M54" s="4"/>
      <c r="N54" s="4"/>
      <c r="O54" s="193">
        <f>IF(O53+1&lt;=MIN('Données projet'!$E$9:$E$18),O53+1,"STOP")</f>
        <v>21</v>
      </c>
      <c r="P54" s="184">
        <f t="shared" si="3"/>
        <v>476.14491064258505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9">
        <f>'Données projet'!A63</f>
        <v>25</v>
      </c>
      <c r="B55" s="180">
        <f>'Données projet'!D63</f>
        <v>28</v>
      </c>
      <c r="C55" s="192">
        <v>22.5</v>
      </c>
      <c r="D55" s="178">
        <f t="shared" ref="D55:D73" si="4">B55*C55</f>
        <v>630</v>
      </c>
      <c r="E55" s="192"/>
      <c r="F55" s="231"/>
      <c r="G55" s="204"/>
      <c r="H55" s="189"/>
      <c r="I55" s="190"/>
      <c r="J55" s="23"/>
      <c r="K55" s="172"/>
      <c r="L55" s="4"/>
      <c r="M55" s="4"/>
      <c r="N55" s="4"/>
      <c r="O55" s="193">
        <f>IF(O54+1&lt;=MIN('Données projet'!$E$9:$E$18),O54+1,"STOP")</f>
        <v>22</v>
      </c>
      <c r="P55" s="184">
        <f t="shared" si="3"/>
        <v>455.64106281587107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9">
        <f>'Données projet'!A64</f>
        <v>30</v>
      </c>
      <c r="B56" s="180">
        <f>'Données projet'!D64</f>
        <v>28</v>
      </c>
      <c r="C56" s="192">
        <v>22.5</v>
      </c>
      <c r="D56" s="178">
        <f t="shared" si="4"/>
        <v>630</v>
      </c>
      <c r="E56" s="192"/>
      <c r="F56" s="231"/>
      <c r="G56" s="204"/>
      <c r="H56" s="189"/>
      <c r="I56" s="190"/>
      <c r="J56" s="23"/>
      <c r="K56" s="172"/>
      <c r="L56" s="4"/>
      <c r="M56" s="4"/>
      <c r="N56" s="4"/>
      <c r="O56" s="193">
        <f>IF(O55+1&lt;=MIN('Données projet'!$E$9:$E$18),O55+1,"STOP")</f>
        <v>23</v>
      </c>
      <c r="P56" s="184">
        <f t="shared" si="3"/>
        <v>436.02015580466127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9">
        <f>'Données projet'!A65</f>
        <v>35</v>
      </c>
      <c r="B57" s="180">
        <f>'Données projet'!D65</f>
        <v>28</v>
      </c>
      <c r="C57" s="190"/>
      <c r="D57" s="178">
        <f t="shared" si="4"/>
        <v>0</v>
      </c>
      <c r="E57" s="192"/>
      <c r="F57" s="231"/>
      <c r="G57" s="204"/>
      <c r="H57" s="189"/>
      <c r="I57" s="190"/>
      <c r="J57" s="23"/>
      <c r="K57" s="172"/>
      <c r="L57" s="4"/>
      <c r="M57" s="4"/>
      <c r="N57" s="4"/>
      <c r="O57" s="193">
        <f>IF(O56+1&lt;=MIN('Données projet'!$E$9:$E$18),O56+1,"STOP")</f>
        <v>24</v>
      </c>
      <c r="P57" s="184">
        <f t="shared" si="3"/>
        <v>417.24416823412571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9">
        <f>'Données projet'!A66</f>
        <v>40</v>
      </c>
      <c r="B58" s="180">
        <f>'Données projet'!D66</f>
        <v>28</v>
      </c>
      <c r="C58" s="190"/>
      <c r="D58" s="178">
        <f t="shared" si="4"/>
        <v>0</v>
      </c>
      <c r="E58" s="192"/>
      <c r="F58" s="231"/>
      <c r="G58" s="204"/>
      <c r="H58" s="189"/>
      <c r="I58" s="190"/>
      <c r="J58" s="23"/>
      <c r="K58" s="172"/>
      <c r="L58" s="4"/>
      <c r="M58" s="4"/>
      <c r="N58" s="4"/>
      <c r="O58" s="193">
        <f>IF(O57+1&lt;=MIN('Données projet'!$E$9:$E$18),O57+1,"STOP")</f>
        <v>25</v>
      </c>
      <c r="P58" s="184">
        <f t="shared" si="3"/>
        <v>399.27671601351744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9">
        <f>'Données projet'!A67</f>
        <v>45</v>
      </c>
      <c r="B59" s="180">
        <f>'Données projet'!D67</f>
        <v>28</v>
      </c>
      <c r="C59" s="190"/>
      <c r="D59" s="178">
        <f t="shared" si="4"/>
        <v>0</v>
      </c>
      <c r="E59" s="192"/>
      <c r="F59" s="231"/>
      <c r="G59" s="204"/>
      <c r="H59" s="189"/>
      <c r="I59" s="190"/>
      <c r="J59" s="23"/>
      <c r="K59" s="172"/>
      <c r="L59" s="4"/>
      <c r="M59" s="4"/>
      <c r="N59" s="4"/>
      <c r="O59" s="193">
        <f>IF(O58+1&lt;=MIN('Données projet'!$E$9:$E$18),O58+1,"STOP")</f>
        <v>26</v>
      </c>
      <c r="P59" s="184">
        <f t="shared" si="3"/>
        <v>382.08298183111725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9">
        <f>'Données projet'!A68</f>
        <v>50</v>
      </c>
      <c r="B60" s="180">
        <f>'Données projet'!D68</f>
        <v>28</v>
      </c>
      <c r="C60" s="190"/>
      <c r="D60" s="178">
        <f t="shared" si="4"/>
        <v>0</v>
      </c>
      <c r="E60" s="192"/>
      <c r="F60" s="231"/>
      <c r="G60" s="205"/>
      <c r="H60" s="189"/>
      <c r="I60" s="190"/>
      <c r="J60" s="23"/>
      <c r="K60" s="172"/>
      <c r="L60" s="4"/>
      <c r="M60" s="4"/>
      <c r="N60" s="4"/>
      <c r="O60" s="193">
        <f>IF(O59+1&lt;=MIN('Données projet'!$E$9:$E$18),O59+1,"STOP")</f>
        <v>27</v>
      </c>
      <c r="P60" s="184">
        <f t="shared" si="3"/>
        <v>365.62964768527968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9">
        <f>'Données projet'!A69</f>
        <v>55</v>
      </c>
      <c r="B61" s="180">
        <f>'Données projet'!D69</f>
        <v>28</v>
      </c>
      <c r="C61" s="190"/>
      <c r="D61" s="178">
        <f t="shared" si="4"/>
        <v>0</v>
      </c>
      <c r="E61" s="192"/>
      <c r="F61" s="231"/>
      <c r="G61" s="205"/>
      <c r="H61" s="189"/>
      <c r="I61" s="190"/>
      <c r="J61" s="23"/>
      <c r="K61" s="172"/>
      <c r="L61" s="4"/>
      <c r="M61" s="4"/>
      <c r="N61" s="4"/>
      <c r="O61" s="193">
        <f>IF(O60+1&lt;=MIN('Données projet'!$E$9:$E$18),O60+1,"STOP")</f>
        <v>28</v>
      </c>
      <c r="P61" s="184">
        <f t="shared" si="3"/>
        <v>349.8848303208419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9">
        <f>'Données projet'!A70</f>
        <v>60</v>
      </c>
      <c r="B62" s="180">
        <f>'Données projet'!D70</f>
        <v>28</v>
      </c>
      <c r="C62" s="190"/>
      <c r="D62" s="178">
        <f t="shared" si="4"/>
        <v>0</v>
      </c>
      <c r="E62" s="192"/>
      <c r="F62" s="231"/>
      <c r="G62" s="205"/>
      <c r="H62" s="189"/>
      <c r="I62" s="190"/>
      <c r="J62" s="23"/>
      <c r="K62" s="172"/>
      <c r="L62" s="4"/>
      <c r="M62" s="4"/>
      <c r="N62" s="4"/>
      <c r="O62" s="193">
        <f>IF(O61+1&lt;=MIN('Données projet'!$E$9:$E$18),O61+1,"STOP")</f>
        <v>29</v>
      </c>
      <c r="P62" s="184">
        <f t="shared" si="3"/>
        <v>334.81801944578166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9">
        <f>'Données projet'!A71</f>
        <v>65</v>
      </c>
      <c r="B63" s="180">
        <f>'Données projet'!D71</f>
        <v>28</v>
      </c>
      <c r="C63" s="190"/>
      <c r="D63" s="178">
        <f t="shared" si="4"/>
        <v>0</v>
      </c>
      <c r="E63" s="192"/>
      <c r="F63" s="231"/>
      <c r="G63" s="205"/>
      <c r="H63" s="189"/>
      <c r="I63" s="190"/>
      <c r="J63" s="23"/>
      <c r="K63" s="172"/>
      <c r="L63" s="4"/>
      <c r="M63" s="4"/>
      <c r="N63" s="4"/>
      <c r="O63" s="193">
        <f>IF(O62+1&lt;=MIN('Données projet'!$E$9:$E$18),O62+1,"STOP")</f>
        <v>30</v>
      </c>
      <c r="P63" s="184">
        <f t="shared" si="3"/>
        <v>320.40001860840363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9">
        <f>'Données projet'!A72</f>
        <v>70</v>
      </c>
      <c r="B64" s="180">
        <f>'Données projet'!D72</f>
        <v>28</v>
      </c>
      <c r="C64" s="190"/>
      <c r="D64" s="178">
        <f t="shared" si="4"/>
        <v>0</v>
      </c>
      <c r="E64" s="192"/>
      <c r="F64" s="231"/>
      <c r="G64" s="205"/>
      <c r="H64" s="189"/>
      <c r="I64" s="190"/>
      <c r="J64" s="206"/>
      <c r="K64" s="172"/>
      <c r="L64" s="4"/>
      <c r="M64" s="4"/>
      <c r="N64" s="4"/>
      <c r="O64" s="193">
        <f>IF(O63+1&lt;=MIN('Données projet'!$E$9:$E$18),O63+1,"STOP")</f>
        <v>31</v>
      </c>
      <c r="P64" s="184">
        <f t="shared" si="3"/>
        <v>306.60288862048185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9">
        <f>'Données projet'!A73</f>
        <v>75</v>
      </c>
      <c r="B65" s="180">
        <f>'Données projet'!D73</f>
        <v>28</v>
      </c>
      <c r="C65" s="190"/>
      <c r="D65" s="178">
        <f t="shared" si="4"/>
        <v>0</v>
      </c>
      <c r="E65" s="192"/>
      <c r="F65" s="231"/>
      <c r="G65" s="205"/>
      <c r="H65" s="189"/>
      <c r="I65" s="190"/>
      <c r="J65" s="188"/>
      <c r="K65" s="172"/>
      <c r="L65" s="4"/>
      <c r="M65" s="4"/>
      <c r="N65" s="4"/>
      <c r="O65" s="193">
        <f>IF(O64+1&lt;=MIN('Données projet'!$E$9:$E$18),O64+1,"STOP")</f>
        <v>32</v>
      </c>
      <c r="P65" s="184">
        <f t="shared" ref="P65:P96" si="5">$P$25/(1+$M$4)^O65</f>
        <v>293.39989341672918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9">
        <f>'Données projet'!A74</f>
        <v>80</v>
      </c>
      <c r="B66" s="180">
        <f>'Données projet'!D74</f>
        <v>28</v>
      </c>
      <c r="C66" s="190"/>
      <c r="D66" s="178">
        <f t="shared" si="4"/>
        <v>0</v>
      </c>
      <c r="E66" s="192"/>
      <c r="F66" s="231"/>
      <c r="G66" s="205"/>
      <c r="H66" s="189"/>
      <c r="I66" s="190"/>
      <c r="J66" s="188"/>
      <c r="K66" s="172"/>
      <c r="L66" s="4"/>
      <c r="M66" s="4"/>
      <c r="N66" s="4"/>
      <c r="O66" s="193">
        <f>IF(O65+1&lt;=MIN('Données projet'!$E$9:$E$18),O65+1,"STOP")</f>
        <v>33</v>
      </c>
      <c r="P66" s="184">
        <f t="shared" si="5"/>
        <v>280.76544824567395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9">
        <f>'Données projet'!A75</f>
        <v>85</v>
      </c>
      <c r="B67" s="180">
        <f>'Données projet'!D75</f>
        <v>28</v>
      </c>
      <c r="C67" s="190"/>
      <c r="D67" s="178">
        <f t="shared" si="4"/>
        <v>0</v>
      </c>
      <c r="E67" s="192"/>
      <c r="F67" s="231"/>
      <c r="G67" s="205"/>
      <c r="H67" s="189"/>
      <c r="I67" s="190"/>
      <c r="J67" s="188"/>
      <c r="K67" s="172"/>
      <c r="L67" s="4"/>
      <c r="M67" s="4"/>
      <c r="N67" s="4"/>
      <c r="O67" s="193">
        <f>IF(O66+1&lt;=MIN('Données projet'!$E$9:$E$18),O66+1,"STOP")</f>
        <v>34</v>
      </c>
      <c r="P67" s="184">
        <f t="shared" si="5"/>
        <v>268.67507009155401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9">
        <f>'Données projet'!A76</f>
        <v>90</v>
      </c>
      <c r="B68" s="180">
        <f>'Données projet'!D76</f>
        <v>28</v>
      </c>
      <c r="C68" s="190"/>
      <c r="D68" s="178">
        <f t="shared" si="4"/>
        <v>0</v>
      </c>
      <c r="E68" s="192"/>
      <c r="F68" s="231"/>
      <c r="G68" s="205"/>
      <c r="H68" s="189"/>
      <c r="I68" s="190"/>
      <c r="J68" s="188"/>
      <c r="K68" s="172"/>
      <c r="L68" s="4"/>
      <c r="M68" s="4"/>
      <c r="N68" s="4"/>
      <c r="O68" s="193">
        <f>IF(O67+1&lt;=MIN('Données projet'!$E$9:$E$18),O67+1,"STOP")</f>
        <v>35</v>
      </c>
      <c r="P68" s="184">
        <f t="shared" si="5"/>
        <v>257.10533023115215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9">
        <f>'Données projet'!A77</f>
        <v>95</v>
      </c>
      <c r="B69" s="180">
        <f>'Données projet'!D77</f>
        <v>28</v>
      </c>
      <c r="C69" s="190"/>
      <c r="D69" s="178">
        <f t="shared" si="4"/>
        <v>0</v>
      </c>
      <c r="E69" s="192"/>
      <c r="F69" s="231"/>
      <c r="G69" s="205"/>
      <c r="H69" s="189"/>
      <c r="I69" s="190"/>
      <c r="J69" s="188"/>
      <c r="K69" s="172"/>
      <c r="L69" s="4"/>
      <c r="M69" s="4"/>
      <c r="N69" s="4"/>
      <c r="O69" s="193">
        <f>IF(O68+1&lt;=MIN('Données projet'!$E$9:$E$18),O68+1,"STOP")</f>
        <v>36</v>
      </c>
      <c r="P69" s="184">
        <f t="shared" si="5"/>
        <v>246.03380883363849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9">
        <f>'Données projet'!A78</f>
        <v>100</v>
      </c>
      <c r="B70" s="180">
        <f>'Données projet'!D78</f>
        <v>27</v>
      </c>
      <c r="C70" s="190"/>
      <c r="D70" s="178">
        <f t="shared" si="4"/>
        <v>0</v>
      </c>
      <c r="E70" s="192"/>
      <c r="F70" s="231"/>
      <c r="G70" s="205"/>
      <c r="H70" s="189"/>
      <c r="I70" s="190"/>
      <c r="J70" s="188"/>
      <c r="K70" s="172"/>
      <c r="L70" s="4"/>
      <c r="M70" s="4"/>
      <c r="N70" s="4"/>
      <c r="O70" s="193">
        <f>IF(O69+1&lt;=MIN('Données projet'!$E$9:$E$18),O69+1,"STOP")</f>
        <v>37</v>
      </c>
      <c r="P70" s="184">
        <f t="shared" si="5"/>
        <v>235.43905151544354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9">
        <f>'Données projet'!A79</f>
        <v>105</v>
      </c>
      <c r="B71" s="180">
        <f>'Données projet'!D79</f>
        <v>26</v>
      </c>
      <c r="C71" s="190"/>
      <c r="D71" s="178">
        <f t="shared" si="4"/>
        <v>0</v>
      </c>
      <c r="E71" s="192"/>
      <c r="F71" s="231"/>
      <c r="G71" s="205"/>
      <c r="H71" s="189"/>
      <c r="I71" s="190"/>
      <c r="J71" s="188"/>
      <c r="K71" s="172"/>
      <c r="L71" s="4"/>
      <c r="M71" s="4"/>
      <c r="N71" s="4"/>
      <c r="O71" s="193">
        <f>IF(O70+1&lt;=MIN('Données projet'!$E$9:$E$18),O70+1,"STOP")</f>
        <v>38</v>
      </c>
      <c r="P71" s="184">
        <f t="shared" si="5"/>
        <v>225.30052776597472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9">
        <f>'Données projet'!A80</f>
        <v>110</v>
      </c>
      <c r="B72" s="180">
        <f>'Données projet'!D80</f>
        <v>25</v>
      </c>
      <c r="C72" s="190"/>
      <c r="D72" s="178">
        <f t="shared" si="4"/>
        <v>0</v>
      </c>
      <c r="E72" s="192"/>
      <c r="F72" s="231"/>
      <c r="G72" s="205"/>
      <c r="H72" s="189"/>
      <c r="I72" s="190"/>
      <c r="J72" s="4"/>
      <c r="K72" s="172"/>
      <c r="L72" s="4"/>
      <c r="M72" s="4"/>
      <c r="N72" s="4"/>
      <c r="O72" s="193">
        <f>IF(O71+1&lt;=MIN('Données projet'!$E$9:$E$18),O71+1,"STOP")</f>
        <v>39</v>
      </c>
      <c r="P72" s="184">
        <f t="shared" si="5"/>
        <v>215.59859116361218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9">
        <f>'Données projet'!A81</f>
        <v>115</v>
      </c>
      <c r="B73" s="180">
        <f>'Données projet'!D81</f>
        <v>24</v>
      </c>
      <c r="C73" s="190"/>
      <c r="D73" s="178">
        <f t="shared" si="4"/>
        <v>0</v>
      </c>
      <c r="E73" s="192"/>
      <c r="F73" s="231"/>
      <c r="G73" s="205"/>
      <c r="H73" s="189"/>
      <c r="I73" s="190"/>
      <c r="J73" s="4"/>
      <c r="K73" s="172"/>
      <c r="L73" s="4"/>
      <c r="M73" s="4"/>
      <c r="N73" s="4"/>
      <c r="O73" s="193">
        <f>IF(O72+1&lt;=MIN('Données projet'!$E$9:$E$18),O72+1,"STOP")</f>
        <v>40</v>
      </c>
      <c r="P73" s="184">
        <f t="shared" si="5"/>
        <v>206.31444130489209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9"/>
      <c r="G74" s="205"/>
      <c r="H74" s="189"/>
      <c r="I74" s="190"/>
      <c r="J74" s="4"/>
      <c r="K74" s="172"/>
      <c r="L74" s="4"/>
      <c r="M74" s="4"/>
      <c r="N74" s="4"/>
      <c r="O74" s="193">
        <f>IF(O73+1&lt;=MIN('Données projet'!$E$9:$E$18),O73+1,"STOP")</f>
        <v>41</v>
      </c>
      <c r="P74" s="184">
        <f t="shared" si="5"/>
        <v>197.43008737310251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9"/>
      <c r="G75" s="205"/>
      <c r="H75" s="189"/>
      <c r="I75" s="190"/>
      <c r="J75" s="4"/>
      <c r="K75" s="172"/>
      <c r="L75" s="4"/>
      <c r="M75" s="4"/>
      <c r="N75" s="4"/>
      <c r="O75" s="193">
        <f>IF(O74+1&lt;=MIN('Données projet'!$E$9:$E$18),O74+1,"STOP")</f>
        <v>42</v>
      </c>
      <c r="P75" s="184">
        <f t="shared" si="5"/>
        <v>188.92831327569621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3" t="str">
        <f>IF('Données projet'!B11="","",'Données projet'!B11)</f>
        <v>Robinier faux-acacia</v>
      </c>
      <c r="C76" s="4"/>
      <c r="D76" s="4"/>
      <c r="E76" s="4"/>
      <c r="F76" s="229"/>
      <c r="G76" s="205"/>
      <c r="H76" s="189"/>
      <c r="I76" s="190"/>
      <c r="J76" s="4"/>
      <c r="K76" s="172"/>
      <c r="L76" s="4"/>
      <c r="M76" s="4"/>
      <c r="N76" s="4"/>
      <c r="O76" s="193">
        <f>IF(O75+1&lt;=MIN('Données projet'!$E$9:$E$18),O75+1,"STOP")</f>
        <v>43</v>
      </c>
      <c r="P76" s="184">
        <f t="shared" si="5"/>
        <v>180.79264428296287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9"/>
      <c r="G77" s="205"/>
      <c r="H77" s="189"/>
      <c r="I77" s="190"/>
      <c r="J77" s="4"/>
      <c r="K77" s="172"/>
      <c r="L77" s="4"/>
      <c r="M77" s="4"/>
      <c r="N77" s="4"/>
      <c r="O77" s="193">
        <f>IF(O76+1&lt;=MIN('Données projet'!$E$9:$E$18),O76+1,"STOP")</f>
        <v>44</v>
      </c>
      <c r="P77" s="184">
        <f t="shared" si="5"/>
        <v>173.00731510331377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89"/>
      <c r="I78" s="190"/>
      <c r="J78" s="4"/>
      <c r="K78" s="172"/>
      <c r="L78" s="4"/>
      <c r="M78" s="4"/>
      <c r="N78" s="4"/>
      <c r="O78" s="193">
        <f>IF(O77+1&lt;=MIN('Données projet'!$E$9:$E$18),O77+1,"STOP")</f>
        <v>45</v>
      </c>
      <c r="P78" s="184">
        <f t="shared" si="5"/>
        <v>165.55723933331461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8" t="s">
        <v>132</v>
      </c>
      <c r="C79" s="197" t="s">
        <v>132</v>
      </c>
      <c r="D79" s="196" t="s">
        <v>132</v>
      </c>
      <c r="E79" s="192">
        <v>2594.04</v>
      </c>
      <c r="F79" s="230"/>
      <c r="G79" s="205"/>
      <c r="H79" s="189"/>
      <c r="I79" s="190"/>
      <c r="J79" s="4"/>
      <c r="K79" s="172"/>
      <c r="L79" s="4"/>
      <c r="M79" s="4"/>
      <c r="N79" s="4"/>
      <c r="O79" s="193" t="str">
        <f>IF(O78+1&lt;=MIN('Données projet'!$E$9:$E$18),O78+1,"STOP")</f>
        <v>STOP</v>
      </c>
      <c r="P79" s="184" t="e">
        <f t="shared" si="5"/>
        <v>#VALUE!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8" t="s">
        <v>132</v>
      </c>
      <c r="C80" s="197" t="s">
        <v>132</v>
      </c>
      <c r="D80" s="196" t="s">
        <v>132</v>
      </c>
      <c r="E80" s="192"/>
      <c r="F80" s="230"/>
      <c r="G80" s="23"/>
      <c r="H80" s="189"/>
      <c r="I80" s="190"/>
      <c r="J80" s="4"/>
      <c r="K80" s="172"/>
      <c r="L80" s="4"/>
      <c r="M80" s="4"/>
      <c r="N80" s="4"/>
      <c r="O80" s="193" t="e">
        <f>IF(O79+1&lt;=MIN('Données projet'!$E$9:$E$18),O79+1,"STOP")</f>
        <v>#VALUE!</v>
      </c>
      <c r="P80" s="184" t="e">
        <f t="shared" si="5"/>
        <v>#VALUE!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8" t="s">
        <v>132</v>
      </c>
      <c r="C81" s="197" t="s">
        <v>132</v>
      </c>
      <c r="D81" s="196" t="s">
        <v>132</v>
      </c>
      <c r="E81" s="192"/>
      <c r="F81" s="230"/>
      <c r="G81" s="23"/>
      <c r="H81" s="189"/>
      <c r="I81" s="190"/>
      <c r="J81" s="4"/>
      <c r="K81" s="172"/>
      <c r="L81" s="4"/>
      <c r="M81" s="4"/>
      <c r="N81" s="4"/>
      <c r="O81" s="193" t="e">
        <f>IF(O80+1&lt;=MIN('Données projet'!$E$9:$E$18),O80+1,"STOP")</f>
        <v>#VALUE!</v>
      </c>
      <c r="P81" s="184" t="e">
        <f t="shared" si="5"/>
        <v>#VALUE!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8" t="s">
        <v>132</v>
      </c>
      <c r="C82" s="197" t="s">
        <v>132</v>
      </c>
      <c r="D82" s="196" t="s">
        <v>132</v>
      </c>
      <c r="E82" s="192"/>
      <c r="F82" s="230"/>
      <c r="G82" s="23"/>
      <c r="H82" s="189"/>
      <c r="I82" s="190"/>
      <c r="J82" s="4"/>
      <c r="K82" s="172"/>
      <c r="L82" s="4"/>
      <c r="M82" s="4"/>
      <c r="N82" s="4"/>
      <c r="O82" s="193" t="e">
        <f>IF(O81+1&lt;=MIN('Données projet'!$E$9:$E$18),O81+1,"STOP")</f>
        <v>#VALUE!</v>
      </c>
      <c r="P82" s="184" t="e">
        <f t="shared" si="5"/>
        <v>#VALUE!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8" t="s">
        <v>132</v>
      </c>
      <c r="C83" s="197" t="s">
        <v>132</v>
      </c>
      <c r="D83" s="196" t="s">
        <v>132</v>
      </c>
      <c r="E83" s="192"/>
      <c r="F83" s="230"/>
      <c r="G83" s="23"/>
      <c r="H83" s="189"/>
      <c r="I83" s="190"/>
      <c r="J83" s="4"/>
      <c r="K83" s="172"/>
      <c r="L83" s="4"/>
      <c r="M83" s="4"/>
      <c r="N83" s="4"/>
      <c r="O83" s="193" t="e">
        <f>IF(O82+1&lt;=MIN('Données projet'!$E$9:$E$18),O82+1,"STOP")</f>
        <v>#VALUE!</v>
      </c>
      <c r="P83" s="184" t="e">
        <f t="shared" si="5"/>
        <v>#VALUE!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8" t="s">
        <v>132</v>
      </c>
      <c r="C84" s="197" t="s">
        <v>132</v>
      </c>
      <c r="D84" s="196" t="s">
        <v>132</v>
      </c>
      <c r="E84" s="192"/>
      <c r="F84" s="230"/>
      <c r="G84" s="204"/>
      <c r="H84" s="189"/>
      <c r="I84" s="190"/>
      <c r="J84" s="4"/>
      <c r="K84" s="172"/>
      <c r="L84" s="4"/>
      <c r="M84" s="4"/>
      <c r="N84" s="4"/>
      <c r="O84" s="193" t="e">
        <f>IF(O83+1&lt;=MIN('Données projet'!$E$9:$E$18),O83+1,"STOP")</f>
        <v>#VALUE!</v>
      </c>
      <c r="P84" s="184" t="e">
        <f t="shared" si="5"/>
        <v>#VALUE!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9">
        <f>'Données projet'!A88</f>
        <v>5</v>
      </c>
      <c r="B85" s="180">
        <f>'Données projet'!D88</f>
        <v>8</v>
      </c>
      <c r="C85" s="192">
        <v>22.5</v>
      </c>
      <c r="D85" s="178">
        <f>B85*C85</f>
        <v>180</v>
      </c>
      <c r="E85" s="192"/>
      <c r="F85" s="231"/>
      <c r="G85" s="204"/>
      <c r="H85" s="189"/>
      <c r="I85" s="190"/>
      <c r="J85" s="4"/>
      <c r="K85" s="172"/>
      <c r="L85" s="4"/>
      <c r="M85" s="4"/>
      <c r="N85" s="4"/>
      <c r="O85" s="193" t="e">
        <f>IF(O84+1&lt;=MIN('Données projet'!$E$9:$E$18),O84+1,"STOP")</f>
        <v>#VALUE!</v>
      </c>
      <c r="P85" s="184" t="e">
        <f t="shared" si="5"/>
        <v>#VALUE!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9">
        <f>'Données projet'!A89</f>
        <v>10</v>
      </c>
      <c r="B86" s="180">
        <f>'Données projet'!D89</f>
        <v>37</v>
      </c>
      <c r="C86" s="192">
        <v>22.5</v>
      </c>
      <c r="D86" s="178">
        <f t="shared" ref="D86:D104" si="6">B86*C86</f>
        <v>832.5</v>
      </c>
      <c r="E86" s="192"/>
      <c r="F86" s="231"/>
      <c r="G86" s="204"/>
      <c r="H86" s="189"/>
      <c r="I86" s="190"/>
      <c r="J86" s="4"/>
      <c r="K86" s="172"/>
      <c r="L86" s="4"/>
      <c r="M86" s="4"/>
      <c r="N86" s="4"/>
      <c r="O86" s="193" t="e">
        <f>IF(O85+1&lt;=MIN('Données projet'!$E$9:$E$18),O85+1,"STOP")</f>
        <v>#VALUE!</v>
      </c>
      <c r="P86" s="184" t="e">
        <f t="shared" si="5"/>
        <v>#VALUE!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9">
        <f>'Données projet'!A90</f>
        <v>15</v>
      </c>
      <c r="B87" s="180">
        <f>'Données projet'!D90</f>
        <v>29</v>
      </c>
      <c r="C87" s="192">
        <v>22.5</v>
      </c>
      <c r="D87" s="178">
        <f t="shared" si="6"/>
        <v>652.5</v>
      </c>
      <c r="E87" s="192"/>
      <c r="F87" s="231"/>
      <c r="G87" s="204"/>
      <c r="H87" s="189"/>
      <c r="I87" s="190"/>
      <c r="J87" s="4"/>
      <c r="K87" s="172"/>
      <c r="L87" s="4"/>
      <c r="M87" s="4"/>
      <c r="N87" s="4"/>
      <c r="O87" s="193" t="e">
        <f>IF(O86+1&lt;=MIN('Données projet'!$E$9:$E$18),O86+1,"STOP")</f>
        <v>#VALUE!</v>
      </c>
      <c r="P87" s="184" t="e">
        <f t="shared" si="5"/>
        <v>#VALUE!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9">
        <f>'Données projet'!A91</f>
        <v>20</v>
      </c>
      <c r="B88" s="180">
        <f>'Données projet'!D91</f>
        <v>23</v>
      </c>
      <c r="C88" s="192">
        <v>22.5</v>
      </c>
      <c r="D88" s="178">
        <f t="shared" si="6"/>
        <v>517.5</v>
      </c>
      <c r="E88" s="192"/>
      <c r="F88" s="231"/>
      <c r="G88" s="204"/>
      <c r="H88" s="189"/>
      <c r="I88" s="190"/>
      <c r="J88" s="4"/>
      <c r="K88" s="172"/>
      <c r="L88" s="4"/>
      <c r="M88" s="4"/>
      <c r="N88" s="4"/>
      <c r="O88" s="193" t="e">
        <f>IF(O87+1&lt;=MIN('Données projet'!$E$9:$E$18),O87+1,"STOP")</f>
        <v>#VALUE!</v>
      </c>
      <c r="P88" s="184" t="e">
        <f t="shared" si="5"/>
        <v>#VALUE!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9">
        <f>'Données projet'!A92</f>
        <v>25</v>
      </c>
      <c r="B89" s="180">
        <f>'Données projet'!D92</f>
        <v>18</v>
      </c>
      <c r="C89" s="192">
        <v>22.5</v>
      </c>
      <c r="D89" s="178">
        <f t="shared" si="6"/>
        <v>405</v>
      </c>
      <c r="E89" s="192"/>
      <c r="F89" s="231"/>
      <c r="G89" s="204"/>
      <c r="H89" s="189"/>
      <c r="I89" s="190"/>
      <c r="J89" s="4"/>
      <c r="K89" s="172"/>
      <c r="L89" s="4"/>
      <c r="M89" s="4"/>
      <c r="N89" s="4"/>
      <c r="O89" s="193" t="e">
        <f>IF(O88+1&lt;=MIN('Données projet'!$E$9:$E$18),O88+1,"STOP")</f>
        <v>#VALUE!</v>
      </c>
      <c r="P89" s="184" t="e">
        <f t="shared" si="5"/>
        <v>#VALUE!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9">
        <f>'Données projet'!A93</f>
        <v>30</v>
      </c>
      <c r="B90" s="180">
        <f>'Données projet'!D93</f>
        <v>14</v>
      </c>
      <c r="C90" s="192">
        <v>22.5</v>
      </c>
      <c r="D90" s="178">
        <f t="shared" si="6"/>
        <v>315</v>
      </c>
      <c r="E90" s="192"/>
      <c r="F90" s="231"/>
      <c r="G90" s="204"/>
      <c r="H90" s="189"/>
      <c r="I90" s="190"/>
      <c r="J90" s="4"/>
      <c r="K90" s="172"/>
      <c r="L90" s="4"/>
      <c r="M90" s="4"/>
      <c r="N90" s="4"/>
      <c r="O90" s="193" t="e">
        <f>IF(O89+1&lt;=MIN('Données projet'!$E$9:$E$18),O89+1,"STOP")</f>
        <v>#VALUE!</v>
      </c>
      <c r="P90" s="184" t="e">
        <f t="shared" si="5"/>
        <v>#VALUE!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9">
        <f>'Données projet'!A94</f>
        <v>35</v>
      </c>
      <c r="B91" s="180">
        <f>'Données projet'!D94</f>
        <v>11</v>
      </c>
      <c r="C91" s="190"/>
      <c r="D91" s="178">
        <f t="shared" si="6"/>
        <v>0</v>
      </c>
      <c r="E91" s="192"/>
      <c r="F91" s="231"/>
      <c r="G91" s="205"/>
      <c r="H91" s="189"/>
      <c r="I91" s="190"/>
      <c r="J91" s="4"/>
      <c r="K91" s="172"/>
      <c r="L91" s="4"/>
      <c r="M91" s="4"/>
      <c r="N91" s="4"/>
      <c r="O91" s="193" t="e">
        <f>IF(O90+1&lt;=MIN('Données projet'!$E$9:$E$18),O90+1,"STOP")</f>
        <v>#VALUE!</v>
      </c>
      <c r="P91" s="184" t="e">
        <f t="shared" si="5"/>
        <v>#VALUE!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9">
        <f>'Données projet'!A95</f>
        <v>40</v>
      </c>
      <c r="B92" s="180">
        <f>'Données projet'!D95</f>
        <v>9</v>
      </c>
      <c r="C92" s="190"/>
      <c r="D92" s="178">
        <f t="shared" si="6"/>
        <v>0</v>
      </c>
      <c r="E92" s="192"/>
      <c r="F92" s="231"/>
      <c r="G92" s="205"/>
      <c r="H92" s="189"/>
      <c r="I92" s="190"/>
      <c r="J92" s="4"/>
      <c r="K92" s="172"/>
      <c r="L92" s="4"/>
      <c r="M92" s="4"/>
      <c r="N92" s="4"/>
      <c r="O92" s="193" t="e">
        <f>IF(O91+1&lt;=MIN('Données projet'!$E$9:$E$18),O91+1,"STOP")</f>
        <v>#VALUE!</v>
      </c>
      <c r="P92" s="184" t="e">
        <f t="shared" si="5"/>
        <v>#VALUE!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9">
        <f>'Données projet'!A96</f>
        <v>45</v>
      </c>
      <c r="B93" s="180">
        <f>'Données projet'!D96</f>
        <v>9</v>
      </c>
      <c r="C93" s="190"/>
      <c r="D93" s="178">
        <f t="shared" si="6"/>
        <v>0</v>
      </c>
      <c r="E93" s="192"/>
      <c r="F93" s="231"/>
      <c r="G93" s="205"/>
      <c r="H93" s="189"/>
      <c r="I93" s="190"/>
      <c r="J93" s="4"/>
      <c r="K93" s="172"/>
      <c r="L93" s="4"/>
      <c r="M93" s="4"/>
      <c r="N93" s="4"/>
      <c r="O93" s="193" t="e">
        <f>IF(O92+1&lt;=MIN('Données projet'!$E$9:$E$18),O92+1,"STOP")</f>
        <v>#VALUE!</v>
      </c>
      <c r="P93" s="184" t="e">
        <f t="shared" si="5"/>
        <v>#VALUE!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9">
        <f>'Données projet'!A97</f>
        <v>0</v>
      </c>
      <c r="B94" s="180">
        <f>'Données projet'!D97</f>
        <v>0</v>
      </c>
      <c r="C94" s="190"/>
      <c r="D94" s="178">
        <f t="shared" si="6"/>
        <v>0</v>
      </c>
      <c r="E94" s="192"/>
      <c r="F94" s="231"/>
      <c r="G94" s="205"/>
      <c r="H94" s="189"/>
      <c r="I94" s="190"/>
      <c r="J94" s="4"/>
      <c r="K94" s="172"/>
      <c r="L94" s="4"/>
      <c r="M94" s="4"/>
      <c r="N94" s="4"/>
      <c r="O94" s="193" t="e">
        <f>IF(O93+1&lt;=MIN('Données projet'!$E$9:$E$18),O93+1,"STOP")</f>
        <v>#VALUE!</v>
      </c>
      <c r="P94" s="184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9">
        <f>'Données projet'!A98</f>
        <v>0</v>
      </c>
      <c r="B95" s="180">
        <f>'Données projet'!D98</f>
        <v>0</v>
      </c>
      <c r="C95" s="190"/>
      <c r="D95" s="178">
        <f t="shared" si="6"/>
        <v>0</v>
      </c>
      <c r="E95" s="192"/>
      <c r="F95" s="231"/>
      <c r="G95" s="205"/>
      <c r="H95" s="189"/>
      <c r="I95" s="190"/>
      <c r="J95" s="4"/>
      <c r="K95" s="172"/>
      <c r="L95" s="4"/>
      <c r="M95" s="4"/>
      <c r="N95" s="4"/>
      <c r="O95" s="193" t="e">
        <f>IF(O94+1&lt;=MIN('Données projet'!$E$9:$E$18),O94+1,"STOP")</f>
        <v>#VALUE!</v>
      </c>
      <c r="P95" s="184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9">
        <f>'Données projet'!A99</f>
        <v>0</v>
      </c>
      <c r="B96" s="180">
        <f>'Données projet'!D99</f>
        <v>0</v>
      </c>
      <c r="C96" s="190"/>
      <c r="D96" s="178">
        <f t="shared" si="6"/>
        <v>0</v>
      </c>
      <c r="E96" s="192"/>
      <c r="F96" s="231"/>
      <c r="G96" s="205"/>
      <c r="H96" s="189"/>
      <c r="I96" s="190"/>
      <c r="J96" s="4"/>
      <c r="K96" s="172"/>
      <c r="L96" s="4"/>
      <c r="M96" s="4"/>
      <c r="N96" s="4"/>
      <c r="O96" s="193" t="e">
        <f>IF(O95+1&lt;=MIN('Données projet'!$E$9:$E$18),O95+1,"STOP")</f>
        <v>#VALUE!</v>
      </c>
      <c r="P96" s="184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9">
        <f>'Données projet'!A100</f>
        <v>0</v>
      </c>
      <c r="B97" s="180">
        <f>'Données projet'!D100</f>
        <v>0</v>
      </c>
      <c r="C97" s="190"/>
      <c r="D97" s="178">
        <f t="shared" si="6"/>
        <v>0</v>
      </c>
      <c r="E97" s="192"/>
      <c r="F97" s="231"/>
      <c r="G97" s="205"/>
      <c r="H97" s="189"/>
      <c r="I97" s="190"/>
      <c r="J97" s="4"/>
      <c r="K97" s="172"/>
      <c r="L97" s="4"/>
      <c r="M97" s="4"/>
      <c r="N97" s="4"/>
      <c r="O97" s="193" t="e">
        <f>IF(O96+1&lt;=MIN('Données projet'!$E$9:$E$18),O96+1,"STOP")</f>
        <v>#VALUE!</v>
      </c>
      <c r="P97" s="184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9">
        <f>'Données projet'!A101</f>
        <v>0</v>
      </c>
      <c r="B98" s="180">
        <f>'Données projet'!D101</f>
        <v>0</v>
      </c>
      <c r="C98" s="190"/>
      <c r="D98" s="178">
        <f t="shared" si="6"/>
        <v>0</v>
      </c>
      <c r="E98" s="192"/>
      <c r="F98" s="231"/>
      <c r="G98" s="205"/>
      <c r="H98" s="189"/>
      <c r="I98" s="190"/>
      <c r="J98" s="4"/>
      <c r="K98" s="172"/>
      <c r="L98" s="4"/>
      <c r="M98" s="4"/>
      <c r="N98" s="4"/>
      <c r="O98" s="193" t="e">
        <f>IF(O97+1&lt;=MIN('Données projet'!$E$9:$E$18),O97+1,"STOP")</f>
        <v>#VALUE!</v>
      </c>
      <c r="P98" s="184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9">
        <f>'Données projet'!A102</f>
        <v>0</v>
      </c>
      <c r="B99" s="180">
        <f>'Données projet'!D102</f>
        <v>0</v>
      </c>
      <c r="C99" s="190"/>
      <c r="D99" s="178">
        <f t="shared" si="6"/>
        <v>0</v>
      </c>
      <c r="E99" s="192"/>
      <c r="F99" s="231"/>
      <c r="G99" s="205"/>
      <c r="H99" s="189"/>
      <c r="I99" s="190"/>
      <c r="J99" s="4"/>
      <c r="K99" s="172"/>
      <c r="L99" s="4"/>
      <c r="M99" s="4"/>
      <c r="N99" s="4"/>
      <c r="O99" s="193" t="e">
        <f>IF(O98+1&lt;=MIN('Données projet'!$E$9:$E$18),O98+1,"STOP")</f>
        <v>#VALUE!</v>
      </c>
      <c r="P99" s="184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9">
        <f>'Données projet'!A103</f>
        <v>0</v>
      </c>
      <c r="B100" s="180">
        <f>'Données projet'!D103</f>
        <v>0</v>
      </c>
      <c r="C100" s="190"/>
      <c r="D100" s="178">
        <f t="shared" si="6"/>
        <v>0</v>
      </c>
      <c r="E100" s="192"/>
      <c r="F100" s="231"/>
      <c r="G100" s="205"/>
      <c r="H100" s="189"/>
      <c r="I100" s="190"/>
      <c r="J100" s="4"/>
      <c r="K100" s="172"/>
      <c r="L100" s="4"/>
      <c r="M100" s="4"/>
      <c r="N100" s="4"/>
      <c r="O100" s="193" t="e">
        <f>IF(O99+1&lt;=MIN('Données projet'!$E$9:$E$18),O99+1,"STOP")</f>
        <v>#VALUE!</v>
      </c>
      <c r="P100" s="184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9">
        <f>'Données projet'!A104</f>
        <v>0</v>
      </c>
      <c r="B101" s="180">
        <f>'Données projet'!D104</f>
        <v>0</v>
      </c>
      <c r="C101" s="190"/>
      <c r="D101" s="178">
        <f t="shared" si="6"/>
        <v>0</v>
      </c>
      <c r="E101" s="192"/>
      <c r="F101" s="231"/>
      <c r="G101" s="205"/>
      <c r="H101" s="189"/>
      <c r="I101" s="190"/>
      <c r="J101" s="4"/>
      <c r="K101" s="172"/>
      <c r="L101" s="4"/>
      <c r="M101" s="4"/>
      <c r="N101" s="4"/>
      <c r="O101" s="193" t="e">
        <f>IF(O100+1&lt;=MIN('Données projet'!$E$9:$E$18),O100+1,"STOP")</f>
        <v>#VALUE!</v>
      </c>
      <c r="P101" s="184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9">
        <f>'Données projet'!A105</f>
        <v>0</v>
      </c>
      <c r="B102" s="180">
        <f>'Données projet'!D105</f>
        <v>0</v>
      </c>
      <c r="C102" s="190"/>
      <c r="D102" s="178">
        <f t="shared" si="6"/>
        <v>0</v>
      </c>
      <c r="E102" s="192"/>
      <c r="F102" s="231"/>
      <c r="G102" s="205"/>
      <c r="H102" s="189"/>
      <c r="I102" s="190"/>
      <c r="J102" s="4"/>
      <c r="K102" s="172"/>
      <c r="L102" s="4"/>
      <c r="M102" s="4"/>
      <c r="N102" s="4"/>
      <c r="O102" s="193" t="e">
        <f>IF(O101+1&lt;=MIN('Données projet'!$E$9:$E$18),O101+1,"STOP")</f>
        <v>#VALUE!</v>
      </c>
      <c r="P102" s="184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9">
        <f>'Données projet'!A106</f>
        <v>0</v>
      </c>
      <c r="B103" s="180">
        <f>'Données projet'!D106</f>
        <v>0</v>
      </c>
      <c r="C103" s="190"/>
      <c r="D103" s="178">
        <f t="shared" si="6"/>
        <v>0</v>
      </c>
      <c r="E103" s="192"/>
      <c r="F103" s="231"/>
      <c r="G103" s="205"/>
      <c r="H103" s="189"/>
      <c r="I103" s="190"/>
      <c r="J103" s="4"/>
      <c r="K103" s="172"/>
      <c r="L103" s="4"/>
      <c r="M103" s="4"/>
      <c r="N103" s="4"/>
      <c r="O103" s="193" t="e">
        <f>IF(O102+1&lt;=MIN('Données projet'!$E$9:$E$18),O102+1,"STOP")</f>
        <v>#VALUE!</v>
      </c>
      <c r="P103" s="184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9">
        <f>'Données projet'!A107</f>
        <v>0</v>
      </c>
      <c r="B104" s="180">
        <f>'Données projet'!D107</f>
        <v>0</v>
      </c>
      <c r="C104" s="190"/>
      <c r="D104" s="178">
        <f t="shared" si="6"/>
        <v>0</v>
      </c>
      <c r="E104" s="192"/>
      <c r="F104" s="231"/>
      <c r="G104" s="205"/>
      <c r="H104" s="189"/>
      <c r="I104" s="190"/>
      <c r="J104" s="4"/>
      <c r="K104" s="172"/>
      <c r="L104" s="4"/>
      <c r="M104" s="4"/>
      <c r="N104" s="4"/>
      <c r="O104" s="193" t="e">
        <f>IF(O103+1&lt;=MIN('Données projet'!$E$9:$E$18),O103+1,"STOP")</f>
        <v>#VALUE!</v>
      </c>
      <c r="P104" s="184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9"/>
      <c r="G105" s="205"/>
      <c r="H105" s="189"/>
      <c r="I105" s="190"/>
      <c r="J105" s="4"/>
      <c r="K105" s="172"/>
      <c r="L105" s="4"/>
      <c r="M105" s="4"/>
      <c r="N105" s="4"/>
      <c r="O105" s="193" t="e">
        <f>IF(O104+1&lt;=MIN('Données projet'!$E$9:$E$18),O104+1,"STOP")</f>
        <v>#VALUE!</v>
      </c>
      <c r="P105" s="184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9"/>
      <c r="G106" s="205"/>
      <c r="H106" s="189"/>
      <c r="I106" s="190"/>
      <c r="J106" s="4"/>
      <c r="K106" s="172"/>
      <c r="L106" s="4"/>
      <c r="M106" s="4"/>
      <c r="N106" s="4"/>
      <c r="O106" s="193" t="e">
        <f>IF(O105+1&lt;=MIN('Données projet'!$E$9:$E$18),O105+1,"STOP")</f>
        <v>#VALUE!</v>
      </c>
      <c r="P106" s="184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3" t="str">
        <f>IF('Données projet'!B12="","",'Données projet'!B12)</f>
        <v>Chêne rouge d'Amérique</v>
      </c>
      <c r="C107" s="4"/>
      <c r="D107" s="4"/>
      <c r="E107" s="4"/>
      <c r="F107" s="229"/>
      <c r="G107" s="205"/>
      <c r="H107" s="189"/>
      <c r="I107" s="190"/>
      <c r="J107" s="4"/>
      <c r="K107" s="172"/>
      <c r="L107" s="4"/>
      <c r="M107" s="4"/>
      <c r="N107" s="4"/>
      <c r="O107" s="193" t="e">
        <f>IF(O106+1&lt;=MIN('Données projet'!$E$9:$E$18),O106+1,"STOP")</f>
        <v>#VALUE!</v>
      </c>
      <c r="P107" s="184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9"/>
      <c r="G108" s="205"/>
      <c r="H108" s="189"/>
      <c r="I108" s="190"/>
      <c r="J108" s="4"/>
      <c r="K108" s="172"/>
      <c r="L108" s="4"/>
      <c r="M108" s="4"/>
      <c r="N108" s="4"/>
      <c r="O108" s="193" t="e">
        <f>IF(O107+1&lt;=MIN('Données projet'!$E$9:$E$18),O107+1,"STOP")</f>
        <v>#VALUE!</v>
      </c>
      <c r="P108" s="184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89"/>
      <c r="I109" s="190"/>
      <c r="J109" s="4"/>
      <c r="K109" s="172"/>
      <c r="L109" s="4"/>
      <c r="M109" s="4"/>
      <c r="N109" s="4"/>
      <c r="O109" s="193" t="e">
        <f>IF(O108+1&lt;=MIN('Données projet'!$E$9:$E$18),O108+1,"STOP")</f>
        <v>#VALUE!</v>
      </c>
      <c r="P109" s="184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8" t="s">
        <v>132</v>
      </c>
      <c r="C110" s="197" t="s">
        <v>132</v>
      </c>
      <c r="D110" s="196" t="s">
        <v>132</v>
      </c>
      <c r="E110" s="192">
        <v>4226.1400000000003</v>
      </c>
      <c r="F110" s="230"/>
      <c r="G110" s="205"/>
      <c r="H110" s="189"/>
      <c r="I110" s="190"/>
      <c r="J110" s="4"/>
      <c r="K110" s="172"/>
      <c r="L110" s="4"/>
      <c r="M110" s="4"/>
      <c r="N110" s="4"/>
      <c r="O110" s="193" t="e">
        <f>IF(O109+1&lt;=MIN('Données projet'!$E$9:$E$18),O109+1,"STOP")</f>
        <v>#VALUE!</v>
      </c>
      <c r="P110" s="184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8" t="s">
        <v>132</v>
      </c>
      <c r="C111" s="197" t="s">
        <v>132</v>
      </c>
      <c r="D111" s="196" t="s">
        <v>132</v>
      </c>
      <c r="E111" s="192"/>
      <c r="F111" s="230"/>
      <c r="G111" s="23"/>
      <c r="H111" s="189"/>
      <c r="I111" s="190"/>
      <c r="J111" s="4"/>
      <c r="K111" s="172"/>
      <c r="L111" s="4"/>
      <c r="M111" s="4"/>
      <c r="N111" s="4"/>
      <c r="O111" s="193" t="e">
        <f>IF(O110+1&lt;=MIN('Données projet'!$E$9:$E$18),O110+1,"STOP")</f>
        <v>#VALUE!</v>
      </c>
      <c r="P111" s="184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8" t="s">
        <v>132</v>
      </c>
      <c r="C112" s="197" t="s">
        <v>132</v>
      </c>
      <c r="D112" s="196" t="s">
        <v>132</v>
      </c>
      <c r="E112" s="192"/>
      <c r="F112" s="230"/>
      <c r="G112" s="23"/>
      <c r="H112" s="189"/>
      <c r="I112" s="190"/>
      <c r="J112" s="4"/>
      <c r="K112" s="172"/>
      <c r="L112" s="4"/>
      <c r="M112" s="4"/>
      <c r="N112" s="4"/>
      <c r="O112" s="193" t="e">
        <f>IF(O111+1&lt;=MIN('Données projet'!$E$9:$E$18),O111+1,"STOP")</f>
        <v>#VALUE!</v>
      </c>
      <c r="P112" s="184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8" t="s">
        <v>132</v>
      </c>
      <c r="C113" s="197" t="s">
        <v>132</v>
      </c>
      <c r="D113" s="196" t="s">
        <v>132</v>
      </c>
      <c r="E113" s="192"/>
      <c r="F113" s="230"/>
      <c r="G113" s="23"/>
      <c r="H113" s="189"/>
      <c r="I113" s="190"/>
      <c r="J113" s="4"/>
      <c r="K113" s="172"/>
      <c r="L113" s="4"/>
      <c r="M113" s="4"/>
      <c r="N113" s="4"/>
      <c r="O113" s="193" t="e">
        <f>IF(O112+1&lt;=MIN('Données projet'!$E$9:$E$18),O112+1,"STOP")</f>
        <v>#VALUE!</v>
      </c>
      <c r="P113" s="184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8" t="s">
        <v>132</v>
      </c>
      <c r="C114" s="197" t="s">
        <v>132</v>
      </c>
      <c r="D114" s="196" t="s">
        <v>132</v>
      </c>
      <c r="E114" s="192"/>
      <c r="F114" s="230"/>
      <c r="G114" s="23"/>
      <c r="H114" s="189"/>
      <c r="I114" s="190"/>
      <c r="J114" s="4"/>
      <c r="K114" s="172"/>
      <c r="L114" s="4"/>
      <c r="M114" s="4"/>
      <c r="N114" s="4"/>
      <c r="O114" s="193" t="e">
        <f>IF(O113+1&lt;=MIN('Données projet'!$E$9:$E$18),O113+1,"STOP")</f>
        <v>#VALUE!</v>
      </c>
      <c r="P114" s="184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8" t="s">
        <v>132</v>
      </c>
      <c r="C115" s="197" t="s">
        <v>132</v>
      </c>
      <c r="D115" s="196" t="s">
        <v>132</v>
      </c>
      <c r="E115" s="192"/>
      <c r="F115" s="230"/>
      <c r="G115" s="204"/>
      <c r="H115" s="189"/>
      <c r="I115" s="190"/>
      <c r="J115" s="4"/>
      <c r="K115" s="172"/>
      <c r="L115" s="4"/>
      <c r="M115" s="4"/>
      <c r="N115" s="4"/>
      <c r="O115" s="193" t="e">
        <f>IF(O114+1&lt;=MIN('Données projet'!$E$9:$E$18),O114+1,"STOP")</f>
        <v>#VALUE!</v>
      </c>
      <c r="P115" s="184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9">
        <f>'Données projet'!A114</f>
        <v>15</v>
      </c>
      <c r="B116" s="180">
        <f>'Données projet'!D114</f>
        <v>34</v>
      </c>
      <c r="C116" s="192">
        <v>22.5</v>
      </c>
      <c r="D116" s="178">
        <f>B116*C116</f>
        <v>765</v>
      </c>
      <c r="E116" s="192"/>
      <c r="F116" s="231"/>
      <c r="G116" s="204"/>
      <c r="H116" s="189"/>
      <c r="I116" s="190"/>
      <c r="J116" s="4"/>
      <c r="K116" s="172"/>
      <c r="L116" s="4"/>
      <c r="M116" s="4"/>
      <c r="N116" s="4"/>
      <c r="O116" s="193" t="e">
        <f>IF(O115+1&lt;=MIN('Données projet'!$E$9:$E$18),O115+1,"STOP")</f>
        <v>#VALUE!</v>
      </c>
      <c r="P116" s="184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9">
        <f>'Données projet'!A115</f>
        <v>20</v>
      </c>
      <c r="B117" s="180">
        <f>'Données projet'!D115</f>
        <v>50</v>
      </c>
      <c r="C117" s="192">
        <v>22.5</v>
      </c>
      <c r="D117" s="178">
        <f t="shared" ref="D117:D135" si="8">B117*C117</f>
        <v>1125</v>
      </c>
      <c r="E117" s="192"/>
      <c r="F117" s="231"/>
      <c r="G117" s="204"/>
      <c r="H117" s="189"/>
      <c r="I117" s="190"/>
      <c r="J117" s="4"/>
      <c r="K117" s="172"/>
      <c r="L117" s="4"/>
      <c r="M117" s="4"/>
      <c r="N117" s="4"/>
      <c r="O117" s="193" t="e">
        <f>IF(O116+1&lt;=MIN('Données projet'!$E$9:$E$18),O116+1,"STOP")</f>
        <v>#VALUE!</v>
      </c>
      <c r="P117" s="184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9">
        <f>'Données projet'!A116</f>
        <v>25</v>
      </c>
      <c r="B118" s="180">
        <f>'Données projet'!D116</f>
        <v>52</v>
      </c>
      <c r="C118" s="192">
        <v>22.5</v>
      </c>
      <c r="D118" s="178">
        <f t="shared" si="8"/>
        <v>1170</v>
      </c>
      <c r="E118" s="192"/>
      <c r="F118" s="231"/>
      <c r="G118" s="204"/>
      <c r="H118" s="189"/>
      <c r="I118" s="190"/>
      <c r="J118" s="4"/>
      <c r="K118" s="172"/>
      <c r="L118" s="4"/>
      <c r="M118" s="4"/>
      <c r="N118" s="4"/>
      <c r="O118" s="193" t="e">
        <f>IF(O117+1&lt;=MIN('Données projet'!$E$9:$E$18),O117+1,"STOP")</f>
        <v>#VALUE!</v>
      </c>
      <c r="P118" s="184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9">
        <f>'Données projet'!A117</f>
        <v>30</v>
      </c>
      <c r="B119" s="180">
        <f>'Données projet'!D117</f>
        <v>51</v>
      </c>
      <c r="C119" s="192">
        <v>22.5</v>
      </c>
      <c r="D119" s="178">
        <f t="shared" si="8"/>
        <v>1147.5</v>
      </c>
      <c r="E119" s="192"/>
      <c r="F119" s="231"/>
      <c r="G119" s="204"/>
      <c r="H119" s="189"/>
      <c r="I119" s="190"/>
      <c r="J119" s="4"/>
      <c r="K119" s="172"/>
      <c r="L119" s="4"/>
      <c r="M119" s="4"/>
      <c r="N119" s="4"/>
      <c r="O119" s="193" t="e">
        <f>IF(O118+1&lt;=MIN('Données projet'!$E$9:$E$18),O118+1,"STOP")</f>
        <v>#VALUE!</v>
      </c>
      <c r="P119" s="184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9">
        <f>'Données projet'!A118</f>
        <v>35</v>
      </c>
      <c r="B120" s="180">
        <f>'Données projet'!D118</f>
        <v>49</v>
      </c>
      <c r="C120" s="192"/>
      <c r="D120" s="178">
        <f t="shared" si="8"/>
        <v>0</v>
      </c>
      <c r="E120" s="192"/>
      <c r="F120" s="231"/>
      <c r="G120" s="204"/>
      <c r="H120" s="189"/>
      <c r="I120" s="190"/>
      <c r="J120" s="4"/>
      <c r="K120" s="172"/>
      <c r="L120" s="4"/>
      <c r="M120" s="4"/>
      <c r="N120" s="4"/>
      <c r="O120" s="193" t="e">
        <f>IF(O119+1&lt;=MIN('Données projet'!$E$9:$E$18),O119+1,"STOP")</f>
        <v>#VALUE!</v>
      </c>
      <c r="P120" s="184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9">
        <f>'Données projet'!A119</f>
        <v>40</v>
      </c>
      <c r="B121" s="180">
        <f>'Données projet'!D119</f>
        <v>45</v>
      </c>
      <c r="C121" s="190"/>
      <c r="D121" s="178">
        <f t="shared" si="8"/>
        <v>0</v>
      </c>
      <c r="E121" s="192"/>
      <c r="F121" s="231"/>
      <c r="G121" s="204"/>
      <c r="H121" s="189"/>
      <c r="I121" s="190"/>
      <c r="J121" s="4"/>
      <c r="K121" s="172"/>
      <c r="L121" s="4"/>
      <c r="M121" s="4"/>
      <c r="N121" s="4"/>
      <c r="O121" s="193" t="e">
        <f>IF(O120+1&lt;=MIN('Données projet'!$E$9:$E$18),O120+1,"STOP")</f>
        <v>#VALUE!</v>
      </c>
      <c r="P121" s="184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9">
        <f>'Données projet'!A120</f>
        <v>45</v>
      </c>
      <c r="B122" s="180">
        <f>'Données projet'!D120</f>
        <v>41</v>
      </c>
      <c r="C122" s="190"/>
      <c r="D122" s="178">
        <f t="shared" si="8"/>
        <v>0</v>
      </c>
      <c r="E122" s="192"/>
      <c r="F122" s="231"/>
      <c r="G122" s="205"/>
      <c r="H122" s="189"/>
      <c r="I122" s="190"/>
      <c r="J122" s="4"/>
      <c r="K122" s="172"/>
      <c r="L122" s="4"/>
      <c r="M122" s="4"/>
      <c r="N122" s="4"/>
      <c r="O122" s="193" t="e">
        <f>IF(O121+1&lt;=MIN('Données projet'!$E$9:$E$18),O121+1,"STOP")</f>
        <v>#VALUE!</v>
      </c>
      <c r="P122" s="184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9">
        <f>'Données projet'!A121</f>
        <v>50</v>
      </c>
      <c r="B123" s="180">
        <f>'Données projet'!D121</f>
        <v>37</v>
      </c>
      <c r="C123" s="190"/>
      <c r="D123" s="178">
        <f t="shared" si="8"/>
        <v>0</v>
      </c>
      <c r="E123" s="192"/>
      <c r="F123" s="231"/>
      <c r="G123" s="205"/>
      <c r="H123" s="189"/>
      <c r="I123" s="190"/>
      <c r="J123" s="4"/>
      <c r="K123" s="172"/>
      <c r="L123" s="4"/>
      <c r="M123" s="4"/>
      <c r="N123" s="4"/>
      <c r="O123" s="193" t="e">
        <f>IF(O122+1&lt;=MIN('Données projet'!$E$9:$E$18),O122+1,"STOP")</f>
        <v>#VALUE!</v>
      </c>
      <c r="P123" s="184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9">
        <f>'Données projet'!A122</f>
        <v>55</v>
      </c>
      <c r="B124" s="180">
        <f>'Données projet'!D122</f>
        <v>34</v>
      </c>
      <c r="C124" s="190"/>
      <c r="D124" s="178">
        <f t="shared" si="8"/>
        <v>0</v>
      </c>
      <c r="E124" s="192"/>
      <c r="F124" s="231"/>
      <c r="G124" s="205"/>
      <c r="H124" s="189"/>
      <c r="I124" s="190"/>
      <c r="J124" s="4"/>
      <c r="K124" s="172"/>
      <c r="L124" s="4"/>
      <c r="M124" s="4"/>
      <c r="N124" s="4"/>
      <c r="O124" s="193" t="e">
        <f>IF(O123+1&lt;=MIN('Données projet'!$E$9:$E$18),O123+1,"STOP")</f>
        <v>#VALUE!</v>
      </c>
      <c r="P124" s="184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9">
        <f>'Données projet'!A123</f>
        <v>0</v>
      </c>
      <c r="B125" s="180">
        <f>'Données projet'!D123</f>
        <v>0</v>
      </c>
      <c r="C125" s="190"/>
      <c r="D125" s="178">
        <f t="shared" si="8"/>
        <v>0</v>
      </c>
      <c r="E125" s="192"/>
      <c r="F125" s="231"/>
      <c r="G125" s="205"/>
      <c r="H125" s="189"/>
      <c r="I125" s="190"/>
      <c r="J125" s="4"/>
      <c r="K125" s="172"/>
      <c r="L125" s="4"/>
      <c r="M125" s="4"/>
      <c r="N125" s="4"/>
      <c r="O125" s="193" t="e">
        <f>IF(O124+1&lt;=MIN('Données projet'!$E$9:$E$18),O124+1,"STOP")</f>
        <v>#VALUE!</v>
      </c>
      <c r="P125" s="184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9">
        <f>'Données projet'!A124</f>
        <v>0</v>
      </c>
      <c r="B126" s="180">
        <f>'Données projet'!D124</f>
        <v>0</v>
      </c>
      <c r="C126" s="190"/>
      <c r="D126" s="178">
        <f t="shared" si="8"/>
        <v>0</v>
      </c>
      <c r="E126" s="192"/>
      <c r="F126" s="231"/>
      <c r="G126" s="205"/>
      <c r="H126" s="189"/>
      <c r="I126" s="190"/>
      <c r="J126" s="4"/>
      <c r="K126" s="172"/>
      <c r="L126" s="4"/>
      <c r="M126" s="4"/>
      <c r="N126" s="4"/>
      <c r="O126" s="193" t="e">
        <f>IF(O125+1&lt;=MIN('Données projet'!$E$9:$E$18),O125+1,"STOP")</f>
        <v>#VALUE!</v>
      </c>
      <c r="P126" s="184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9">
        <f>'Données projet'!A125</f>
        <v>0</v>
      </c>
      <c r="B127" s="180">
        <f>'Données projet'!D125</f>
        <v>0</v>
      </c>
      <c r="C127" s="190"/>
      <c r="D127" s="178">
        <f t="shared" si="8"/>
        <v>0</v>
      </c>
      <c r="E127" s="192"/>
      <c r="F127" s="231"/>
      <c r="G127" s="205"/>
      <c r="H127" s="189"/>
      <c r="I127" s="190"/>
      <c r="J127" s="4"/>
      <c r="K127" s="172"/>
      <c r="L127" s="4"/>
      <c r="M127" s="4"/>
      <c r="N127" s="4"/>
      <c r="O127" s="193" t="e">
        <f>IF(O126+1&lt;=MIN('Données projet'!$E$9:$E$18),O126+1,"STOP")</f>
        <v>#VALUE!</v>
      </c>
      <c r="P127" s="184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9">
        <f>'Données projet'!A126</f>
        <v>0</v>
      </c>
      <c r="B128" s="180">
        <f>'Données projet'!D126</f>
        <v>0</v>
      </c>
      <c r="C128" s="190"/>
      <c r="D128" s="178">
        <f t="shared" si="8"/>
        <v>0</v>
      </c>
      <c r="E128" s="192"/>
      <c r="F128" s="231"/>
      <c r="G128" s="205"/>
      <c r="H128" s="189"/>
      <c r="I128" s="190"/>
      <c r="J128" s="4"/>
      <c r="K128" s="172"/>
      <c r="L128" s="4"/>
      <c r="M128" s="4"/>
      <c r="N128" s="4"/>
      <c r="O128" s="193" t="e">
        <f>IF(O127+1&lt;=MIN('Données projet'!$E$9:$E$18),O127+1,"STOP")</f>
        <v>#VALUE!</v>
      </c>
      <c r="P128" s="184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9">
        <f>'Données projet'!A127</f>
        <v>0</v>
      </c>
      <c r="B129" s="180">
        <f>'Données projet'!D127</f>
        <v>0</v>
      </c>
      <c r="C129" s="190"/>
      <c r="D129" s="178">
        <f t="shared" si="8"/>
        <v>0</v>
      </c>
      <c r="E129" s="192"/>
      <c r="F129" s="231"/>
      <c r="G129" s="205"/>
      <c r="H129" s="189"/>
      <c r="I129" s="190"/>
      <c r="J129" s="4"/>
      <c r="K129" s="172"/>
      <c r="L129" s="4"/>
      <c r="M129" s="4"/>
      <c r="N129" s="4"/>
      <c r="O129" s="193" t="e">
        <f>IF(O128+1&lt;=MIN('Données projet'!$E$9:$E$18),O128+1,"STOP")</f>
        <v>#VALUE!</v>
      </c>
      <c r="P129" s="184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9">
        <f>'Données projet'!A128</f>
        <v>0</v>
      </c>
      <c r="B130" s="180">
        <f>'Données projet'!D128</f>
        <v>0</v>
      </c>
      <c r="C130" s="190"/>
      <c r="D130" s="178">
        <f t="shared" si="8"/>
        <v>0</v>
      </c>
      <c r="E130" s="192"/>
      <c r="F130" s="231"/>
      <c r="G130" s="205"/>
      <c r="H130" s="189"/>
      <c r="I130" s="190"/>
      <c r="J130" s="4"/>
      <c r="K130" s="172"/>
      <c r="L130" s="4"/>
      <c r="M130" s="4"/>
      <c r="N130" s="4"/>
      <c r="O130" s="193" t="e">
        <f>IF(O129+1&lt;=MIN('Données projet'!$E$9:$E$18),O129+1,"STOP")</f>
        <v>#VALUE!</v>
      </c>
      <c r="P130" s="184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9">
        <f>'Données projet'!A129</f>
        <v>0</v>
      </c>
      <c r="B131" s="180">
        <f>'Données projet'!D129</f>
        <v>0</v>
      </c>
      <c r="C131" s="190"/>
      <c r="D131" s="178">
        <f t="shared" si="8"/>
        <v>0</v>
      </c>
      <c r="E131" s="192"/>
      <c r="F131" s="231"/>
      <c r="G131" s="205"/>
      <c r="H131" s="189"/>
      <c r="I131" s="190"/>
      <c r="J131" s="4"/>
      <c r="K131" s="172"/>
      <c r="L131" s="4"/>
      <c r="M131" s="4"/>
      <c r="N131" s="4"/>
      <c r="O131" s="193" t="e">
        <f>IF(O130+1&lt;=MIN('Données projet'!$E$9:$E$18),O130+1,"STOP")</f>
        <v>#VALUE!</v>
      </c>
      <c r="P131" s="184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9">
        <f>'Données projet'!A130</f>
        <v>0</v>
      </c>
      <c r="B132" s="180">
        <f>'Données projet'!D130</f>
        <v>0</v>
      </c>
      <c r="C132" s="190"/>
      <c r="D132" s="178">
        <f t="shared" si="8"/>
        <v>0</v>
      </c>
      <c r="E132" s="192"/>
      <c r="F132" s="231"/>
      <c r="G132" s="205"/>
      <c r="H132" s="189"/>
      <c r="I132" s="190"/>
      <c r="J132" s="4"/>
      <c r="K132" s="172"/>
      <c r="L132" s="4"/>
      <c r="M132" s="4"/>
      <c r="N132" s="4"/>
      <c r="O132" s="193" t="e">
        <f>IF(O131+1&lt;=MIN('Données projet'!$E$9:$E$18),O131+1,"STOP")</f>
        <v>#VALUE!</v>
      </c>
      <c r="P132" s="184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9">
        <f>'Données projet'!A131</f>
        <v>0</v>
      </c>
      <c r="B133" s="180">
        <f>'Données projet'!D131</f>
        <v>0</v>
      </c>
      <c r="C133" s="190"/>
      <c r="D133" s="178">
        <f t="shared" si="8"/>
        <v>0</v>
      </c>
      <c r="E133" s="192"/>
      <c r="F133" s="231"/>
      <c r="G133" s="205"/>
      <c r="H133" s="189"/>
      <c r="I133" s="190"/>
      <c r="J133" s="4"/>
      <c r="K133" s="172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9">
        <f>'Données projet'!A132</f>
        <v>0</v>
      </c>
      <c r="B134" s="180">
        <f>'Données projet'!D132</f>
        <v>0</v>
      </c>
      <c r="C134" s="190"/>
      <c r="D134" s="178">
        <f t="shared" si="8"/>
        <v>0</v>
      </c>
      <c r="E134" s="192"/>
      <c r="F134" s="231"/>
      <c r="G134" s="205"/>
      <c r="H134" s="189"/>
      <c r="I134" s="190"/>
      <c r="J134" s="4"/>
      <c r="K134" s="172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9">
        <f>'Données projet'!A133</f>
        <v>0</v>
      </c>
      <c r="B135" s="180">
        <f>'Données projet'!D133</f>
        <v>0</v>
      </c>
      <c r="C135" s="190"/>
      <c r="D135" s="178">
        <f t="shared" si="8"/>
        <v>0</v>
      </c>
      <c r="E135" s="192"/>
      <c r="F135" s="231"/>
      <c r="G135" s="205"/>
      <c r="H135" s="189"/>
      <c r="I135" s="190"/>
      <c r="J135" s="4"/>
      <c r="K135" s="172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9"/>
      <c r="G136" s="205"/>
      <c r="H136" s="189"/>
      <c r="I136" s="190"/>
      <c r="J136" s="4"/>
      <c r="K136" s="172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9"/>
      <c r="G137" s="205"/>
      <c r="H137" s="189"/>
      <c r="I137" s="190"/>
      <c r="J137" s="4"/>
      <c r="K137" s="172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3" t="str">
        <f>IF('Données projet'!B13="","",'Données projet'!B13)</f>
        <v>Douglas</v>
      </c>
      <c r="C138" s="4"/>
      <c r="D138" s="4"/>
      <c r="E138" s="4"/>
      <c r="F138" s="229"/>
      <c r="G138" s="205"/>
      <c r="H138" s="189"/>
      <c r="I138" s="190"/>
      <c r="J138" s="4"/>
      <c r="K138" s="172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9"/>
      <c r="G139" s="205"/>
      <c r="H139" s="189"/>
      <c r="I139" s="190"/>
      <c r="J139" s="4"/>
      <c r="K139" s="172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89"/>
      <c r="I140" s="190"/>
      <c r="J140" s="4"/>
      <c r="K140" s="172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8" t="s">
        <v>132</v>
      </c>
      <c r="C141" s="197" t="s">
        <v>132</v>
      </c>
      <c r="D141" s="196" t="s">
        <v>132</v>
      </c>
      <c r="E141" s="192">
        <v>2136.4299999999998</v>
      </c>
      <c r="F141" s="230"/>
      <c r="G141" s="205"/>
      <c r="H141" s="189"/>
      <c r="I141" s="190"/>
      <c r="J141" s="4"/>
      <c r="K141" s="172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8" t="s">
        <v>132</v>
      </c>
      <c r="C142" s="197" t="s">
        <v>132</v>
      </c>
      <c r="D142" s="196" t="s">
        <v>132</v>
      </c>
      <c r="E142" s="192"/>
      <c r="F142" s="230"/>
      <c r="G142" s="23"/>
      <c r="H142" s="189"/>
      <c r="I142" s="190"/>
      <c r="J142" s="4"/>
      <c r="K142" s="172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8" t="s">
        <v>132</v>
      </c>
      <c r="C143" s="197" t="s">
        <v>132</v>
      </c>
      <c r="D143" s="196" t="s">
        <v>132</v>
      </c>
      <c r="E143" s="192"/>
      <c r="F143" s="230"/>
      <c r="G143" s="23"/>
      <c r="H143" s="189"/>
      <c r="I143" s="190"/>
      <c r="J143" s="4"/>
      <c r="K143" s="172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8" t="s">
        <v>132</v>
      </c>
      <c r="C144" s="197" t="s">
        <v>132</v>
      </c>
      <c r="D144" s="196" t="s">
        <v>132</v>
      </c>
      <c r="E144" s="192"/>
      <c r="F144" s="230"/>
      <c r="G144" s="23"/>
      <c r="H144" s="189"/>
      <c r="I144" s="190"/>
      <c r="J144" s="4"/>
      <c r="K144" s="172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8" t="s">
        <v>132</v>
      </c>
      <c r="C145" s="197" t="s">
        <v>132</v>
      </c>
      <c r="D145" s="196" t="s">
        <v>132</v>
      </c>
      <c r="E145" s="192"/>
      <c r="F145" s="230"/>
      <c r="G145" s="23"/>
      <c r="H145" s="189"/>
      <c r="I145" s="190"/>
      <c r="J145" s="4"/>
      <c r="K145" s="172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8" t="s">
        <v>132</v>
      </c>
      <c r="C146" s="197" t="s">
        <v>132</v>
      </c>
      <c r="D146" s="196" t="s">
        <v>132</v>
      </c>
      <c r="E146" s="192"/>
      <c r="F146" s="230"/>
      <c r="G146" s="204"/>
      <c r="H146" s="189"/>
      <c r="I146" s="190"/>
      <c r="J146" s="4"/>
      <c r="K146" s="172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15</v>
      </c>
      <c r="B147" s="174">
        <f>'Données projet'!D140</f>
        <v>0</v>
      </c>
      <c r="C147" s="192">
        <v>17</v>
      </c>
      <c r="D147" s="181">
        <f>B147*C147</f>
        <v>0</v>
      </c>
      <c r="E147" s="192"/>
      <c r="F147" s="232"/>
      <c r="G147" s="204"/>
      <c r="H147" s="189"/>
      <c r="I147" s="190"/>
      <c r="J147" s="4"/>
      <c r="K147" s="172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20</v>
      </c>
      <c r="B148" s="174">
        <f>'Données projet'!D141</f>
        <v>43</v>
      </c>
      <c r="C148" s="192">
        <v>17</v>
      </c>
      <c r="D148" s="181">
        <f t="shared" ref="D148:D166" si="10">B148*C148</f>
        <v>731</v>
      </c>
      <c r="E148" s="192"/>
      <c r="F148" s="232"/>
      <c r="G148" s="204"/>
      <c r="H148" s="189"/>
      <c r="I148" s="190"/>
      <c r="J148" s="4"/>
      <c r="K148" s="172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25</v>
      </c>
      <c r="B149" s="174">
        <f>'Données projet'!D142</f>
        <v>60</v>
      </c>
      <c r="C149" s="192">
        <v>17</v>
      </c>
      <c r="D149" s="181">
        <f t="shared" si="10"/>
        <v>1020</v>
      </c>
      <c r="E149" s="192"/>
      <c r="F149" s="232"/>
      <c r="G149" s="204"/>
      <c r="H149" s="189"/>
      <c r="I149" s="190"/>
      <c r="J149" s="4"/>
      <c r="K149" s="172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30</v>
      </c>
      <c r="B150" s="174">
        <f>'Données projet'!D143</f>
        <v>90</v>
      </c>
      <c r="C150" s="192">
        <v>17</v>
      </c>
      <c r="D150" s="181">
        <f t="shared" si="10"/>
        <v>1530</v>
      </c>
      <c r="E150" s="192"/>
      <c r="F150" s="232"/>
      <c r="G150" s="204"/>
      <c r="H150" s="189"/>
      <c r="I150" s="190"/>
      <c r="J150" s="4"/>
      <c r="K150" s="172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35</v>
      </c>
      <c r="B151" s="174">
        <f>'Données projet'!D144</f>
        <v>72</v>
      </c>
      <c r="C151" s="190"/>
      <c r="D151" s="181">
        <f t="shared" si="10"/>
        <v>0</v>
      </c>
      <c r="E151" s="192"/>
      <c r="F151" s="232"/>
      <c r="G151" s="204"/>
      <c r="H151" s="189"/>
      <c r="I151" s="190"/>
      <c r="J151" s="4"/>
      <c r="K151" s="172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40</v>
      </c>
      <c r="B152" s="174">
        <f>'Données projet'!D145</f>
        <v>77</v>
      </c>
      <c r="C152" s="190"/>
      <c r="D152" s="181">
        <f t="shared" si="10"/>
        <v>0</v>
      </c>
      <c r="E152" s="192"/>
      <c r="F152" s="232"/>
      <c r="G152" s="204"/>
      <c r="H152" s="189"/>
      <c r="I152" s="190"/>
      <c r="J152" s="4"/>
      <c r="K152" s="172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45</v>
      </c>
      <c r="B153" s="174">
        <f>'Données projet'!D146</f>
        <v>64</v>
      </c>
      <c r="C153" s="190"/>
      <c r="D153" s="181">
        <f t="shared" si="10"/>
        <v>0</v>
      </c>
      <c r="E153" s="192"/>
      <c r="F153" s="232"/>
      <c r="G153" s="202"/>
      <c r="H153" s="189"/>
      <c r="I153" s="190"/>
      <c r="J153" s="4"/>
      <c r="K153" s="172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50</v>
      </c>
      <c r="B154" s="174">
        <f>'Données projet'!D147</f>
        <v>62</v>
      </c>
      <c r="C154" s="190"/>
      <c r="D154" s="181">
        <f t="shared" si="10"/>
        <v>0</v>
      </c>
      <c r="E154" s="192"/>
      <c r="F154" s="232"/>
      <c r="G154" s="202"/>
      <c r="H154" s="189"/>
      <c r="I154" s="190"/>
      <c r="J154" s="4"/>
      <c r="K154" s="172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55</v>
      </c>
      <c r="B155" s="174">
        <f>'Données projet'!D148</f>
        <v>46</v>
      </c>
      <c r="C155" s="190"/>
      <c r="D155" s="181">
        <f t="shared" si="10"/>
        <v>0</v>
      </c>
      <c r="E155" s="192"/>
      <c r="F155" s="232"/>
      <c r="G155" s="202"/>
      <c r="H155" s="189"/>
      <c r="I155" s="190"/>
      <c r="J155" s="4"/>
      <c r="K155" s="172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60</v>
      </c>
      <c r="B156" s="174">
        <f>'Données projet'!D149</f>
        <v>35</v>
      </c>
      <c r="C156" s="190"/>
      <c r="D156" s="181">
        <f t="shared" si="10"/>
        <v>0</v>
      </c>
      <c r="E156" s="192"/>
      <c r="F156" s="232"/>
      <c r="G156" s="202"/>
      <c r="H156" s="189"/>
      <c r="I156" s="190"/>
      <c r="J156" s="4"/>
      <c r="K156" s="172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65</v>
      </c>
      <c r="B157" s="174">
        <f>'Données projet'!D150</f>
        <v>29</v>
      </c>
      <c r="C157" s="190"/>
      <c r="D157" s="181">
        <f t="shared" si="10"/>
        <v>0</v>
      </c>
      <c r="E157" s="192"/>
      <c r="F157" s="232"/>
      <c r="G157" s="202"/>
      <c r="H157" s="189"/>
      <c r="I157" s="190"/>
      <c r="J157" s="4"/>
      <c r="K157" s="172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4">
        <f>'Données projet'!D151</f>
        <v>0</v>
      </c>
      <c r="C158" s="190"/>
      <c r="D158" s="181">
        <f t="shared" si="10"/>
        <v>0</v>
      </c>
      <c r="E158" s="192"/>
      <c r="F158" s="232"/>
      <c r="G158" s="202"/>
      <c r="H158" s="189"/>
      <c r="I158" s="190"/>
      <c r="J158" s="4"/>
      <c r="K158" s="172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4">
        <f>'Données projet'!D152</f>
        <v>0</v>
      </c>
      <c r="C159" s="190"/>
      <c r="D159" s="181">
        <f t="shared" si="10"/>
        <v>0</v>
      </c>
      <c r="E159" s="192"/>
      <c r="F159" s="232"/>
      <c r="G159" s="202"/>
      <c r="H159" s="189"/>
      <c r="I159" s="190"/>
      <c r="J159" s="4"/>
      <c r="K159" s="172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4">
        <f>'Données projet'!D153</f>
        <v>0</v>
      </c>
      <c r="C160" s="190"/>
      <c r="D160" s="181">
        <f t="shared" si="10"/>
        <v>0</v>
      </c>
      <c r="E160" s="192"/>
      <c r="F160" s="232"/>
      <c r="G160" s="202"/>
      <c r="H160" s="189"/>
      <c r="I160" s="190"/>
      <c r="J160" s="4"/>
      <c r="K160" s="172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4">
        <f>'Données projet'!D154</f>
        <v>0</v>
      </c>
      <c r="C161" s="190"/>
      <c r="D161" s="181">
        <f t="shared" si="10"/>
        <v>0</v>
      </c>
      <c r="E161" s="192"/>
      <c r="F161" s="232"/>
      <c r="G161" s="202"/>
      <c r="H161" s="189"/>
      <c r="I161" s="190"/>
      <c r="J161" s="4"/>
      <c r="K161" s="172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4">
        <f>'Données projet'!D155</f>
        <v>0</v>
      </c>
      <c r="C162" s="190"/>
      <c r="D162" s="181">
        <f t="shared" si="10"/>
        <v>0</v>
      </c>
      <c r="E162" s="192"/>
      <c r="F162" s="232"/>
      <c r="G162" s="202"/>
      <c r="H162" s="189"/>
      <c r="I162" s="190"/>
      <c r="J162" s="4"/>
      <c r="K162" s="172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4">
        <f>'Données projet'!D156</f>
        <v>0</v>
      </c>
      <c r="C163" s="190"/>
      <c r="D163" s="181">
        <f t="shared" si="10"/>
        <v>0</v>
      </c>
      <c r="E163" s="192"/>
      <c r="F163" s="232"/>
      <c r="G163" s="202"/>
      <c r="H163" s="189"/>
      <c r="I163" s="190"/>
      <c r="J163" s="4"/>
      <c r="K163" s="172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4">
        <f>'Données projet'!D157</f>
        <v>0</v>
      </c>
      <c r="C164" s="190"/>
      <c r="D164" s="181">
        <f t="shared" si="10"/>
        <v>0</v>
      </c>
      <c r="E164" s="192"/>
      <c r="F164" s="232"/>
      <c r="G164" s="202"/>
      <c r="H164" s="189"/>
      <c r="I164" s="190"/>
      <c r="J164" s="4"/>
      <c r="K164" s="172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4">
        <f>'Données projet'!D158</f>
        <v>0</v>
      </c>
      <c r="C165" s="190"/>
      <c r="D165" s="181">
        <f t="shared" si="10"/>
        <v>0</v>
      </c>
      <c r="E165" s="192"/>
      <c r="F165" s="232"/>
      <c r="G165" s="202"/>
      <c r="H165" s="189"/>
      <c r="I165" s="190"/>
      <c r="J165" s="4"/>
      <c r="K165" s="172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4">
        <f>'Données projet'!D159</f>
        <v>0</v>
      </c>
      <c r="C166" s="190"/>
      <c r="D166" s="181">
        <f t="shared" si="10"/>
        <v>0</v>
      </c>
      <c r="E166" s="192"/>
      <c r="F166" s="232"/>
      <c r="G166" s="202"/>
      <c r="H166" s="189"/>
      <c r="I166" s="190"/>
      <c r="J166" s="4"/>
      <c r="K166" s="172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9"/>
      <c r="G167" s="202"/>
      <c r="H167" s="189"/>
      <c r="I167" s="190"/>
      <c r="J167" s="4"/>
      <c r="K167" s="172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9"/>
      <c r="G168" s="202"/>
      <c r="H168" s="189"/>
      <c r="I168" s="190"/>
      <c r="J168" s="4"/>
      <c r="K168" s="172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3" t="str">
        <f>IF('Données projet'!B14="","",'Données projet'!B14)</f>
        <v>Cèdre de l'Atlas</v>
      </c>
      <c r="C169" s="4"/>
      <c r="D169" s="4"/>
      <c r="E169" s="4"/>
      <c r="F169" s="229"/>
      <c r="G169" s="202"/>
      <c r="H169" s="189"/>
      <c r="I169" s="190"/>
      <c r="J169" s="4"/>
      <c r="K169" s="172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9"/>
      <c r="G170" s="202"/>
      <c r="H170" s="189"/>
      <c r="I170" s="190"/>
      <c r="J170" s="4"/>
      <c r="K170" s="172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89"/>
      <c r="I171" s="190"/>
      <c r="J171" s="4"/>
      <c r="K171" s="172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8" t="s">
        <v>132</v>
      </c>
      <c r="C172" s="197" t="s">
        <v>132</v>
      </c>
      <c r="D172" s="196" t="s">
        <v>132</v>
      </c>
      <c r="E172" s="192">
        <v>3050.7</v>
      </c>
      <c r="F172" s="230"/>
      <c r="G172" s="202"/>
      <c r="H172" s="189"/>
      <c r="I172" s="190"/>
      <c r="J172" s="4"/>
      <c r="K172" s="172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8" t="s">
        <v>132</v>
      </c>
      <c r="C173" s="197" t="s">
        <v>132</v>
      </c>
      <c r="D173" s="196" t="s">
        <v>132</v>
      </c>
      <c r="E173" s="192"/>
      <c r="F173" s="230"/>
      <c r="G173" s="23"/>
      <c r="H173" s="189"/>
      <c r="I173" s="190"/>
      <c r="J173" s="4"/>
      <c r="K173" s="172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8" t="s">
        <v>132</v>
      </c>
      <c r="C174" s="197" t="s">
        <v>132</v>
      </c>
      <c r="D174" s="196" t="s">
        <v>132</v>
      </c>
      <c r="E174" s="192"/>
      <c r="F174" s="230"/>
      <c r="G174" s="23"/>
      <c r="H174" s="189"/>
      <c r="I174" s="190"/>
      <c r="J174" s="4"/>
      <c r="K174" s="172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8" t="s">
        <v>132</v>
      </c>
      <c r="C175" s="197" t="s">
        <v>132</v>
      </c>
      <c r="D175" s="196" t="s">
        <v>132</v>
      </c>
      <c r="E175" s="192"/>
      <c r="F175" s="230"/>
      <c r="G175" s="23"/>
      <c r="H175" s="189"/>
      <c r="I175" s="190"/>
      <c r="J175" s="4"/>
      <c r="K175" s="172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8" t="s">
        <v>132</v>
      </c>
      <c r="C176" s="197" t="s">
        <v>132</v>
      </c>
      <c r="D176" s="196" t="s">
        <v>132</v>
      </c>
      <c r="E176" s="192"/>
      <c r="F176" s="230"/>
      <c r="G176" s="23"/>
      <c r="H176" s="189"/>
      <c r="I176" s="190"/>
      <c r="J176" s="4"/>
      <c r="K176" s="172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8" t="s">
        <v>132</v>
      </c>
      <c r="C177" s="197" t="s">
        <v>132</v>
      </c>
      <c r="D177" s="196" t="s">
        <v>132</v>
      </c>
      <c r="E177" s="192"/>
      <c r="F177" s="230"/>
      <c r="G177" s="204"/>
      <c r="H177" s="189"/>
      <c r="I177" s="190"/>
      <c r="J177" s="4"/>
      <c r="K177" s="172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9">
        <f>'Données projet'!A166</f>
        <v>15</v>
      </c>
      <c r="B178" s="180">
        <f>'Données projet'!D166</f>
        <v>0</v>
      </c>
      <c r="C178" s="192">
        <v>17</v>
      </c>
      <c r="D178" s="178">
        <f>B178*C178</f>
        <v>0</v>
      </c>
      <c r="E178" s="192"/>
      <c r="F178" s="231"/>
      <c r="G178" s="204"/>
      <c r="H178" s="189"/>
      <c r="I178" s="190"/>
      <c r="J178" s="4"/>
      <c r="K178" s="172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9">
        <f>'Données projet'!A167</f>
        <v>20</v>
      </c>
      <c r="B179" s="180">
        <f>'Données projet'!D167</f>
        <v>72</v>
      </c>
      <c r="C179" s="192">
        <v>17</v>
      </c>
      <c r="D179" s="178">
        <f t="shared" ref="D179:D197" si="11">B179*C179</f>
        <v>1224</v>
      </c>
      <c r="E179" s="192"/>
      <c r="F179" s="231"/>
      <c r="G179" s="204"/>
      <c r="H179" s="189"/>
      <c r="I179" s="190"/>
      <c r="J179" s="4"/>
      <c r="K179" s="172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9">
        <f>'Données projet'!A168</f>
        <v>25</v>
      </c>
      <c r="B180" s="180">
        <f>'Données projet'!D168</f>
        <v>84</v>
      </c>
      <c r="C180" s="192">
        <v>17</v>
      </c>
      <c r="D180" s="178">
        <f t="shared" si="11"/>
        <v>1428</v>
      </c>
      <c r="E180" s="192"/>
      <c r="F180" s="231"/>
      <c r="G180" s="204"/>
      <c r="H180" s="189"/>
      <c r="I180" s="190"/>
      <c r="J180" s="4"/>
      <c r="K180" s="172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9">
        <f>'Données projet'!A169</f>
        <v>30</v>
      </c>
      <c r="B181" s="180">
        <f>'Données projet'!D169</f>
        <v>84</v>
      </c>
      <c r="C181" s="192">
        <v>17</v>
      </c>
      <c r="D181" s="178">
        <f t="shared" si="11"/>
        <v>1428</v>
      </c>
      <c r="E181" s="192"/>
      <c r="F181" s="231"/>
      <c r="G181" s="204"/>
      <c r="H181" s="189"/>
      <c r="I181" s="190"/>
      <c r="J181" s="4"/>
      <c r="K181" s="172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9">
        <f>'Données projet'!A170</f>
        <v>35</v>
      </c>
      <c r="B182" s="180">
        <f>'Données projet'!D170</f>
        <v>84</v>
      </c>
      <c r="C182" s="192"/>
      <c r="D182" s="178">
        <f t="shared" si="11"/>
        <v>0</v>
      </c>
      <c r="E182" s="192"/>
      <c r="F182" s="231"/>
      <c r="G182" s="204"/>
      <c r="H182" s="189"/>
      <c r="I182" s="190"/>
      <c r="J182" s="4"/>
      <c r="K182" s="172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9">
        <f>'Données projet'!A171</f>
        <v>40</v>
      </c>
      <c r="B183" s="180">
        <f>'Données projet'!D171</f>
        <v>84</v>
      </c>
      <c r="C183" s="192"/>
      <c r="D183" s="178">
        <f t="shared" si="11"/>
        <v>0</v>
      </c>
      <c r="E183" s="192"/>
      <c r="F183" s="231"/>
      <c r="G183" s="204"/>
      <c r="H183" s="189"/>
      <c r="I183" s="190"/>
      <c r="J183" s="4"/>
      <c r="K183" s="172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9">
        <f>'Données projet'!A172</f>
        <v>45</v>
      </c>
      <c r="B184" s="180">
        <f>'Données projet'!D172</f>
        <v>84</v>
      </c>
      <c r="C184" s="192"/>
      <c r="D184" s="178">
        <f t="shared" si="11"/>
        <v>0</v>
      </c>
      <c r="E184" s="192"/>
      <c r="F184" s="231"/>
      <c r="G184" s="205"/>
      <c r="H184" s="189"/>
      <c r="I184" s="190"/>
      <c r="J184" s="4"/>
      <c r="K184" s="172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9">
        <f>'Données projet'!A173</f>
        <v>50</v>
      </c>
      <c r="B185" s="180">
        <f>'Données projet'!D173</f>
        <v>79</v>
      </c>
      <c r="C185" s="192"/>
      <c r="D185" s="178">
        <f t="shared" si="11"/>
        <v>0</v>
      </c>
      <c r="E185" s="192"/>
      <c r="F185" s="231"/>
      <c r="G185" s="205"/>
      <c r="H185" s="189"/>
      <c r="I185" s="190"/>
      <c r="J185" s="4"/>
      <c r="K185" s="172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9">
        <f>'Données projet'!A174</f>
        <v>55</v>
      </c>
      <c r="B186" s="180">
        <f>'Données projet'!D174</f>
        <v>70</v>
      </c>
      <c r="C186" s="192"/>
      <c r="D186" s="178">
        <f t="shared" si="11"/>
        <v>0</v>
      </c>
      <c r="E186" s="192"/>
      <c r="F186" s="231"/>
      <c r="G186" s="205"/>
      <c r="H186" s="189"/>
      <c r="I186" s="190"/>
      <c r="J186" s="4"/>
      <c r="K186" s="172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9">
        <f>'Données projet'!A175</f>
        <v>60</v>
      </c>
      <c r="B187" s="180">
        <f>'Données projet'!D175</f>
        <v>64</v>
      </c>
      <c r="C187" s="192"/>
      <c r="D187" s="178">
        <f t="shared" si="11"/>
        <v>0</v>
      </c>
      <c r="E187" s="192"/>
      <c r="F187" s="231"/>
      <c r="G187" s="205"/>
      <c r="H187" s="189"/>
      <c r="I187" s="190"/>
      <c r="J187" s="4"/>
      <c r="K187" s="172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9">
        <f>'Données projet'!A176</f>
        <v>65</v>
      </c>
      <c r="B188" s="180">
        <f>'Données projet'!D176</f>
        <v>60</v>
      </c>
      <c r="C188" s="192"/>
      <c r="D188" s="178">
        <f t="shared" si="11"/>
        <v>0</v>
      </c>
      <c r="E188" s="192"/>
      <c r="F188" s="231"/>
      <c r="G188" s="205"/>
      <c r="H188" s="189"/>
      <c r="I188" s="190"/>
      <c r="J188" s="4"/>
      <c r="K188" s="172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9">
        <f>'Données projet'!A177</f>
        <v>70</v>
      </c>
      <c r="B189" s="180">
        <f>'Données projet'!D177</f>
        <v>56</v>
      </c>
      <c r="C189" s="192"/>
      <c r="D189" s="178">
        <f t="shared" si="11"/>
        <v>0</v>
      </c>
      <c r="E189" s="192"/>
      <c r="F189" s="231"/>
      <c r="G189" s="205"/>
      <c r="H189" s="189"/>
      <c r="I189" s="190"/>
      <c r="J189" s="4"/>
      <c r="K189" s="172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9">
        <f>'Données projet'!A178</f>
        <v>75</v>
      </c>
      <c r="B190" s="180">
        <f>'Données projet'!D178</f>
        <v>54</v>
      </c>
      <c r="C190" s="192"/>
      <c r="D190" s="178">
        <f t="shared" si="11"/>
        <v>0</v>
      </c>
      <c r="E190" s="192"/>
      <c r="F190" s="231"/>
      <c r="G190" s="205"/>
      <c r="H190" s="189"/>
      <c r="I190" s="190"/>
      <c r="J190" s="4"/>
      <c r="K190" s="172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9">
        <f>'Données projet'!A179</f>
        <v>80</v>
      </c>
      <c r="B191" s="180">
        <f>'Données projet'!D179</f>
        <v>52</v>
      </c>
      <c r="C191" s="192"/>
      <c r="D191" s="178">
        <f t="shared" si="11"/>
        <v>0</v>
      </c>
      <c r="E191" s="192"/>
      <c r="F191" s="231"/>
      <c r="G191" s="205"/>
      <c r="H191" s="189"/>
      <c r="I191" s="190"/>
      <c r="J191" s="4"/>
      <c r="K191" s="172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9">
        <f>'Données projet'!A180</f>
        <v>0</v>
      </c>
      <c r="B192" s="180">
        <f>'Données projet'!D180</f>
        <v>0</v>
      </c>
      <c r="C192" s="192"/>
      <c r="D192" s="178">
        <f t="shared" si="11"/>
        <v>0</v>
      </c>
      <c r="E192" s="192"/>
      <c r="F192" s="231"/>
      <c r="G192" s="205"/>
      <c r="H192" s="189"/>
      <c r="I192" s="190"/>
      <c r="J192" s="4"/>
      <c r="K192" s="172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9">
        <f>'Données projet'!A181</f>
        <v>0</v>
      </c>
      <c r="B193" s="180">
        <f>'Données projet'!D181</f>
        <v>0</v>
      </c>
      <c r="C193" s="192"/>
      <c r="D193" s="178">
        <f t="shared" si="11"/>
        <v>0</v>
      </c>
      <c r="E193" s="192"/>
      <c r="F193" s="231"/>
      <c r="G193" s="205"/>
      <c r="H193" s="189"/>
      <c r="I193" s="190"/>
      <c r="J193" s="4"/>
      <c r="K193" s="172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9">
        <f>'Données projet'!A182</f>
        <v>0</v>
      </c>
      <c r="B194" s="180">
        <f>'Données projet'!D182</f>
        <v>0</v>
      </c>
      <c r="C194" s="192"/>
      <c r="D194" s="178">
        <f t="shared" si="11"/>
        <v>0</v>
      </c>
      <c r="E194" s="192"/>
      <c r="F194" s="231"/>
      <c r="G194" s="205"/>
      <c r="H194" s="189"/>
      <c r="I194" s="190"/>
      <c r="J194" s="4"/>
      <c r="K194" s="172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9">
        <f>'Données projet'!A183</f>
        <v>0</v>
      </c>
      <c r="B195" s="180">
        <f>'Données projet'!D183</f>
        <v>0</v>
      </c>
      <c r="C195" s="192"/>
      <c r="D195" s="178">
        <f t="shared" si="11"/>
        <v>0</v>
      </c>
      <c r="E195" s="192"/>
      <c r="F195" s="231"/>
      <c r="G195" s="205"/>
      <c r="H195" s="189"/>
      <c r="I195" s="190"/>
      <c r="J195" s="4"/>
      <c r="K195" s="172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9">
        <f>'Données projet'!A184</f>
        <v>0</v>
      </c>
      <c r="B196" s="180">
        <f>'Données projet'!D184</f>
        <v>0</v>
      </c>
      <c r="C196" s="192"/>
      <c r="D196" s="178">
        <f t="shared" si="11"/>
        <v>0</v>
      </c>
      <c r="E196" s="192"/>
      <c r="F196" s="231"/>
      <c r="G196" s="205"/>
      <c r="H196" s="189"/>
      <c r="I196" s="190"/>
      <c r="J196" s="4"/>
      <c r="K196" s="172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9">
        <f>'Données projet'!A185</f>
        <v>0</v>
      </c>
      <c r="B197" s="180">
        <f>'Données projet'!D185</f>
        <v>0</v>
      </c>
      <c r="C197" s="192"/>
      <c r="D197" s="178">
        <f t="shared" si="11"/>
        <v>0</v>
      </c>
      <c r="E197" s="192"/>
      <c r="F197" s="231"/>
      <c r="G197" s="205"/>
      <c r="H197" s="189"/>
      <c r="I197" s="190"/>
      <c r="J197" s="4"/>
      <c r="K197" s="172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9"/>
      <c r="G198" s="205"/>
      <c r="H198" s="189"/>
      <c r="I198" s="190"/>
      <c r="J198" s="4"/>
      <c r="K198" s="172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9"/>
      <c r="G199" s="205"/>
      <c r="H199" s="189"/>
      <c r="I199" s="190"/>
      <c r="J199" s="4"/>
      <c r="K199" s="172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3" t="str">
        <f>IF('Données projet'!$B$15="","",'Données projet'!$B$15)</f>
        <v>Alisier torminal</v>
      </c>
      <c r="C200" s="4"/>
      <c r="D200" s="4"/>
      <c r="E200" s="4"/>
      <c r="F200" s="229"/>
      <c r="G200" s="205"/>
      <c r="H200" s="189"/>
      <c r="I200" s="190"/>
      <c r="J200" s="4"/>
      <c r="K200" s="172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9"/>
      <c r="G201" s="205"/>
      <c r="H201" s="189"/>
      <c r="I201" s="190"/>
      <c r="J201" s="4"/>
      <c r="K201" s="172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89"/>
      <c r="I202" s="190"/>
      <c r="J202" s="4"/>
      <c r="K202" s="172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8" t="s">
        <v>132</v>
      </c>
      <c r="C203" s="197" t="s">
        <v>132</v>
      </c>
      <c r="D203" s="196" t="s">
        <v>132</v>
      </c>
      <c r="E203" s="192">
        <v>5474.71</v>
      </c>
      <c r="F203" s="230"/>
      <c r="G203" s="205"/>
      <c r="H203" s="189"/>
      <c r="I203" s="190"/>
      <c r="J203" s="4"/>
      <c r="K203" s="172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8" t="s">
        <v>132</v>
      </c>
      <c r="C204" s="197" t="s">
        <v>132</v>
      </c>
      <c r="D204" s="196" t="s">
        <v>132</v>
      </c>
      <c r="E204" s="192"/>
      <c r="F204" s="230"/>
      <c r="G204" s="23"/>
      <c r="H204" s="189"/>
      <c r="I204" s="190"/>
      <c r="J204" s="4"/>
      <c r="K204" s="172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8" t="s">
        <v>132</v>
      </c>
      <c r="C205" s="197" t="s">
        <v>132</v>
      </c>
      <c r="D205" s="196" t="s">
        <v>132</v>
      </c>
      <c r="E205" s="192"/>
      <c r="F205" s="230"/>
      <c r="G205" s="23"/>
      <c r="H205" s="189"/>
      <c r="I205" s="190"/>
      <c r="J205" s="4"/>
      <c r="K205" s="172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8" t="s">
        <v>132</v>
      </c>
      <c r="C206" s="197" t="s">
        <v>132</v>
      </c>
      <c r="D206" s="196" t="s">
        <v>132</v>
      </c>
      <c r="E206" s="192"/>
      <c r="F206" s="230"/>
      <c r="G206" s="23"/>
      <c r="H206" s="189"/>
      <c r="I206" s="190"/>
      <c r="J206" s="4"/>
      <c r="K206" s="172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8" t="s">
        <v>132</v>
      </c>
      <c r="C207" s="197" t="s">
        <v>132</v>
      </c>
      <c r="D207" s="196" t="s">
        <v>132</v>
      </c>
      <c r="E207" s="192"/>
      <c r="F207" s="230"/>
      <c r="G207" s="23"/>
      <c r="H207" s="189"/>
      <c r="I207" s="190"/>
      <c r="J207" s="4"/>
      <c r="K207" s="172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8" t="s">
        <v>132</v>
      </c>
      <c r="C208" s="197" t="s">
        <v>132</v>
      </c>
      <c r="D208" s="196" t="s">
        <v>132</v>
      </c>
      <c r="E208" s="192"/>
      <c r="F208" s="230"/>
      <c r="G208" s="204"/>
      <c r="H208" s="189"/>
      <c r="I208" s="190"/>
      <c r="J208" s="4"/>
      <c r="K208" s="172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9">
        <f>'Données projet'!A192</f>
        <v>10</v>
      </c>
      <c r="B209" s="180">
        <f>'Données projet'!D192</f>
        <v>7</v>
      </c>
      <c r="C209" s="192">
        <v>22.5</v>
      </c>
      <c r="D209" s="178">
        <f>B209*C209</f>
        <v>157.5</v>
      </c>
      <c r="E209" s="192"/>
      <c r="F209" s="231"/>
      <c r="G209" s="204"/>
      <c r="H209" s="189"/>
      <c r="I209" s="190"/>
      <c r="J209" s="4"/>
      <c r="K209" s="172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9">
        <f>'Données projet'!A193</f>
        <v>15</v>
      </c>
      <c r="B210" s="180">
        <f>'Données projet'!D193</f>
        <v>42</v>
      </c>
      <c r="C210" s="192">
        <v>22.5</v>
      </c>
      <c r="D210" s="178">
        <f t="shared" ref="D210:D228" si="12">B210*C210</f>
        <v>945</v>
      </c>
      <c r="E210" s="192"/>
      <c r="F210" s="231"/>
      <c r="G210" s="204"/>
      <c r="H210" s="189"/>
      <c r="I210" s="190"/>
      <c r="J210" s="4"/>
      <c r="K210" s="172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9">
        <f>'Données projet'!A194</f>
        <v>20</v>
      </c>
      <c r="B211" s="180">
        <f>'Données projet'!D194</f>
        <v>42</v>
      </c>
      <c r="C211" s="192">
        <v>22.5</v>
      </c>
      <c r="D211" s="178">
        <f t="shared" si="12"/>
        <v>945</v>
      </c>
      <c r="E211" s="192"/>
      <c r="F211" s="231"/>
      <c r="G211" s="204"/>
      <c r="H211" s="189"/>
      <c r="I211" s="190"/>
      <c r="J211" s="4"/>
      <c r="K211" s="172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9">
        <f>'Données projet'!A195</f>
        <v>25</v>
      </c>
      <c r="B212" s="180">
        <f>'Données projet'!D195</f>
        <v>42</v>
      </c>
      <c r="C212" s="192">
        <v>22.5</v>
      </c>
      <c r="D212" s="178">
        <f t="shared" si="12"/>
        <v>945</v>
      </c>
      <c r="E212" s="192"/>
      <c r="F212" s="231"/>
      <c r="G212" s="204"/>
      <c r="H212" s="189"/>
      <c r="I212" s="190"/>
      <c r="J212" s="4"/>
      <c r="K212" s="172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9">
        <f>'Données projet'!A196</f>
        <v>30</v>
      </c>
      <c r="B213" s="180">
        <f>'Données projet'!D196</f>
        <v>42</v>
      </c>
      <c r="C213" s="192">
        <v>22.5</v>
      </c>
      <c r="D213" s="178">
        <f t="shared" si="12"/>
        <v>945</v>
      </c>
      <c r="E213" s="192"/>
      <c r="F213" s="231"/>
      <c r="G213" s="204"/>
      <c r="H213" s="189"/>
      <c r="I213" s="190"/>
      <c r="J213" s="4"/>
      <c r="K213" s="172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9">
        <f>'Données projet'!A197</f>
        <v>35</v>
      </c>
      <c r="B214" s="180">
        <f>'Données projet'!D197</f>
        <v>42</v>
      </c>
      <c r="C214" s="192"/>
      <c r="D214" s="178">
        <f t="shared" si="12"/>
        <v>0</v>
      </c>
      <c r="E214" s="192"/>
      <c r="F214" s="231"/>
      <c r="G214" s="204"/>
      <c r="H214" s="189"/>
      <c r="I214" s="190"/>
      <c r="J214" s="4"/>
      <c r="K214" s="172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9">
        <f>'Données projet'!A198</f>
        <v>40</v>
      </c>
      <c r="B215" s="180">
        <f>'Données projet'!D198</f>
        <v>40</v>
      </c>
      <c r="C215" s="192"/>
      <c r="D215" s="178">
        <f t="shared" si="12"/>
        <v>0</v>
      </c>
      <c r="E215" s="192"/>
      <c r="F215" s="231"/>
      <c r="G215" s="205"/>
      <c r="H215" s="189"/>
      <c r="I215" s="190"/>
      <c r="J215" s="4"/>
      <c r="K215" s="172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9">
        <f>'Données projet'!A199</f>
        <v>45</v>
      </c>
      <c r="B216" s="180">
        <f>'Données projet'!D199</f>
        <v>26</v>
      </c>
      <c r="C216" s="192"/>
      <c r="D216" s="178">
        <f t="shared" si="12"/>
        <v>0</v>
      </c>
      <c r="E216" s="192"/>
      <c r="F216" s="231"/>
      <c r="G216" s="205"/>
      <c r="H216" s="189"/>
      <c r="I216" s="190"/>
      <c r="J216" s="4"/>
      <c r="K216" s="172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9">
        <f>'Données projet'!A200</f>
        <v>50</v>
      </c>
      <c r="B217" s="180">
        <f>'Données projet'!D200</f>
        <v>21</v>
      </c>
      <c r="C217" s="192"/>
      <c r="D217" s="178">
        <f t="shared" si="12"/>
        <v>0</v>
      </c>
      <c r="E217" s="192"/>
      <c r="F217" s="231"/>
      <c r="G217" s="205"/>
      <c r="H217" s="189"/>
      <c r="I217" s="190"/>
      <c r="J217" s="4"/>
      <c r="K217" s="172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9">
        <f>'Données projet'!A201</f>
        <v>55</v>
      </c>
      <c r="B218" s="180">
        <f>'Données projet'!D201</f>
        <v>18</v>
      </c>
      <c r="C218" s="192"/>
      <c r="D218" s="178">
        <f t="shared" si="12"/>
        <v>0</v>
      </c>
      <c r="E218" s="192"/>
      <c r="F218" s="231"/>
      <c r="G218" s="205"/>
      <c r="H218" s="189"/>
      <c r="I218" s="190"/>
      <c r="J218" s="4"/>
      <c r="K218" s="172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9">
        <f>'Données projet'!A202</f>
        <v>60</v>
      </c>
      <c r="B219" s="180">
        <f>'Données projet'!D202</f>
        <v>17</v>
      </c>
      <c r="C219" s="192"/>
      <c r="D219" s="178">
        <f t="shared" si="12"/>
        <v>0</v>
      </c>
      <c r="E219" s="192"/>
      <c r="F219" s="231"/>
      <c r="G219" s="205"/>
      <c r="H219" s="189"/>
      <c r="I219" s="190"/>
      <c r="J219" s="4"/>
      <c r="K219" s="172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9">
        <f>'Données projet'!A203</f>
        <v>65</v>
      </c>
      <c r="B220" s="180">
        <f>'Données projet'!D203</f>
        <v>16</v>
      </c>
      <c r="C220" s="192"/>
      <c r="D220" s="178">
        <f t="shared" si="12"/>
        <v>0</v>
      </c>
      <c r="E220" s="192"/>
      <c r="F220" s="231"/>
      <c r="G220" s="205"/>
      <c r="H220" s="4"/>
      <c r="I220" s="4"/>
      <c r="J220" s="4"/>
      <c r="K220" s="172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9">
        <f>'Données projet'!A204</f>
        <v>70</v>
      </c>
      <c r="B221" s="180">
        <f>'Données projet'!D204</f>
        <v>15</v>
      </c>
      <c r="C221" s="192"/>
      <c r="D221" s="178">
        <f t="shared" si="12"/>
        <v>0</v>
      </c>
      <c r="E221" s="192"/>
      <c r="F221" s="231"/>
      <c r="G221" s="205"/>
      <c r="H221" s="4"/>
      <c r="I221" s="4"/>
      <c r="J221" s="4"/>
      <c r="K221" s="172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9">
        <f>'Données projet'!A205</f>
        <v>75</v>
      </c>
      <c r="B222" s="180">
        <f>'Données projet'!D205</f>
        <v>14</v>
      </c>
      <c r="C222" s="192"/>
      <c r="D222" s="178">
        <f t="shared" si="12"/>
        <v>0</v>
      </c>
      <c r="E222" s="192"/>
      <c r="F222" s="231"/>
      <c r="G222" s="205"/>
      <c r="H222" s="4"/>
      <c r="I222" s="4"/>
      <c r="J222" s="4"/>
      <c r="K222" s="172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9">
        <f>'Données projet'!A206</f>
        <v>80</v>
      </c>
      <c r="B223" s="180">
        <f>'Données projet'!D206</f>
        <v>13</v>
      </c>
      <c r="C223" s="192"/>
      <c r="D223" s="178">
        <f t="shared" si="12"/>
        <v>0</v>
      </c>
      <c r="E223" s="192"/>
      <c r="F223" s="231"/>
      <c r="G223" s="205"/>
      <c r="H223" s="4"/>
      <c r="I223" s="4"/>
      <c r="J223" s="4"/>
      <c r="K223" s="172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9">
        <f>'Données projet'!A207</f>
        <v>0</v>
      </c>
      <c r="B224" s="180">
        <f>'Données projet'!D207</f>
        <v>0</v>
      </c>
      <c r="C224" s="192"/>
      <c r="D224" s="178">
        <f t="shared" si="12"/>
        <v>0</v>
      </c>
      <c r="E224" s="192"/>
      <c r="F224" s="231"/>
      <c r="G224" s="205"/>
      <c r="H224" s="4"/>
      <c r="I224" s="4"/>
      <c r="J224" s="4"/>
      <c r="K224" s="172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9">
        <f>'Données projet'!A208</f>
        <v>0</v>
      </c>
      <c r="B225" s="180">
        <f>'Données projet'!D208</f>
        <v>0</v>
      </c>
      <c r="C225" s="192"/>
      <c r="D225" s="178">
        <f t="shared" si="12"/>
        <v>0</v>
      </c>
      <c r="E225" s="192"/>
      <c r="F225" s="231"/>
      <c r="G225" s="205"/>
      <c r="H225" s="4"/>
      <c r="I225" s="4"/>
      <c r="J225" s="4"/>
      <c r="K225" s="172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9">
        <f>'Données projet'!A209</f>
        <v>0</v>
      </c>
      <c r="B226" s="180">
        <f>'Données projet'!D209</f>
        <v>0</v>
      </c>
      <c r="C226" s="192"/>
      <c r="D226" s="178">
        <f t="shared" si="12"/>
        <v>0</v>
      </c>
      <c r="E226" s="192"/>
      <c r="F226" s="231"/>
      <c r="G226" s="205"/>
      <c r="H226" s="4"/>
      <c r="I226" s="4"/>
      <c r="J226" s="4"/>
      <c r="K226" s="172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9">
        <f>'Données projet'!A210</f>
        <v>0</v>
      </c>
      <c r="B227" s="180">
        <f>'Données projet'!D210</f>
        <v>0</v>
      </c>
      <c r="C227" s="192"/>
      <c r="D227" s="178">
        <f t="shared" si="12"/>
        <v>0</v>
      </c>
      <c r="E227" s="192"/>
      <c r="F227" s="231"/>
      <c r="G227" s="205"/>
      <c r="H227" s="4"/>
      <c r="I227" s="4"/>
      <c r="J227" s="4"/>
      <c r="K227" s="172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9">
        <f>'Données projet'!A211</f>
        <v>0</v>
      </c>
      <c r="B228" s="180">
        <f>'Données projet'!D211</f>
        <v>0</v>
      </c>
      <c r="C228" s="192"/>
      <c r="D228" s="178">
        <f t="shared" si="12"/>
        <v>0</v>
      </c>
      <c r="E228" s="192"/>
      <c r="F228" s="231"/>
      <c r="G228" s="205"/>
      <c r="H228" s="4"/>
      <c r="I228" s="4"/>
      <c r="J228" s="4"/>
      <c r="K228" s="172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2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2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3" t="str">
        <f>IF('Données projet'!$B$16="","",'Données projet'!$B$16)</f>
        <v>Cormier</v>
      </c>
      <c r="C231" s="4"/>
      <c r="D231" s="4"/>
      <c r="E231" s="4"/>
      <c r="F231" s="229"/>
      <c r="G231" s="205"/>
      <c r="H231" s="4"/>
      <c r="I231" s="4"/>
      <c r="J231" s="4"/>
      <c r="K231" s="172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2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2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8" t="s">
        <v>132</v>
      </c>
      <c r="C234" s="197" t="s">
        <v>132</v>
      </c>
      <c r="D234" s="196" t="s">
        <v>132</v>
      </c>
      <c r="E234" s="192">
        <v>6094.85</v>
      </c>
      <c r="F234" s="230"/>
      <c r="G234" s="205"/>
      <c r="H234" s="4"/>
      <c r="I234" s="4"/>
      <c r="J234" s="4"/>
      <c r="K234" s="172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8" t="s">
        <v>132</v>
      </c>
      <c r="C235" s="197" t="s">
        <v>132</v>
      </c>
      <c r="D235" s="196" t="s">
        <v>132</v>
      </c>
      <c r="E235" s="192"/>
      <c r="F235" s="230"/>
      <c r="G235" s="23"/>
      <c r="H235" s="4"/>
      <c r="I235" s="4"/>
      <c r="J235" s="4"/>
      <c r="K235" s="172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8" t="s">
        <v>132</v>
      </c>
      <c r="C236" s="197" t="s">
        <v>132</v>
      </c>
      <c r="D236" s="196" t="s">
        <v>132</v>
      </c>
      <c r="E236" s="192"/>
      <c r="F236" s="230"/>
      <c r="G236" s="23"/>
      <c r="H236" s="4"/>
      <c r="I236" s="4"/>
      <c r="J236" s="4"/>
      <c r="K236" s="172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8" t="s">
        <v>132</v>
      </c>
      <c r="C237" s="197" t="s">
        <v>132</v>
      </c>
      <c r="D237" s="196" t="s">
        <v>132</v>
      </c>
      <c r="E237" s="192"/>
      <c r="F237" s="230"/>
      <c r="G237" s="23"/>
      <c r="H237" s="4"/>
      <c r="I237" s="4"/>
      <c r="J237" s="4"/>
      <c r="K237" s="172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8" t="s">
        <v>132</v>
      </c>
      <c r="C238" s="197" t="s">
        <v>132</v>
      </c>
      <c r="D238" s="196" t="s">
        <v>132</v>
      </c>
      <c r="E238" s="192"/>
      <c r="F238" s="230"/>
      <c r="G238" s="23"/>
      <c r="H238" s="4"/>
      <c r="I238" s="4"/>
      <c r="J238" s="4"/>
      <c r="K238" s="172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8" t="s">
        <v>132</v>
      </c>
      <c r="C239" s="197" t="s">
        <v>132</v>
      </c>
      <c r="D239" s="196" t="s">
        <v>132</v>
      </c>
      <c r="E239" s="192"/>
      <c r="F239" s="230"/>
      <c r="G239" s="204"/>
      <c r="H239" s="4"/>
      <c r="I239" s="4"/>
      <c r="J239" s="4"/>
      <c r="K239" s="172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9">
        <f>'Données projet'!A218</f>
        <v>10</v>
      </c>
      <c r="B240" s="180">
        <f>'Données projet'!D218</f>
        <v>7</v>
      </c>
      <c r="C240" s="192">
        <v>22.5</v>
      </c>
      <c r="D240" s="178">
        <f>B240*C240</f>
        <v>157.5</v>
      </c>
      <c r="E240" s="192"/>
      <c r="F240" s="231"/>
      <c r="G240" s="204"/>
      <c r="H240" s="4"/>
      <c r="I240" s="4"/>
      <c r="J240" s="4"/>
      <c r="K240" s="172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9">
        <f>'Données projet'!A219</f>
        <v>15</v>
      </c>
      <c r="B241" s="180">
        <f>'Données projet'!D219</f>
        <v>42</v>
      </c>
      <c r="C241" s="192">
        <v>22.5</v>
      </c>
      <c r="D241" s="178">
        <f t="shared" ref="D241:D259" si="13">B241*C241</f>
        <v>945</v>
      </c>
      <c r="E241" s="192"/>
      <c r="F241" s="231"/>
      <c r="G241" s="204"/>
      <c r="H241" s="4"/>
      <c r="I241" s="4"/>
      <c r="J241" s="4"/>
      <c r="K241" s="172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9">
        <f>'Données projet'!A220</f>
        <v>20</v>
      </c>
      <c r="B242" s="180">
        <f>'Données projet'!D220</f>
        <v>42</v>
      </c>
      <c r="C242" s="192">
        <v>22.5</v>
      </c>
      <c r="D242" s="178">
        <f t="shared" si="13"/>
        <v>945</v>
      </c>
      <c r="E242" s="192"/>
      <c r="F242" s="231"/>
      <c r="G242" s="204"/>
      <c r="H242" s="4"/>
      <c r="I242" s="4"/>
      <c r="J242" s="4"/>
      <c r="K242" s="172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9">
        <f>'Données projet'!A221</f>
        <v>25</v>
      </c>
      <c r="B243" s="180">
        <f>'Données projet'!D221</f>
        <v>42</v>
      </c>
      <c r="C243" s="192">
        <v>22.5</v>
      </c>
      <c r="D243" s="178">
        <f t="shared" si="13"/>
        <v>945</v>
      </c>
      <c r="E243" s="192"/>
      <c r="F243" s="231"/>
      <c r="G243" s="204"/>
      <c r="H243" s="4"/>
      <c r="I243" s="4"/>
      <c r="J243" s="4"/>
      <c r="K243" s="172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9">
        <f>'Données projet'!A222</f>
        <v>30</v>
      </c>
      <c r="B244" s="180">
        <f>'Données projet'!D222</f>
        <v>42</v>
      </c>
      <c r="C244" s="192">
        <v>22.5</v>
      </c>
      <c r="D244" s="178">
        <f t="shared" si="13"/>
        <v>945</v>
      </c>
      <c r="E244" s="192"/>
      <c r="F244" s="231"/>
      <c r="G244" s="204"/>
      <c r="H244" s="4"/>
      <c r="I244" s="4"/>
      <c r="J244" s="4"/>
      <c r="K244" s="172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9">
        <f>'Données projet'!A223</f>
        <v>35</v>
      </c>
      <c r="B245" s="180">
        <f>'Données projet'!D223</f>
        <v>42</v>
      </c>
      <c r="C245" s="192"/>
      <c r="D245" s="178">
        <f t="shared" si="13"/>
        <v>0</v>
      </c>
      <c r="E245" s="192"/>
      <c r="F245" s="231"/>
      <c r="G245" s="204"/>
      <c r="H245" s="4"/>
      <c r="I245" s="4"/>
      <c r="J245" s="4"/>
      <c r="K245" s="172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9">
        <f>'Données projet'!A224</f>
        <v>40</v>
      </c>
      <c r="B246" s="180">
        <f>'Données projet'!D224</f>
        <v>40</v>
      </c>
      <c r="C246" s="192"/>
      <c r="D246" s="178">
        <f t="shared" si="13"/>
        <v>0</v>
      </c>
      <c r="E246" s="192"/>
      <c r="F246" s="231"/>
      <c r="G246" s="205"/>
      <c r="H246" s="4"/>
      <c r="I246" s="4"/>
      <c r="J246" s="4"/>
      <c r="K246" s="172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9">
        <f>'Données projet'!A225</f>
        <v>45</v>
      </c>
      <c r="B247" s="180">
        <f>'Données projet'!D225</f>
        <v>26</v>
      </c>
      <c r="C247" s="192"/>
      <c r="D247" s="178">
        <f t="shared" si="13"/>
        <v>0</v>
      </c>
      <c r="E247" s="192"/>
      <c r="F247" s="231"/>
      <c r="G247" s="205"/>
      <c r="H247" s="4"/>
      <c r="I247" s="4"/>
      <c r="J247" s="4"/>
      <c r="K247" s="172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9">
        <f>'Données projet'!A226</f>
        <v>50</v>
      </c>
      <c r="B248" s="180">
        <f>'Données projet'!D226</f>
        <v>21</v>
      </c>
      <c r="C248" s="192"/>
      <c r="D248" s="178">
        <f t="shared" si="13"/>
        <v>0</v>
      </c>
      <c r="E248" s="192"/>
      <c r="F248" s="231"/>
      <c r="G248" s="205"/>
      <c r="H248" s="4"/>
      <c r="I248" s="4"/>
      <c r="J248" s="4"/>
      <c r="K248" s="172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9">
        <f>'Données projet'!A227</f>
        <v>55</v>
      </c>
      <c r="B249" s="180">
        <f>'Données projet'!D227</f>
        <v>18</v>
      </c>
      <c r="C249" s="192"/>
      <c r="D249" s="178">
        <f t="shared" si="13"/>
        <v>0</v>
      </c>
      <c r="E249" s="192"/>
      <c r="F249" s="231"/>
      <c r="G249" s="205"/>
      <c r="H249" s="4"/>
      <c r="I249" s="4"/>
      <c r="J249" s="4"/>
      <c r="K249" s="172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9">
        <f>'Données projet'!A228</f>
        <v>60</v>
      </c>
      <c r="B250" s="180">
        <f>'Données projet'!D228</f>
        <v>17</v>
      </c>
      <c r="C250" s="192"/>
      <c r="D250" s="178">
        <f t="shared" si="13"/>
        <v>0</v>
      </c>
      <c r="E250" s="192"/>
      <c r="F250" s="231"/>
      <c r="G250" s="205"/>
      <c r="H250" s="4"/>
      <c r="I250" s="4"/>
      <c r="J250" s="4"/>
      <c r="K250" s="172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9">
        <f>'Données projet'!A229</f>
        <v>65</v>
      </c>
      <c r="B251" s="180">
        <f>'Données projet'!D229</f>
        <v>16</v>
      </c>
      <c r="C251" s="192"/>
      <c r="D251" s="178">
        <f t="shared" si="13"/>
        <v>0</v>
      </c>
      <c r="E251" s="192"/>
      <c r="F251" s="231"/>
      <c r="G251" s="205"/>
      <c r="H251" s="4"/>
      <c r="I251" s="4"/>
      <c r="J251" s="4"/>
      <c r="K251" s="172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9">
        <f>'Données projet'!A230</f>
        <v>70</v>
      </c>
      <c r="B252" s="180">
        <f>'Données projet'!D230</f>
        <v>15</v>
      </c>
      <c r="C252" s="192"/>
      <c r="D252" s="178">
        <f t="shared" si="13"/>
        <v>0</v>
      </c>
      <c r="E252" s="192"/>
      <c r="F252" s="231"/>
      <c r="G252" s="205"/>
      <c r="H252" s="4"/>
      <c r="I252" s="4"/>
      <c r="J252" s="4"/>
      <c r="K252" s="172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9">
        <f>'Données projet'!A231</f>
        <v>75</v>
      </c>
      <c r="B253" s="180">
        <f>'Données projet'!D231</f>
        <v>14</v>
      </c>
      <c r="C253" s="192"/>
      <c r="D253" s="178">
        <f t="shared" si="13"/>
        <v>0</v>
      </c>
      <c r="E253" s="192"/>
      <c r="F253" s="231"/>
      <c r="G253" s="205"/>
      <c r="H253" s="4"/>
      <c r="I253" s="4"/>
      <c r="J253" s="4"/>
      <c r="K253" s="172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9">
        <f>'Données projet'!A232</f>
        <v>80</v>
      </c>
      <c r="B254" s="180">
        <f>'Données projet'!D232</f>
        <v>13</v>
      </c>
      <c r="C254" s="192"/>
      <c r="D254" s="178">
        <f t="shared" si="13"/>
        <v>0</v>
      </c>
      <c r="E254" s="192"/>
      <c r="F254" s="231"/>
      <c r="G254" s="205"/>
      <c r="H254" s="4"/>
      <c r="I254" s="4"/>
      <c r="J254" s="4"/>
      <c r="K254" s="172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9">
        <f>'Données projet'!A233</f>
        <v>0</v>
      </c>
      <c r="B255" s="180">
        <f>'Données projet'!D233</f>
        <v>0</v>
      </c>
      <c r="C255" s="192"/>
      <c r="D255" s="178">
        <f t="shared" si="13"/>
        <v>0</v>
      </c>
      <c r="E255" s="192"/>
      <c r="F255" s="231"/>
      <c r="G255" s="205"/>
      <c r="H255" s="4"/>
      <c r="I255" s="4"/>
      <c r="J255" s="4"/>
      <c r="K255" s="172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9">
        <f>'Données projet'!A234</f>
        <v>0</v>
      </c>
      <c r="B256" s="180">
        <f>'Données projet'!D234</f>
        <v>0</v>
      </c>
      <c r="C256" s="192"/>
      <c r="D256" s="178">
        <f t="shared" si="13"/>
        <v>0</v>
      </c>
      <c r="E256" s="192"/>
      <c r="F256" s="231"/>
      <c r="G256" s="205"/>
      <c r="H256" s="4"/>
      <c r="I256" s="4"/>
      <c r="J256" s="4"/>
      <c r="K256" s="172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9">
        <f>'Données projet'!A235</f>
        <v>0</v>
      </c>
      <c r="B257" s="180">
        <f>'Données projet'!D235</f>
        <v>0</v>
      </c>
      <c r="C257" s="192"/>
      <c r="D257" s="178">
        <f t="shared" si="13"/>
        <v>0</v>
      </c>
      <c r="E257" s="192"/>
      <c r="F257" s="231"/>
      <c r="G257" s="205"/>
      <c r="H257" s="4"/>
      <c r="I257" s="4"/>
      <c r="J257" s="4"/>
      <c r="K257" s="172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9">
        <f>'Données projet'!A236</f>
        <v>0</v>
      </c>
      <c r="B258" s="180">
        <f>'Données projet'!D236</f>
        <v>0</v>
      </c>
      <c r="C258" s="192"/>
      <c r="D258" s="178">
        <f t="shared" si="13"/>
        <v>0</v>
      </c>
      <c r="E258" s="192"/>
      <c r="F258" s="231"/>
      <c r="G258" s="205"/>
      <c r="H258" s="4"/>
      <c r="I258" s="4"/>
      <c r="J258" s="4"/>
      <c r="K258" s="172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9">
        <f>'Données projet'!A237</f>
        <v>0</v>
      </c>
      <c r="B259" s="180">
        <f>'Données projet'!D237</f>
        <v>0</v>
      </c>
      <c r="C259" s="192"/>
      <c r="D259" s="178">
        <f t="shared" si="13"/>
        <v>0</v>
      </c>
      <c r="E259" s="192"/>
      <c r="F259" s="231"/>
      <c r="G259" s="205"/>
      <c r="H259" s="4"/>
      <c r="I259" s="4"/>
      <c r="J259" s="4"/>
      <c r="K259" s="172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2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2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3" t="str">
        <f>IF('Données projet'!$B$17="","",'Données projet'!$B$17)</f>
        <v>Charme</v>
      </c>
      <c r="C262" s="4"/>
      <c r="D262" s="4"/>
      <c r="E262" s="4"/>
      <c r="F262" s="229"/>
      <c r="G262" s="205"/>
      <c r="H262" s="4"/>
      <c r="I262" s="4"/>
      <c r="J262" s="4"/>
      <c r="K262" s="172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2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2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8" t="s">
        <v>132</v>
      </c>
      <c r="C265" s="197" t="s">
        <v>132</v>
      </c>
      <c r="D265" s="196" t="s">
        <v>132</v>
      </c>
      <c r="E265" s="192">
        <v>2494.0100000000002</v>
      </c>
      <c r="F265" s="230"/>
      <c r="G265" s="205"/>
      <c r="H265" s="4"/>
      <c r="I265" s="4"/>
      <c r="J265" s="4"/>
      <c r="K265" s="172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8" t="s">
        <v>132</v>
      </c>
      <c r="C266" s="197" t="s">
        <v>132</v>
      </c>
      <c r="D266" s="196" t="s">
        <v>132</v>
      </c>
      <c r="E266" s="192"/>
      <c r="F266" s="230"/>
      <c r="G266" s="23"/>
      <c r="H266" s="4"/>
      <c r="I266" s="4"/>
      <c r="J266" s="4"/>
      <c r="K266" s="172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8" t="s">
        <v>132</v>
      </c>
      <c r="C267" s="197" t="s">
        <v>132</v>
      </c>
      <c r="D267" s="196" t="s">
        <v>132</v>
      </c>
      <c r="E267" s="192"/>
      <c r="F267" s="230"/>
      <c r="G267" s="23"/>
      <c r="H267" s="4"/>
      <c r="I267" s="4"/>
      <c r="J267" s="4"/>
      <c r="K267" s="172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8" t="s">
        <v>132</v>
      </c>
      <c r="C268" s="197" t="s">
        <v>132</v>
      </c>
      <c r="D268" s="196" t="s">
        <v>132</v>
      </c>
      <c r="E268" s="192"/>
      <c r="F268" s="230"/>
      <c r="G268" s="23"/>
      <c r="H268" s="4"/>
      <c r="I268" s="4"/>
      <c r="J268" s="4"/>
      <c r="K268" s="172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8" t="s">
        <v>132</v>
      </c>
      <c r="C269" s="197" t="s">
        <v>132</v>
      </c>
      <c r="D269" s="196" t="s">
        <v>132</v>
      </c>
      <c r="E269" s="192"/>
      <c r="F269" s="230"/>
      <c r="G269" s="23"/>
      <c r="H269" s="4"/>
      <c r="I269" s="4"/>
      <c r="J269" s="4"/>
      <c r="K269" s="172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8" t="s">
        <v>132</v>
      </c>
      <c r="C270" s="197" t="s">
        <v>132</v>
      </c>
      <c r="D270" s="196" t="s">
        <v>132</v>
      </c>
      <c r="E270" s="192"/>
      <c r="F270" s="230"/>
      <c r="G270" s="204"/>
      <c r="H270" s="4"/>
      <c r="I270" s="4"/>
      <c r="J270" s="4"/>
      <c r="K270" s="172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9">
        <f>'Données projet'!A244</f>
        <v>10</v>
      </c>
      <c r="B271" s="180">
        <f>'Données projet'!D244</f>
        <v>10</v>
      </c>
      <c r="C271" s="192">
        <v>22.5</v>
      </c>
      <c r="D271" s="178">
        <f>B271*C271</f>
        <v>225</v>
      </c>
      <c r="E271" s="192"/>
      <c r="F271" s="231"/>
      <c r="G271" s="204"/>
      <c r="H271" s="4"/>
      <c r="I271" s="4"/>
      <c r="J271" s="4"/>
      <c r="K271" s="172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9">
        <f>'Données projet'!A245</f>
        <v>15</v>
      </c>
      <c r="B272" s="180">
        <f>'Données projet'!D245</f>
        <v>18</v>
      </c>
      <c r="C272" s="192">
        <v>22.5</v>
      </c>
      <c r="D272" s="178">
        <f t="shared" ref="D272:D290" si="14">B272*C272</f>
        <v>405</v>
      </c>
      <c r="E272" s="192"/>
      <c r="F272" s="231"/>
      <c r="G272" s="204"/>
      <c r="H272" s="4"/>
      <c r="I272" s="4"/>
      <c r="J272" s="4"/>
      <c r="K272" s="172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9">
        <f>'Données projet'!A246</f>
        <v>20</v>
      </c>
      <c r="B273" s="180">
        <f>'Données projet'!D246</f>
        <v>23</v>
      </c>
      <c r="C273" s="192">
        <v>22.5</v>
      </c>
      <c r="D273" s="178">
        <f t="shared" si="14"/>
        <v>517.5</v>
      </c>
      <c r="E273" s="192"/>
      <c r="F273" s="231"/>
      <c r="G273" s="204"/>
      <c r="H273" s="4"/>
      <c r="I273" s="4"/>
      <c r="J273" s="4"/>
      <c r="K273" s="172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9">
        <f>'Données projet'!A247</f>
        <v>25</v>
      </c>
      <c r="B274" s="180">
        <f>'Données projet'!D247</f>
        <v>27</v>
      </c>
      <c r="C274" s="192">
        <v>22.5</v>
      </c>
      <c r="D274" s="178">
        <f t="shared" si="14"/>
        <v>607.5</v>
      </c>
      <c r="E274" s="192"/>
      <c r="F274" s="231"/>
      <c r="G274" s="204"/>
      <c r="H274" s="4"/>
      <c r="I274" s="4"/>
      <c r="J274" s="4"/>
      <c r="K274" s="172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9">
        <f>'Données projet'!A248</f>
        <v>30</v>
      </c>
      <c r="B275" s="180">
        <f>'Données projet'!D248</f>
        <v>29</v>
      </c>
      <c r="C275" s="192">
        <v>22.5</v>
      </c>
      <c r="D275" s="178">
        <f t="shared" si="14"/>
        <v>652.5</v>
      </c>
      <c r="E275" s="192"/>
      <c r="F275" s="231"/>
      <c r="G275" s="204"/>
      <c r="H275" s="4"/>
      <c r="I275" s="4"/>
      <c r="J275" s="4"/>
      <c r="K275" s="172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9">
        <f>'Données projet'!A249</f>
        <v>35</v>
      </c>
      <c r="B276" s="180">
        <f>'Données projet'!D249</f>
        <v>30</v>
      </c>
      <c r="C276" s="192"/>
      <c r="D276" s="178">
        <f t="shared" si="14"/>
        <v>0</v>
      </c>
      <c r="E276" s="192"/>
      <c r="F276" s="231"/>
      <c r="G276" s="204"/>
      <c r="H276" s="4"/>
      <c r="I276" s="4"/>
      <c r="J276" s="4"/>
      <c r="K276" s="172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9">
        <f>'Données projet'!A250</f>
        <v>40</v>
      </c>
      <c r="B277" s="180">
        <f>'Données projet'!D250</f>
        <v>31</v>
      </c>
      <c r="C277" s="192"/>
      <c r="D277" s="178">
        <f t="shared" si="14"/>
        <v>0</v>
      </c>
      <c r="E277" s="192"/>
      <c r="F277" s="231"/>
      <c r="G277" s="205"/>
      <c r="H277" s="4"/>
      <c r="I277" s="4"/>
      <c r="J277" s="4"/>
      <c r="K277" s="172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9">
        <f>'Données projet'!A251</f>
        <v>45</v>
      </c>
      <c r="B278" s="180">
        <f>'Données projet'!D251</f>
        <v>31</v>
      </c>
      <c r="C278" s="192"/>
      <c r="D278" s="178">
        <f t="shared" si="14"/>
        <v>0</v>
      </c>
      <c r="E278" s="192"/>
      <c r="F278" s="231"/>
      <c r="G278" s="205"/>
      <c r="H278" s="4"/>
      <c r="I278" s="4"/>
      <c r="J278" s="4"/>
      <c r="K278" s="172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9">
        <f>'Données projet'!A252</f>
        <v>50</v>
      </c>
      <c r="B279" s="180">
        <f>'Données projet'!D252</f>
        <v>31</v>
      </c>
      <c r="C279" s="192"/>
      <c r="D279" s="178">
        <f t="shared" si="14"/>
        <v>0</v>
      </c>
      <c r="E279" s="192"/>
      <c r="F279" s="231"/>
      <c r="G279" s="205"/>
      <c r="H279" s="4"/>
      <c r="I279" s="4"/>
      <c r="J279" s="4"/>
      <c r="K279" s="172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9">
        <f>'Données projet'!A253</f>
        <v>55</v>
      </c>
      <c r="B280" s="180">
        <f>'Données projet'!D253</f>
        <v>30</v>
      </c>
      <c r="C280" s="192"/>
      <c r="D280" s="178">
        <f t="shared" si="14"/>
        <v>0</v>
      </c>
      <c r="E280" s="192"/>
      <c r="F280" s="231"/>
      <c r="G280" s="205"/>
      <c r="H280" s="4"/>
      <c r="I280" s="4"/>
      <c r="J280" s="4"/>
      <c r="K280" s="172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9">
        <f>'Données projet'!A254</f>
        <v>60</v>
      </c>
      <c r="B281" s="180">
        <f>'Données projet'!D254</f>
        <v>30</v>
      </c>
      <c r="C281" s="192"/>
      <c r="D281" s="178">
        <f t="shared" si="14"/>
        <v>0</v>
      </c>
      <c r="E281" s="192"/>
      <c r="F281" s="231"/>
      <c r="G281" s="205"/>
      <c r="H281" s="4"/>
      <c r="I281" s="4"/>
      <c r="J281" s="4"/>
      <c r="K281" s="172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9">
        <f>'Données projet'!A255</f>
        <v>65</v>
      </c>
      <c r="B282" s="180">
        <f>'Données projet'!D255</f>
        <v>29</v>
      </c>
      <c r="C282" s="192"/>
      <c r="D282" s="178">
        <f t="shared" si="14"/>
        <v>0</v>
      </c>
      <c r="E282" s="192"/>
      <c r="F282" s="231"/>
      <c r="G282" s="205"/>
      <c r="H282" s="4"/>
      <c r="I282" s="4"/>
      <c r="J282" s="4"/>
      <c r="K282" s="172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9">
        <f>'Données projet'!A256</f>
        <v>70</v>
      </c>
      <c r="B283" s="180">
        <f>'Données projet'!D256</f>
        <v>28</v>
      </c>
      <c r="C283" s="192"/>
      <c r="D283" s="178">
        <f t="shared" si="14"/>
        <v>0</v>
      </c>
      <c r="E283" s="192"/>
      <c r="F283" s="231"/>
      <c r="G283" s="205"/>
      <c r="H283" s="4"/>
      <c r="I283" s="4"/>
      <c r="J283" s="4"/>
      <c r="K283" s="172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9">
        <f>'Données projet'!A257</f>
        <v>75</v>
      </c>
      <c r="B284" s="180">
        <f>'Données projet'!D257</f>
        <v>27</v>
      </c>
      <c r="C284" s="192"/>
      <c r="D284" s="178">
        <f t="shared" si="14"/>
        <v>0</v>
      </c>
      <c r="E284" s="192"/>
      <c r="F284" s="231"/>
      <c r="G284" s="205"/>
      <c r="H284" s="4"/>
      <c r="I284" s="4"/>
      <c r="J284" s="4"/>
      <c r="K284" s="172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9">
        <f>'Données projet'!A258</f>
        <v>80</v>
      </c>
      <c r="B285" s="180">
        <f>'Données projet'!D258</f>
        <v>26</v>
      </c>
      <c r="C285" s="192"/>
      <c r="D285" s="178">
        <f t="shared" si="14"/>
        <v>0</v>
      </c>
      <c r="E285" s="192"/>
      <c r="F285" s="231"/>
      <c r="G285" s="205"/>
      <c r="H285" s="4"/>
      <c r="I285" s="4"/>
      <c r="J285" s="4"/>
      <c r="K285" s="172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9">
        <f>'Données projet'!A259</f>
        <v>85</v>
      </c>
      <c r="B286" s="180">
        <f>'Données projet'!D259</f>
        <v>25</v>
      </c>
      <c r="C286" s="192"/>
      <c r="D286" s="178">
        <f t="shared" si="14"/>
        <v>0</v>
      </c>
      <c r="E286" s="192"/>
      <c r="F286" s="231"/>
      <c r="G286" s="205"/>
      <c r="H286" s="4"/>
      <c r="I286" s="4"/>
      <c r="J286" s="4"/>
      <c r="K286" s="172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9">
        <f>'Données projet'!A260</f>
        <v>90</v>
      </c>
      <c r="B287" s="180">
        <f>'Données projet'!D260</f>
        <v>24</v>
      </c>
      <c r="C287" s="192"/>
      <c r="D287" s="178">
        <f t="shared" si="14"/>
        <v>0</v>
      </c>
      <c r="E287" s="192"/>
      <c r="F287" s="231"/>
      <c r="G287" s="205"/>
      <c r="H287" s="4"/>
      <c r="I287" s="4"/>
      <c r="J287" s="4"/>
      <c r="K287" s="172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9">
        <f>'Données projet'!A261</f>
        <v>95</v>
      </c>
      <c r="B288" s="180">
        <f>'Données projet'!D261</f>
        <v>23</v>
      </c>
      <c r="C288" s="192"/>
      <c r="D288" s="178">
        <f t="shared" si="14"/>
        <v>0</v>
      </c>
      <c r="E288" s="192"/>
      <c r="F288" s="231"/>
      <c r="G288" s="205"/>
      <c r="H288" s="4"/>
      <c r="I288" s="4"/>
      <c r="J288" s="4"/>
      <c r="K288" s="172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9">
        <f>'Données projet'!A262</f>
        <v>100</v>
      </c>
      <c r="B289" s="180">
        <f>'Données projet'!D262</f>
        <v>22</v>
      </c>
      <c r="C289" s="192"/>
      <c r="D289" s="178">
        <f t="shared" si="14"/>
        <v>0</v>
      </c>
      <c r="E289" s="192"/>
      <c r="F289" s="231"/>
      <c r="G289" s="205"/>
      <c r="H289" s="4"/>
      <c r="I289" s="4"/>
      <c r="J289" s="4"/>
      <c r="K289" s="172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9">
        <f>'Données projet'!A263</f>
        <v>105</v>
      </c>
      <c r="B290" s="180">
        <f>'Données projet'!D263</f>
        <v>21</v>
      </c>
      <c r="C290" s="192"/>
      <c r="D290" s="178">
        <f t="shared" si="14"/>
        <v>0</v>
      </c>
      <c r="E290" s="192"/>
      <c r="F290" s="231"/>
      <c r="G290" s="205"/>
      <c r="H290" s="4"/>
      <c r="I290" s="4"/>
      <c r="J290" s="4"/>
      <c r="K290" s="172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2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2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3" t="str">
        <f>IF('Données projet'!$B$18="","",'Données projet'!$B$18)</f>
        <v>Bouleau verruqueux</v>
      </c>
      <c r="C293" s="4"/>
      <c r="D293" s="4"/>
      <c r="E293" s="4"/>
      <c r="F293" s="229"/>
      <c r="G293" s="205"/>
      <c r="H293" s="4"/>
      <c r="I293" s="4"/>
      <c r="J293" s="4"/>
      <c r="K293" s="172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2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2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8" t="s">
        <v>132</v>
      </c>
      <c r="C296" s="197" t="s">
        <v>132</v>
      </c>
      <c r="D296" s="196" t="s">
        <v>132</v>
      </c>
      <c r="E296" s="192">
        <v>3426.37</v>
      </c>
      <c r="F296" s="230"/>
      <c r="G296" s="205"/>
      <c r="H296" s="4"/>
      <c r="I296" s="4"/>
      <c r="J296" s="4"/>
      <c r="K296" s="172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8" t="s">
        <v>132</v>
      </c>
      <c r="C297" s="197" t="s">
        <v>132</v>
      </c>
      <c r="D297" s="196" t="s">
        <v>132</v>
      </c>
      <c r="E297" s="192"/>
      <c r="F297" s="230"/>
      <c r="G297" s="23"/>
      <c r="H297" s="4"/>
      <c r="I297" s="4"/>
      <c r="J297" s="4"/>
      <c r="K297" s="172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8" t="s">
        <v>132</v>
      </c>
      <c r="C298" s="197" t="s">
        <v>132</v>
      </c>
      <c r="D298" s="196" t="s">
        <v>132</v>
      </c>
      <c r="E298" s="192"/>
      <c r="F298" s="230"/>
      <c r="G298" s="23"/>
      <c r="H298" s="4"/>
      <c r="I298" s="4"/>
      <c r="J298" s="4"/>
      <c r="K298" s="172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8" t="s">
        <v>132</v>
      </c>
      <c r="C299" s="197" t="s">
        <v>132</v>
      </c>
      <c r="D299" s="196" t="s">
        <v>132</v>
      </c>
      <c r="E299" s="192"/>
      <c r="F299" s="230"/>
      <c r="G299" s="23"/>
      <c r="H299" s="4"/>
      <c r="I299" s="4"/>
      <c r="J299" s="4"/>
      <c r="K299" s="172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8" t="s">
        <v>132</v>
      </c>
      <c r="C300" s="197" t="s">
        <v>132</v>
      </c>
      <c r="D300" s="196" t="s">
        <v>132</v>
      </c>
      <c r="E300" s="192"/>
      <c r="F300" s="230"/>
      <c r="G300" s="23"/>
      <c r="H300" s="4"/>
      <c r="I300" s="4"/>
      <c r="J300" s="4"/>
      <c r="K300" s="172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8" t="s">
        <v>132</v>
      </c>
      <c r="C301" s="197" t="s">
        <v>132</v>
      </c>
      <c r="D301" s="196" t="s">
        <v>132</v>
      </c>
      <c r="E301" s="192"/>
      <c r="F301" s="230"/>
      <c r="G301" s="204"/>
      <c r="H301" s="4"/>
      <c r="I301" s="4"/>
      <c r="J301" s="4"/>
      <c r="K301" s="172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9">
        <f>'Données projet'!A270</f>
        <v>10</v>
      </c>
      <c r="B302" s="180">
        <f>'Données projet'!D270</f>
        <v>7</v>
      </c>
      <c r="C302" s="190">
        <v>22.5</v>
      </c>
      <c r="D302" s="181">
        <f>B302*C302</f>
        <v>157.5</v>
      </c>
      <c r="E302" s="192"/>
      <c r="F302" s="232"/>
      <c r="G302" s="204"/>
      <c r="H302" s="4"/>
      <c r="I302" s="4"/>
      <c r="J302" s="4"/>
      <c r="K302" s="172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9">
        <f>'Données projet'!A271</f>
        <v>15</v>
      </c>
      <c r="B303" s="180">
        <f>'Données projet'!D271</f>
        <v>42</v>
      </c>
      <c r="C303" s="190">
        <v>22.5</v>
      </c>
      <c r="D303" s="181">
        <f t="shared" ref="D303:D321" si="15">B303*C303</f>
        <v>945</v>
      </c>
      <c r="E303" s="192"/>
      <c r="F303" s="232"/>
      <c r="G303" s="204"/>
      <c r="H303" s="4"/>
      <c r="I303" s="4"/>
      <c r="J303" s="4"/>
      <c r="K303" s="172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9">
        <f>'Données projet'!A272</f>
        <v>20</v>
      </c>
      <c r="B304" s="180">
        <f>'Données projet'!D272</f>
        <v>42</v>
      </c>
      <c r="C304" s="190">
        <v>22.5</v>
      </c>
      <c r="D304" s="181">
        <f t="shared" si="15"/>
        <v>945</v>
      </c>
      <c r="E304" s="192"/>
      <c r="F304" s="232"/>
      <c r="G304" s="204"/>
      <c r="H304" s="4"/>
      <c r="I304" s="4"/>
      <c r="J304" s="4"/>
      <c r="K304" s="172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9">
        <f>'Données projet'!A273</f>
        <v>25</v>
      </c>
      <c r="B305" s="180">
        <f>'Données projet'!D273</f>
        <v>42</v>
      </c>
      <c r="C305" s="190">
        <v>22.5</v>
      </c>
      <c r="D305" s="181">
        <f t="shared" si="15"/>
        <v>945</v>
      </c>
      <c r="E305" s="192"/>
      <c r="F305" s="232"/>
      <c r="G305" s="204"/>
      <c r="H305" s="4"/>
      <c r="I305" s="4"/>
      <c r="J305" s="4"/>
      <c r="K305" s="172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9">
        <f>'Données projet'!A274</f>
        <v>30</v>
      </c>
      <c r="B306" s="180">
        <f>'Données projet'!D274</f>
        <v>42</v>
      </c>
      <c r="C306" s="190">
        <v>22.5</v>
      </c>
      <c r="D306" s="181">
        <f t="shared" si="15"/>
        <v>945</v>
      </c>
      <c r="E306" s="192"/>
      <c r="F306" s="232"/>
      <c r="G306" s="204"/>
      <c r="H306" s="4"/>
      <c r="I306" s="4"/>
      <c r="J306" s="4"/>
      <c r="K306" s="172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9">
        <f>'Données projet'!A275</f>
        <v>35</v>
      </c>
      <c r="B307" s="180">
        <f>'Données projet'!D275</f>
        <v>42</v>
      </c>
      <c r="C307" s="190"/>
      <c r="D307" s="181">
        <f t="shared" si="15"/>
        <v>0</v>
      </c>
      <c r="E307" s="192"/>
      <c r="F307" s="232"/>
      <c r="G307" s="204"/>
      <c r="H307" s="4"/>
      <c r="I307" s="4"/>
      <c r="J307" s="4"/>
      <c r="K307" s="172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9">
        <f>'Données projet'!A276</f>
        <v>40</v>
      </c>
      <c r="B308" s="180">
        <f>'Données projet'!D276</f>
        <v>40</v>
      </c>
      <c r="C308" s="190"/>
      <c r="D308" s="181">
        <f t="shared" si="15"/>
        <v>0</v>
      </c>
      <c r="E308" s="192"/>
      <c r="F308" s="232"/>
      <c r="G308" s="202"/>
      <c r="H308" s="4"/>
      <c r="I308" s="4"/>
      <c r="J308" s="4"/>
      <c r="K308" s="172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9">
        <f>'Données projet'!A277</f>
        <v>45</v>
      </c>
      <c r="B309" s="180">
        <f>'Données projet'!D277</f>
        <v>26</v>
      </c>
      <c r="C309" s="190"/>
      <c r="D309" s="181">
        <f t="shared" si="15"/>
        <v>0</v>
      </c>
      <c r="E309" s="192"/>
      <c r="F309" s="232"/>
      <c r="G309" s="202"/>
      <c r="H309" s="4"/>
      <c r="I309" s="4"/>
      <c r="J309" s="4"/>
      <c r="K309" s="172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9">
        <f>'Données projet'!A278</f>
        <v>50</v>
      </c>
      <c r="B310" s="180">
        <f>'Données projet'!D278</f>
        <v>21</v>
      </c>
      <c r="C310" s="190"/>
      <c r="D310" s="181">
        <f t="shared" si="15"/>
        <v>0</v>
      </c>
      <c r="E310" s="192"/>
      <c r="F310" s="232"/>
      <c r="G310" s="202"/>
      <c r="H310" s="4"/>
      <c r="I310" s="4"/>
      <c r="J310" s="4"/>
      <c r="K310" s="172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9">
        <f>'Données projet'!A279</f>
        <v>55</v>
      </c>
      <c r="B311" s="180">
        <f>'Données projet'!D279</f>
        <v>18</v>
      </c>
      <c r="C311" s="190"/>
      <c r="D311" s="181">
        <f t="shared" si="15"/>
        <v>0</v>
      </c>
      <c r="E311" s="192"/>
      <c r="F311" s="232"/>
      <c r="G311" s="202"/>
      <c r="H311" s="4"/>
      <c r="I311" s="4"/>
      <c r="J311" s="4"/>
      <c r="K311" s="172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9">
        <f>'Données projet'!A280</f>
        <v>60</v>
      </c>
      <c r="B312" s="180">
        <f>'Données projet'!D280</f>
        <v>17</v>
      </c>
      <c r="C312" s="190"/>
      <c r="D312" s="181">
        <f t="shared" si="15"/>
        <v>0</v>
      </c>
      <c r="E312" s="192"/>
      <c r="F312" s="232"/>
      <c r="G312" s="202"/>
      <c r="H312" s="4"/>
      <c r="I312" s="4"/>
      <c r="J312" s="4"/>
      <c r="K312" s="172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9">
        <f>'Données projet'!A281</f>
        <v>65</v>
      </c>
      <c r="B313" s="180">
        <f>'Données projet'!D281</f>
        <v>16</v>
      </c>
      <c r="C313" s="190"/>
      <c r="D313" s="181">
        <f t="shared" si="15"/>
        <v>0</v>
      </c>
      <c r="E313" s="192"/>
      <c r="F313" s="232"/>
      <c r="G313" s="202"/>
      <c r="H313" s="4"/>
      <c r="I313" s="4"/>
      <c r="J313" s="4"/>
      <c r="K313" s="172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9">
        <f>'Données projet'!A282</f>
        <v>70</v>
      </c>
      <c r="B314" s="180">
        <f>'Données projet'!D282</f>
        <v>15</v>
      </c>
      <c r="C314" s="190"/>
      <c r="D314" s="181">
        <f t="shared" si="15"/>
        <v>0</v>
      </c>
      <c r="E314" s="192"/>
      <c r="F314" s="232"/>
      <c r="G314" s="202"/>
      <c r="H314" s="4"/>
      <c r="I314" s="4"/>
      <c r="J314" s="4"/>
      <c r="K314" s="172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9">
        <f>'Données projet'!A283</f>
        <v>75</v>
      </c>
      <c r="B315" s="180">
        <f>'Données projet'!D283</f>
        <v>14</v>
      </c>
      <c r="C315" s="190"/>
      <c r="D315" s="181">
        <f t="shared" si="15"/>
        <v>0</v>
      </c>
      <c r="E315" s="192"/>
      <c r="F315" s="232"/>
      <c r="G315" s="202"/>
      <c r="H315" s="4"/>
      <c r="I315" s="4"/>
      <c r="J315" s="4"/>
      <c r="K315" s="172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9">
        <f>'Données projet'!A284</f>
        <v>80</v>
      </c>
      <c r="B316" s="180">
        <f>'Données projet'!D284</f>
        <v>13</v>
      </c>
      <c r="C316" s="190"/>
      <c r="D316" s="181">
        <f t="shared" si="15"/>
        <v>0</v>
      </c>
      <c r="E316" s="192"/>
      <c r="F316" s="232"/>
      <c r="G316" s="202"/>
      <c r="H316" s="4"/>
      <c r="I316" s="4"/>
      <c r="J316" s="4"/>
      <c r="K316" s="172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9">
        <f>'Données projet'!A285</f>
        <v>0</v>
      </c>
      <c r="B317" s="180">
        <f>'Données projet'!D285</f>
        <v>0</v>
      </c>
      <c r="C317" s="190"/>
      <c r="D317" s="181">
        <f t="shared" si="15"/>
        <v>0</v>
      </c>
      <c r="E317" s="192"/>
      <c r="F317" s="232"/>
      <c r="G317" s="202"/>
      <c r="H317" s="4"/>
      <c r="I317" s="4"/>
      <c r="J317" s="4"/>
      <c r="K317" s="172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9">
        <f>'Données projet'!A286</f>
        <v>0</v>
      </c>
      <c r="B318" s="180">
        <f>'Données projet'!D286</f>
        <v>0</v>
      </c>
      <c r="C318" s="190"/>
      <c r="D318" s="181">
        <f t="shared" si="15"/>
        <v>0</v>
      </c>
      <c r="E318" s="192"/>
      <c r="F318" s="232"/>
      <c r="G318" s="202"/>
      <c r="H318" s="4"/>
      <c r="I318" s="4"/>
      <c r="J318" s="4"/>
      <c r="K318" s="172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9">
        <f>'Données projet'!A287</f>
        <v>0</v>
      </c>
      <c r="B319" s="180">
        <f>'Données projet'!D287</f>
        <v>0</v>
      </c>
      <c r="C319" s="190"/>
      <c r="D319" s="181">
        <f t="shared" si="15"/>
        <v>0</v>
      </c>
      <c r="E319" s="192"/>
      <c r="F319" s="232"/>
      <c r="G319" s="202"/>
      <c r="H319" s="4"/>
      <c r="I319" s="4"/>
      <c r="J319" s="4"/>
      <c r="K319" s="172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9">
        <f>'Données projet'!A288</f>
        <v>0</v>
      </c>
      <c r="B320" s="180">
        <f>'Données projet'!D288</f>
        <v>0</v>
      </c>
      <c r="C320" s="190"/>
      <c r="D320" s="181">
        <f t="shared" si="15"/>
        <v>0</v>
      </c>
      <c r="E320" s="192"/>
      <c r="F320" s="232"/>
      <c r="G320" s="202"/>
      <c r="H320" s="4"/>
      <c r="I320" s="4"/>
      <c r="J320" s="4"/>
      <c r="K320" s="172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9">
        <f>'Données projet'!A289</f>
        <v>0</v>
      </c>
      <c r="B321" s="180">
        <f>'Données projet'!D289</f>
        <v>0</v>
      </c>
      <c r="C321" s="195"/>
      <c r="D321" s="181">
        <f t="shared" si="15"/>
        <v>0</v>
      </c>
      <c r="E321" s="192"/>
      <c r="F321" s="232"/>
      <c r="G321" s="202"/>
      <c r="H321" s="4"/>
      <c r="I321" s="4"/>
      <c r="J321" s="4"/>
      <c r="K321" s="172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2"/>
      <c r="H322" s="4"/>
      <c r="I322" s="4"/>
      <c r="J322" s="4"/>
      <c r="K322" s="172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2"/>
      <c r="H323" s="4"/>
      <c r="I323" s="4"/>
      <c r="J323" s="4"/>
      <c r="K323" s="172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2"/>
      <c r="H324" s="4"/>
      <c r="I324" s="4"/>
      <c r="J324" s="4"/>
      <c r="K324" s="172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2"/>
      <c r="H325" s="4"/>
      <c r="I325" s="4"/>
      <c r="J325" s="4"/>
      <c r="K325" s="172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2"/>
      <c r="H326" s="4"/>
      <c r="I326" s="4"/>
      <c r="J326" s="4"/>
      <c r="K326" s="172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2"/>
      <c r="H327" s="4"/>
      <c r="I327" s="4"/>
      <c r="J327" s="4"/>
      <c r="K327" s="172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Carbonapp</cp:lastModifiedBy>
  <dcterms:created xsi:type="dcterms:W3CDTF">2021-02-01T08:22:39Z</dcterms:created>
  <dcterms:modified xsi:type="dcterms:W3CDTF">2023-07-17T12:52:47Z</dcterms:modified>
</cp:coreProperties>
</file>