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/Documents partages/Fransylva Services/LBC/Dossiers LBC/C. CORMIER/MERRANT - 8868542/"/>
    </mc:Choice>
  </mc:AlternateContent>
  <xr:revisionPtr revIDLastSave="2" documentId="8_{288E4352-7143-4418-A219-0840F2CF0F70}" xr6:coauthVersionLast="47" xr6:coauthVersionMax="47" xr10:uidLastSave="{76164CAA-83F9-4477-84D6-BDCEAF151870}"/>
  <bookViews>
    <workbookView xWindow="-110" yWindow="-110" windowWidth="19420" windowHeight="10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FS20" i="2"/>
  <c r="HH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C85" i="2"/>
  <c r="HH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FS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HH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G160" i="2"/>
  <c r="EC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X161" i="2"/>
  <c r="HG161" i="2"/>
  <c r="FS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DI163" i="2"/>
  <c r="DH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A167" i="2"/>
  <c r="HH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HI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EB179" i="2"/>
  <c r="EV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ED185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HG192" i="2"/>
  <c r="EA192" i="2"/>
  <c r="EV192" i="2"/>
  <c r="HH192" i="2"/>
  <c r="EC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HG201" i="2" l="1"/>
  <c r="FS201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5" i="2" a="1"/>
  <c r="FY35" i="2" s="1"/>
  <c r="FY186" i="2" a="1"/>
  <c r="FY18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50" i="2" a="1"/>
  <c r="EI150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86" i="2" a="1"/>
  <c r="FY86" i="2" s="1"/>
  <c r="FY30" i="2" a="1"/>
  <c r="FY30" i="2" s="1"/>
  <c r="FY142" i="2" a="1"/>
  <c r="FY142" i="2" s="1"/>
  <c r="FD48" i="2" a="1"/>
  <c r="FD48" i="2" s="1"/>
  <c r="FD189" i="2" a="1"/>
  <c r="FD189" i="2" s="1"/>
  <c r="FD64" i="2" a="1"/>
  <c r="FD64" i="2" s="1"/>
  <c r="FD159" i="2" a="1"/>
  <c r="FD159" i="2" s="1"/>
  <c r="FD160" i="2" a="1"/>
  <c r="FD160" i="2" s="1"/>
  <c r="FD19" i="2" a="1"/>
  <c r="FD19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2" i="2" l="1" a="1"/>
  <c r="BC82" i="2" s="1"/>
  <c r="FD137" i="2" a="1"/>
  <c r="FD137" i="2" s="1"/>
  <c r="FD14" i="2" a="1"/>
  <c r="FD14" i="2" s="1"/>
  <c r="FY80" i="2" a="1"/>
  <c r="FY80" i="2" s="1"/>
  <c r="FY58" i="2" a="1"/>
  <c r="FY58" i="2" s="1"/>
  <c r="EI195" i="2" a="1"/>
  <c r="EI195" i="2" s="1"/>
  <c r="EI29" i="2" a="1"/>
  <c r="EI29" i="2" s="1"/>
  <c r="FY69" i="2" a="1"/>
  <c r="FY69" i="2" s="1"/>
  <c r="FD107" i="2" a="1"/>
  <c r="FD107" i="2" s="1"/>
  <c r="FD44" i="2" a="1"/>
  <c r="FD44" i="2" s="1"/>
  <c r="FY42" i="2" a="1"/>
  <c r="FY42" i="2" s="1"/>
  <c r="EI153" i="2" a="1"/>
  <c r="EI153" i="2" s="1"/>
  <c r="FY50" i="2" a="1"/>
  <c r="FY50" i="2" s="1"/>
  <c r="FD167" i="2" a="1"/>
  <c r="FD167" i="2" s="1"/>
  <c r="FD188" i="2" a="1"/>
  <c r="FD188" i="2" s="1"/>
  <c r="FY196" i="2" a="1"/>
  <c r="FY196" i="2" s="1"/>
  <c r="EI142" i="2" a="1"/>
  <c r="EI142" i="2" s="1"/>
  <c r="EI166" i="2" a="1"/>
  <c r="EI166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04" i="2" a="1"/>
  <c r="FY104" i="2" s="1"/>
  <c r="EI57" i="2" a="1"/>
  <c r="EI5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Y190" i="2" a="1"/>
  <c r="FY190" i="2" s="1"/>
  <c r="FY167" i="2" a="1"/>
  <c r="FY167" i="2" s="1"/>
  <c r="FY115" i="2" a="1"/>
  <c r="FY115" i="2" s="1"/>
  <c r="EI162" i="2" a="1"/>
  <c r="EI162" i="2" s="1"/>
  <c r="FY78" i="2" a="1"/>
  <c r="FY78" i="2" s="1"/>
  <c r="AH92" i="2" a="1"/>
  <c r="AH9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HG203" i="2"/>
  <c r="BC68" i="2" a="1"/>
  <c r="BC68" i="2" s="1"/>
  <c r="BC130" i="2" a="1"/>
  <c r="BC130" i="2" s="1"/>
  <c r="BC117" i="2" a="1"/>
  <c r="BC117" i="2" s="1"/>
  <c r="BC58" i="2" a="1"/>
  <c r="BC58" i="2" s="1"/>
  <c r="BC192" i="2" a="1"/>
  <c r="BC192" i="2" s="1"/>
  <c r="BC143" i="2" a="1"/>
  <c r="BC143" i="2" s="1"/>
  <c r="BC181" i="2" a="1"/>
  <c r="BC181" i="2" s="1"/>
  <c r="BC34" i="2" a="1"/>
  <c r="BC34" i="2" s="1"/>
  <c r="BC7" i="2" a="1"/>
  <c r="BC7" i="2" s="1"/>
  <c r="BC185" i="2" a="1"/>
  <c r="BC185" i="2" s="1"/>
  <c r="BC31" i="2" a="1"/>
  <c r="BC31" i="2" s="1"/>
  <c r="BC65" i="2" a="1"/>
  <c r="BC65" i="2" s="1"/>
  <c r="BC151" i="2" a="1"/>
  <c r="BC151" i="2" s="1"/>
  <c r="BC55" i="2" a="1"/>
  <c r="BC55" i="2" s="1"/>
  <c r="BC18" i="2" a="1"/>
  <c r="BC18" i="2" s="1"/>
  <c r="BC84" i="2" a="1"/>
  <c r="BC84" i="2" s="1"/>
  <c r="BC114" i="2" a="1"/>
  <c r="BC114" i="2" s="1"/>
  <c r="BC47" i="2" a="1"/>
  <c r="BC47" i="2" s="1"/>
  <c r="BC38" i="2" a="1"/>
  <c r="BC38" i="2" s="1"/>
  <c r="BC32" i="2" a="1"/>
  <c r="BC32" i="2" s="1"/>
  <c r="BC126" i="2" a="1"/>
  <c r="BC126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<sst xmlns="http://schemas.openxmlformats.org/spreadsheetml/2006/main" count="1178" uniqueCount="327">
  <si>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</si>
  <si>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</si>
  <si>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</si>
  <si>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</si>
  <si>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</si>
  <si>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</si>
  <si>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</si>
  <si>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</si>
  <si>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</si>
  <si>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</si>
  <si>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</si>
  <si>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</si>
  <si>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</si>
  <si>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</si>
  <si>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</si>
  <si>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</si>
  <si>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</si>
  <si>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</si>
  <si>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</si>
  <si>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Epicéa de Sitka</t>
  </si>
  <si>
    <t>Essence 3</t>
  </si>
  <si>
    <t>Chêne rouge d'Amérique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</si>
  <si>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</si>
  <si>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</si>
  <si>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</si>
  <si>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</si>
  <si>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</si>
  <si>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</si>
  <si>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</si>
  <si>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</si>
  <si>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</si>
  <si>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</si>
  <si>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</si>
  <si>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</si>
  <si>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</si>
  <si>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</si>
  <si>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</si>
  <si>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</si>
  <si>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</si>
  <si>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</si>
  <si>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</si>
  <si>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</si>
  <si>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</si>
  <si>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Classe N°2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</si>
  <si>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</si>
  <si>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</si>
  <si>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</si>
  <si>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</si>
  <si>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</si>
  <si>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</si>
  <si>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</si>
  <si>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</si>
  <si>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</si>
  <si>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</si>
  <si>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</si>
  <si>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</si>
  <si>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</si>
  <si>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Classe N°1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</si>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</sst>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1.825480320405273</c:v>
                </c:pt>
                <c:pt idx="2">
                  <c:v>2.2927398343887342</c:v>
                </c:pt>
                <c:pt idx="3">
                  <c:v>2.880076019598798</c:v>
                </c:pt>
                <c:pt idx="4">
                  <c:v>3.618461482981953</c:v>
                </c:pt>
                <c:pt idx="5">
                  <c:v>4.5468857832632326</c:v>
                </c:pt>
                <c:pt idx="6">
                  <c:v>5.7144372553501688</c:v>
                </c:pt>
                <c:pt idx="7">
                  <c:v>7.1829270511219407</c:v>
                </c:pt>
                <c:pt idx="8">
                  <c:v>9.0301970042729689</c:v>
                </c:pt>
                <c:pt idx="9">
                  <c:v>11.354290001909446</c:v>
                </c:pt>
                <c:pt idx="10">
                  <c:v>14.278708349357844</c:v>
                </c:pt>
                <c:pt idx="11">
                  <c:v>17.959044705225836</c:v>
                </c:pt>
                <c:pt idx="12">
                  <c:v>22.591344773108478</c:v>
                </c:pt>
                <c:pt idx="13">
                  <c:v>28.422655148071566</c:v>
                </c:pt>
                <c:pt idx="14">
                  <c:v>35.764328690233505</c:v>
                </c:pt>
                <c:pt idx="15">
                  <c:v>45.008810055123341</c:v>
                </c:pt>
                <c:pt idx="16">
                  <c:v>56.650813791717759</c:v>
                </c:pt>
                <c:pt idx="17">
                  <c:v>71.314047139216441</c:v>
                </c:pt>
                <c:pt idx="18">
                  <c:v>89.784932476674257</c:v>
                </c:pt>
                <c:pt idx="19">
                  <c:v>113.05516694503963</c:v>
                </c:pt>
                <c:pt idx="20">
                  <c:v>142.37544010277634</c:v>
                </c:pt>
                <c:pt idx="21">
                  <c:v>179.32324118436588</c:v>
                </c:pt>
                <c:pt idx="22">
                  <c:v>225.88845922216728</c:v>
                </c:pt>
                <c:pt idx="23">
                  <c:v>284.58145446824443</c:v>
                </c:pt>
                <c:pt idx="24">
                  <c:v>358.56951195260677</c:v>
                </c:pt>
                <c:pt idx="25">
                  <c:v>451.84914558797823</c:v>
                </c:pt>
                <c:pt idx="26">
                  <c:v>458.49300619252989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552.95938498824512</c:v>
                </c:pt>
                <c:pt idx="30">
                  <c:v>584.36966457807478</c:v>
                </c:pt>
                <c:pt idx="31">
                  <c:v>556.73999981392387</c:v>
                </c:pt>
                <c:pt idx="32">
                  <c:v>585.78582434631869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626.82419491945336</c:v>
                </c:pt>
                <c:pt idx="37">
                  <c:v>652.73905939374674</c:v>
                </c:pt>
                <c:pt idx="38">
                  <c:v>678.63272618537417</c:v>
                </c:pt>
                <c:pt idx="39">
                  <c:v>704.5061167842922</c:v>
                </c:pt>
                <c:pt idx="40">
                  <c:v>730.3600795704948</c:v>
                </c:pt>
                <c:pt idx="41">
                  <c:v>676.9855608271813</c:v>
                </c:pt>
                <c:pt idx="42">
                  <c:v>700.03848745929793</c:v>
                </c:pt>
                <c:pt idx="43">
                  <c:v>723.07588230699673</c:v>
                </c:pt>
                <c:pt idx="44">
                  <c:v>746.09830923904281</c:v>
                </c:pt>
                <c:pt idx="45">
                  <c:v>769.10629453334457</c:v>
                </c:pt>
                <c:pt idx="46">
                  <c:v>709.44334887873549</c:v>
                </c:pt>
                <c:pt idx="47">
                  <c:v>730.82997676459536</c:v>
                </c:pt>
                <c:pt idx="48">
                  <c:v>752.20385526189273</c:v>
                </c:pt>
                <c:pt idx="49">
                  <c:v>773.56539720897081</c:v>
                </c:pt>
                <c:pt idx="50">
                  <c:v>794.91499081298605</c:v>
                </c:pt>
                <c:pt idx="51">
                  <c:v>729.42026669230893</c:v>
                </c:pt>
                <c:pt idx="52">
                  <c:v>749.62086306283607</c:v>
                </c:pt>
                <c:pt idx="53">
                  <c:v>769.81039814060966</c:v>
                </c:pt>
                <c:pt idx="54">
                  <c:v>789.9892025369528</c:v>
                </c:pt>
                <c:pt idx="55">
                  <c:v>810.15758861669144</c:v>
                </c:pt>
                <c:pt idx="56">
                  <c:v>748.91637927235604</c:v>
                </c:pt>
                <c:pt idx="57">
                  <c:v>767.46333526620583</c:v>
                </c:pt>
                <c:pt idx="58">
                  <c:v>786.00120491902726</c:v>
                </c:pt>
                <c:pt idx="59">
                  <c:v>804.53023248127954</c:v>
                </c:pt>
                <c:pt idx="60">
                  <c:v>823.05065004816379</c:v>
                </c:pt>
                <c:pt idx="61">
                  <c:v>768.87159042722294</c:v>
                </c:pt>
                <c:pt idx="62">
                  <c:v>786.23580432399751</c:v>
                </c:pt>
                <c:pt idx="63">
                  <c:v>803.59226271431453</c:v>
                </c:pt>
                <c:pt idx="64">
                  <c:v>820.94115652681933</c:v>
                </c:pt>
                <c:pt idx="65">
                  <c:v>838.28266797111507</c:v>
                </c:pt>
                <c:pt idx="66">
                  <c:v>4.959485612423072E-12</c:v>
                </c:pt>
                <c:pt idx="67">
                  <c:v>4.959485612423072E-12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1.5556056037032899</c:v>
                </c:pt>
                <c:pt idx="2">
                  <c:v>1.9750860803670249</c:v>
                </c:pt>
                <c:pt idx="3">
                  <c:v>2.508139399326724</c:v>
                </c:pt>
                <c:pt idx="4">
                  <c:v>3.1856319785050151</c:v>
                </c:pt>
                <c:pt idx="5">
                  <c:v>4.0468488308069483</c:v>
                </c:pt>
                <c:pt idx="6">
                  <c:v>5.1417972544281598</c:v>
                </c:pt>
                <c:pt idx="7">
                  <c:v>6.5341428306439759</c:v>
                </c:pt>
                <c:pt idx="8">
                  <c:v>8.304951766336119</c:v>
                </c:pt>
                <c:pt idx="9">
                  <c:v>10.557461642563055</c:v>
                </c:pt>
                <c:pt idx="10">
                  <c:v>13.423163936890445</c:v>
                </c:pt>
                <c:pt idx="11">
                  <c:v>17.069559957213201</c:v>
                </c:pt>
                <c:pt idx="12">
                  <c:v>21.710051761837864</c:v>
                </c:pt>
                <c:pt idx="13">
                  <c:v>27.616557254549786</c:v>
                </c:pt>
                <c:pt idx="14">
                  <c:v>35.135601614136327</c:v>
                </c:pt>
                <c:pt idx="15">
                  <c:v>44.708845360002179</c:v>
                </c:pt>
                <c:pt idx="16">
                  <c:v>56.899275212796461</c:v>
                </c:pt>
                <c:pt idx="17">
                  <c:v>72.424623514156238</c:v>
                </c:pt>
                <c:pt idx="18">
                  <c:v>92.200015816567202</c:v>
                </c:pt>
                <c:pt idx="19">
                  <c:v>117.39240054084426</c:v>
                </c:pt>
                <c:pt idx="20">
                  <c:v>149.49002281670283</c:v>
                </c:pt>
                <c:pt idx="21">
                  <c:v>134.19192451868898</c:v>
                </c:pt>
                <c:pt idx="22">
                  <c:v>167.79880331835713</c:v>
                </c:pt>
                <c:pt idx="23">
                  <c:v>201.24634176616689</c:v>
                </c:pt>
                <c:pt idx="24">
                  <c:v>234.56482390663436</c:v>
                </c:pt>
                <c:pt idx="25">
                  <c:v>215.90077709640977</c:v>
                </c:pt>
                <c:pt idx="26">
                  <c:v>255.71013753254616</c:v>
                </c:pt>
                <c:pt idx="27">
                  <c:v>295.37903204669743</c:v>
                </c:pt>
                <c:pt idx="28">
                  <c:v>334.92898046713697</c:v>
                </c:pt>
                <c:pt idx="29">
                  <c:v>310.91182778548091</c:v>
                </c:pt>
                <c:pt idx="30">
                  <c:v>352.9167872578102</c:v>
                </c:pt>
                <c:pt idx="31">
                  <c:v>394.81212266433721</c:v>
                </c:pt>
                <c:pt idx="32">
                  <c:v>436.61108755732994</c:v>
                </c:pt>
                <c:pt idx="33">
                  <c:v>405.27044825981937</c:v>
                </c:pt>
                <c:pt idx="34">
                  <c:v>445.55652112849572</c:v>
                </c:pt>
                <c:pt idx="35">
                  <c:v>485.76460083050716</c:v>
                </c:pt>
                <c:pt idx="36">
                  <c:v>525.90203919558928</c:v>
                </c:pt>
                <c:pt idx="37">
                  <c:v>503.85957631264245</c:v>
                </c:pt>
                <c:pt idx="38">
                  <c:v>540.25626419616674</c:v>
                </c:pt>
                <c:pt idx="39">
                  <c:v>576.601464409904</c:v>
                </c:pt>
                <c:pt idx="40">
                  <c:v>612.89887275058948</c:v>
                </c:pt>
                <c:pt idx="41">
                  <c:v>589.98997214048279</c:v>
                </c:pt>
                <c:pt idx="42">
                  <c:v>621.38641464779766</c:v>
                </c:pt>
                <c:pt idx="43">
                  <c:v>652.75001250200091</c:v>
                </c:pt>
                <c:pt idx="44">
                  <c:v>684.0825631483018</c:v>
                </c:pt>
                <c:pt idx="45">
                  <c:v>715.38568620815522</c:v>
                </c:pt>
                <c:pt idx="46">
                  <c:v>680.34000031802691</c:v>
                </c:pt>
                <c:pt idx="47">
                  <c:v>706.33237341600261</c:v>
                </c:pt>
                <c:pt idx="48">
                  <c:v>732.30519540738578</c:v>
                </c:pt>
                <c:pt idx="49">
                  <c:v>758.25925628282687</c:v>
                </c:pt>
                <c:pt idx="50">
                  <c:v>784.19528762222501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1" zoomScale="115" zoomScaleNormal="115" workbookViewId="0">
      <selection activeCell="B12" sqref="B12:M16"/>
    </sheetView>
  </sheetViews>
  <sheetFormatPr baseColWidth="10" defaultColWidth="11.36328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9" t="s">
        <v>0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5">
      <c r="B18" s="259" t="s">
        <v>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D28" sqref="D28"/>
    </sheetView>
  </sheetViews>
  <sheetFormatPr baseColWidth="10" defaultColWidth="11.36328125" defaultRowHeight="14.5" x14ac:dyDescent="0.35"/>
  <cols>
    <col min="1" max="1" width="13.7265625" style="23" customWidth="1"/>
    <col min="2" max="2" width="36.08984375" style="23" customWidth="1"/>
    <col min="3" max="3" width="14.81640625" style="23" bestFit="1" customWidth="1"/>
    <col min="4" max="4" width="16.36328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36328125" style="23"/>
  </cols>
  <sheetData>
    <row r="1" spans="1:38" x14ac:dyDescent="0.35">
      <c r="A1" s="4"/>
      <c r="B1" s="4"/>
      <c r="C1" s="264" t="s">
        <v>2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0" t="s">
        <v>7</v>
      </c>
      <c r="B5" s="270"/>
      <c r="C5" s="24">
        <v>7.1710000000000003</v>
      </c>
      <c r="D5" s="271" t="s">
        <v>8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9" t="s">
        <v>9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0.7</v>
      </c>
      <c r="D9" s="33">
        <f t="shared" ref="D9:D18" si="0">C9*$C$5</f>
        <v>5.0197000000000003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</v>
      </c>
      <c r="D10" s="33">
        <f t="shared" si="0"/>
        <v>1.4342000000000001</v>
      </c>
      <c r="E10" s="34">
        <v>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</v>
      </c>
      <c r="D11" s="33">
        <f t="shared" si="0"/>
        <v>0.71710000000000007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0.99999999999999989</v>
      </c>
      <c r="D19" s="38">
        <f>SUM(D9:D18)</f>
        <v>7.1710000000000012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8" t="s">
        <v>30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0.15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9" t="s">
        <v>42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C32" s="23" t="s">
        <v>43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45</v>
      </c>
      <c r="C34" s="260" t="s">
        <v>46</v>
      </c>
      <c r="D34" s="260"/>
      <c r="E34" s="261" t="s">
        <v>47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25</v>
      </c>
      <c r="B36" s="257">
        <v>372</v>
      </c>
      <c r="C36" s="257">
        <v>1</v>
      </c>
      <c r="D36" s="257">
        <v>21</v>
      </c>
      <c r="E36" s="258"/>
      <c r="F36" s="258">
        <v>0.5</v>
      </c>
      <c r="G36" s="258"/>
      <c r="H36" s="258">
        <v>0.5</v>
      </c>
      <c r="I36" s="49">
        <f>IFERROR(B36/A36,"")</f>
        <v>14.88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7">
        <v>30</v>
      </c>
      <c r="B37" s="257">
        <v>484</v>
      </c>
      <c r="C37" s="257">
        <v>2</v>
      </c>
      <c r="D37" s="257">
        <v>48</v>
      </c>
      <c r="E37" s="258"/>
      <c r="F37" s="258">
        <v>0.5</v>
      </c>
      <c r="G37" s="258"/>
      <c r="H37" s="258">
        <v>0.5</v>
      </c>
      <c r="I37" s="53">
        <f t="shared" ref="I37:I55" si="1">IF(A37&lt;&gt;0,(B37-(B36-D36))/(A37-A36),"")</f>
        <v>26.6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7">
        <v>35</v>
      </c>
      <c r="B38" s="257">
        <v>559</v>
      </c>
      <c r="C38" s="257">
        <v>3</v>
      </c>
      <c r="D38" s="257">
        <v>61</v>
      </c>
      <c r="E38" s="258"/>
      <c r="F38" s="258">
        <v>0.5</v>
      </c>
      <c r="G38" s="258"/>
      <c r="H38" s="258">
        <v>0.5</v>
      </c>
      <c r="I38" s="53">
        <f t="shared" si="1"/>
        <v>24.6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7">
        <v>40</v>
      </c>
      <c r="B39" s="257">
        <v>608</v>
      </c>
      <c r="C39" s="257">
        <v>4</v>
      </c>
      <c r="D39" s="257">
        <v>65</v>
      </c>
      <c r="E39" s="258">
        <v>0.5</v>
      </c>
      <c r="F39" s="258">
        <v>0.4</v>
      </c>
      <c r="G39" s="258">
        <v>0.1</v>
      </c>
      <c r="H39" s="258"/>
      <c r="I39" s="49">
        <f t="shared" si="1"/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7">
        <v>45</v>
      </c>
      <c r="B40" s="257">
        <v>641</v>
      </c>
      <c r="C40" s="257">
        <v>5</v>
      </c>
      <c r="D40" s="257">
        <v>69</v>
      </c>
      <c r="E40" s="258">
        <v>0.5</v>
      </c>
      <c r="F40" s="258">
        <v>0.4</v>
      </c>
      <c r="G40" s="258">
        <v>0.1</v>
      </c>
      <c r="H40" s="258"/>
      <c r="I40" s="49">
        <f t="shared" si="1"/>
        <v>19.600000000000001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7">
        <v>50</v>
      </c>
      <c r="B41" s="257">
        <v>663</v>
      </c>
      <c r="C41" s="257">
        <v>6</v>
      </c>
      <c r="D41" s="257">
        <v>73</v>
      </c>
      <c r="E41" s="258">
        <v>0.5</v>
      </c>
      <c r="F41" s="258"/>
      <c r="G41" s="258"/>
      <c r="H41" s="258"/>
      <c r="I41" s="53">
        <f t="shared" si="1"/>
        <v>18.2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7">
        <v>55</v>
      </c>
      <c r="B42" s="257">
        <v>676</v>
      </c>
      <c r="C42" s="257">
        <v>7</v>
      </c>
      <c r="D42" s="257">
        <v>68</v>
      </c>
      <c r="E42" s="258">
        <v>0.5</v>
      </c>
      <c r="F42" s="258"/>
      <c r="G42" s="258"/>
      <c r="H42" s="258"/>
      <c r="I42" s="53">
        <f t="shared" si="1"/>
        <v>17.2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60">
        <v>60</v>
      </c>
      <c r="B43" s="60">
        <v>687</v>
      </c>
      <c r="C43" s="257">
        <v>8</v>
      </c>
      <c r="D43" s="60">
        <v>61</v>
      </c>
      <c r="E43" s="258">
        <v>0.5</v>
      </c>
      <c r="F43" s="87"/>
      <c r="G43" s="87"/>
      <c r="H43" s="87"/>
      <c r="I43" s="49">
        <f t="shared" si="1"/>
        <v>15.8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60">
        <v>65</v>
      </c>
      <c r="B44" s="60">
        <v>700</v>
      </c>
      <c r="C44" s="257" t="s">
        <v>326</v>
      </c>
      <c r="D44" s="60">
        <v>700</v>
      </c>
      <c r="E44" s="258">
        <v>1</v>
      </c>
      <c r="F44" s="87"/>
      <c r="G44" s="87"/>
      <c r="H44" s="87"/>
      <c r="I44" s="49">
        <f t="shared" si="1"/>
        <v>14.8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Epicéa de Sitka</v>
      </c>
      <c r="C58" s="23" t="s">
        <v>57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45</v>
      </c>
      <c r="C60" s="260" t="s">
        <v>46</v>
      </c>
      <c r="D60" s="260"/>
      <c r="E60" s="261" t="s">
        <v>47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20</v>
      </c>
      <c r="B62" s="60">
        <v>143</v>
      </c>
      <c r="C62" s="60">
        <v>1</v>
      </c>
      <c r="D62" s="60">
        <v>48</v>
      </c>
      <c r="E62" s="51"/>
      <c r="F62" s="51"/>
      <c r="G62" s="51"/>
      <c r="H62" s="51">
        <v>1</v>
      </c>
      <c r="I62" s="53">
        <f>IFERROR(B62/A62,"")</f>
        <v>7.15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227</v>
      </c>
      <c r="C63" s="60">
        <v>2</v>
      </c>
      <c r="D63" s="60">
        <v>58</v>
      </c>
      <c r="E63" s="51">
        <v>0.2</v>
      </c>
      <c r="F63" s="51">
        <v>0.8</v>
      </c>
      <c r="G63" s="51"/>
      <c r="H63" s="51"/>
      <c r="I63" s="49">
        <f t="shared" ref="I63:I69" si="2">IF(A63&lt;&gt;0,(B63-(B62-D62))/(A63-A62),"")</f>
        <v>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28</v>
      </c>
      <c r="B64" s="60">
        <v>327</v>
      </c>
      <c r="C64" s="60">
        <v>3</v>
      </c>
      <c r="D64" s="60">
        <v>66</v>
      </c>
      <c r="E64" s="51">
        <v>0.2</v>
      </c>
      <c r="F64" s="51">
        <v>0.8</v>
      </c>
      <c r="G64" s="51"/>
      <c r="H64" s="51"/>
      <c r="I64" s="49">
        <f t="shared" si="2"/>
        <v>39.5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429</v>
      </c>
      <c r="C65" s="60">
        <v>4</v>
      </c>
      <c r="D65" s="60">
        <v>72</v>
      </c>
      <c r="E65" s="51">
        <v>0.2</v>
      </c>
      <c r="F65" s="51">
        <v>0.8</v>
      </c>
      <c r="G65" s="51"/>
      <c r="H65" s="51"/>
      <c r="I65" s="49">
        <f t="shared" si="2"/>
        <v>42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36</v>
      </c>
      <c r="B66" s="60">
        <v>519</v>
      </c>
      <c r="C66" s="60">
        <v>5</v>
      </c>
      <c r="D66" s="60">
        <v>59</v>
      </c>
      <c r="E66" s="51">
        <v>0.8</v>
      </c>
      <c r="F66" s="51">
        <v>0.2</v>
      </c>
      <c r="G66" s="51"/>
      <c r="H66" s="51"/>
      <c r="I66" s="49">
        <f t="shared" si="2"/>
        <v>40.5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40</v>
      </c>
      <c r="B67" s="60">
        <v>607</v>
      </c>
      <c r="C67" s="60">
        <v>6</v>
      </c>
      <c r="D67" s="60">
        <v>55</v>
      </c>
      <c r="E67" s="51">
        <v>0.8</v>
      </c>
      <c r="F67" s="51">
        <v>0.2</v>
      </c>
      <c r="G67" s="51"/>
      <c r="H67" s="51"/>
      <c r="I67" s="49">
        <f t="shared" si="2"/>
        <v>36.75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45</v>
      </c>
      <c r="B68" s="60">
        <v>711</v>
      </c>
      <c r="C68" s="60">
        <v>7</v>
      </c>
      <c r="D68" s="60">
        <v>62</v>
      </c>
      <c r="E68" s="51">
        <v>0.8</v>
      </c>
      <c r="F68" s="51">
        <v>0.2</v>
      </c>
      <c r="G68" s="51"/>
      <c r="H68" s="51"/>
      <c r="I68" s="49">
        <f t="shared" si="2"/>
        <v>31.8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50</v>
      </c>
      <c r="B69" s="50">
        <v>781</v>
      </c>
      <c r="C69" s="50" t="s">
        <v>326</v>
      </c>
      <c r="D69" s="50">
        <v>781</v>
      </c>
      <c r="E69" s="51">
        <v>1</v>
      </c>
      <c r="F69" s="51"/>
      <c r="G69" s="51"/>
      <c r="H69" s="51"/>
      <c r="I69" s="49">
        <f t="shared" si="2"/>
        <v>26.4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ref="I70:I81" si="3">IF(A70&lt;&gt;0,(B70-(B69-D69))/(A70-A69),"")</f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rouge d'Amérique</v>
      </c>
      <c r="C84" s="23" t="s">
        <v>43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45</v>
      </c>
      <c r="C86" s="260" t="s">
        <v>46</v>
      </c>
      <c r="D86" s="260"/>
      <c r="E86" s="261" t="s">
        <v>47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15</v>
      </c>
      <c r="B88" s="60">
        <v>87</v>
      </c>
      <c r="C88" s="60">
        <v>1</v>
      </c>
      <c r="D88" s="60">
        <v>21</v>
      </c>
      <c r="E88" s="51"/>
      <c r="F88" s="51"/>
      <c r="G88" s="51"/>
      <c r="H88" s="51">
        <v>1</v>
      </c>
      <c r="I88" s="53">
        <f>IFERROR(B88/A88,"")</f>
        <v>5.8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v>137</v>
      </c>
      <c r="C89" s="60">
        <v>2</v>
      </c>
      <c r="D89" s="60">
        <v>43</v>
      </c>
      <c r="E89" s="51"/>
      <c r="F89" s="51"/>
      <c r="G89" s="51"/>
      <c r="H89" s="51">
        <v>1</v>
      </c>
      <c r="I89" s="53">
        <f t="shared" ref="I89:I107" si="4">IF(A89&lt;&gt;0,(B89-(B88-D88))/(A89-A88),"")</f>
        <v>14.2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v>163</v>
      </c>
      <c r="C90" s="60">
        <v>3</v>
      </c>
      <c r="D90" s="60">
        <v>44</v>
      </c>
      <c r="E90" s="51"/>
      <c r="F90" s="51"/>
      <c r="G90" s="51"/>
      <c r="H90" s="51">
        <v>1</v>
      </c>
      <c r="I90" s="53">
        <f t="shared" si="4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184</v>
      </c>
      <c r="C91" s="60">
        <v>4</v>
      </c>
      <c r="D91" s="60">
        <v>44</v>
      </c>
      <c r="E91" s="51"/>
      <c r="F91" s="51"/>
      <c r="G91" s="51"/>
      <c r="H91" s="51">
        <v>1</v>
      </c>
      <c r="I91" s="53">
        <f t="shared" si="4"/>
        <v>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v>201</v>
      </c>
      <c r="C92" s="60">
        <v>5</v>
      </c>
      <c r="D92" s="60">
        <v>42</v>
      </c>
      <c r="E92" s="51"/>
      <c r="F92" s="51">
        <v>0.9</v>
      </c>
      <c r="G92" s="51">
        <v>0.1</v>
      </c>
      <c r="H92" s="51"/>
      <c r="I92" s="53">
        <f t="shared" si="4"/>
        <v>12.2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v>213</v>
      </c>
      <c r="C93" s="60">
        <v>6</v>
      </c>
      <c r="D93" s="60">
        <v>39</v>
      </c>
      <c r="E93" s="51"/>
      <c r="F93" s="51">
        <v>0.9</v>
      </c>
      <c r="G93" s="51">
        <v>0.1</v>
      </c>
      <c r="H93" s="51"/>
      <c r="I93" s="53">
        <f t="shared" si="4"/>
        <v>10.8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v>223</v>
      </c>
      <c r="C94" s="60">
        <v>7</v>
      </c>
      <c r="D94" s="60">
        <v>36</v>
      </c>
      <c r="E94" s="51"/>
      <c r="F94" s="51">
        <v>0.9</v>
      </c>
      <c r="G94" s="51">
        <v>0.1</v>
      </c>
      <c r="H94" s="51"/>
      <c r="I94" s="53">
        <f t="shared" si="4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50">
        <v>50</v>
      </c>
      <c r="B95" s="60">
        <v>231</v>
      </c>
      <c r="C95" s="60">
        <v>8</v>
      </c>
      <c r="D95" s="60">
        <v>33</v>
      </c>
      <c r="E95" s="51"/>
      <c r="F95" s="51">
        <v>0.9</v>
      </c>
      <c r="G95" s="51">
        <v>0.1</v>
      </c>
      <c r="H95" s="51"/>
      <c r="I95" s="53">
        <f t="shared" si="4"/>
        <v>8.8000000000000007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50">
        <v>55</v>
      </c>
      <c r="B96" s="60">
        <v>237</v>
      </c>
      <c r="C96" s="60">
        <v>9</v>
      </c>
      <c r="D96" s="60">
        <v>29</v>
      </c>
      <c r="E96" s="51"/>
      <c r="F96" s="51">
        <v>0.9</v>
      </c>
      <c r="G96" s="51">
        <v>0.1</v>
      </c>
      <c r="H96" s="51"/>
      <c r="I96" s="53">
        <f t="shared" si="4"/>
        <v>7.8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50">
        <v>60</v>
      </c>
      <c r="B97" s="60">
        <v>242</v>
      </c>
      <c r="C97" s="60">
        <v>10</v>
      </c>
      <c r="D97" s="60">
        <v>26</v>
      </c>
      <c r="E97" s="51"/>
      <c r="F97" s="51">
        <v>0.9</v>
      </c>
      <c r="G97" s="51">
        <v>0.1</v>
      </c>
      <c r="H97" s="51"/>
      <c r="I97" s="53">
        <f t="shared" si="4"/>
        <v>6.8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50">
        <v>65</v>
      </c>
      <c r="B98" s="60">
        <v>246</v>
      </c>
      <c r="C98" s="60">
        <v>11</v>
      </c>
      <c r="D98" s="60">
        <v>23</v>
      </c>
      <c r="E98" s="51"/>
      <c r="F98" s="51">
        <v>0.9</v>
      </c>
      <c r="G98" s="51">
        <v>0.1</v>
      </c>
      <c r="H98" s="51"/>
      <c r="I98" s="53">
        <f t="shared" si="4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50">
        <v>70</v>
      </c>
      <c r="B99" s="60">
        <v>249</v>
      </c>
      <c r="C99" s="60" t="s">
        <v>326</v>
      </c>
      <c r="D99" s="60">
        <v>249</v>
      </c>
      <c r="E99" s="51">
        <v>1</v>
      </c>
      <c r="F99" s="51"/>
      <c r="G99" s="51"/>
      <c r="H99" s="51"/>
      <c r="I99" s="53">
        <f t="shared" si="4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45</v>
      </c>
      <c r="C112" s="260" t="s">
        <v>46</v>
      </c>
      <c r="D112" s="260"/>
      <c r="E112" s="261" t="s">
        <v>47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6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6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6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6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6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6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50"/>
      <c r="B120" s="60"/>
      <c r="C120" s="60"/>
      <c r="D120" s="60"/>
      <c r="E120" s="51"/>
      <c r="F120" s="51"/>
      <c r="G120" s="51"/>
      <c r="H120" s="51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50"/>
      <c r="B121" s="50"/>
      <c r="C121" s="50"/>
      <c r="D121" s="50"/>
      <c r="E121" s="51"/>
      <c r="F121" s="51"/>
      <c r="G121" s="51"/>
      <c r="H121" s="51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45</v>
      </c>
      <c r="C138" s="260" t="s">
        <v>46</v>
      </c>
      <c r="D138" s="260"/>
      <c r="E138" s="261" t="s">
        <v>47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45</v>
      </c>
      <c r="C164" s="260" t="s">
        <v>46</v>
      </c>
      <c r="D164" s="260"/>
      <c r="E164" s="261" t="s">
        <v>47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45</v>
      </c>
      <c r="C190" s="260" t="s">
        <v>46</v>
      </c>
      <c r="D190" s="260"/>
      <c r="E190" s="261" t="s">
        <v>47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45</v>
      </c>
      <c r="C216" s="260" t="s">
        <v>46</v>
      </c>
      <c r="D216" s="260"/>
      <c r="E216" s="261" t="s">
        <v>47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45</v>
      </c>
      <c r="C242" s="260" t="s">
        <v>46</v>
      </c>
      <c r="D242" s="260"/>
      <c r="E242" s="261" t="s">
        <v>47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45</v>
      </c>
      <c r="C268" s="260" t="s">
        <v>46</v>
      </c>
      <c r="D268" s="260"/>
      <c r="E268" s="261" t="s">
        <v>47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5" zoomScaleNormal="115" workbookViewId="0">
      <selection activeCell="B17" sqref="B17"/>
    </sheetView>
  </sheetViews>
  <sheetFormatPr baseColWidth="10" defaultColWidth="11.36328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36328125" style="1"/>
    <col min="11" max="11" width="12.6328125" style="1" customWidth="1"/>
    <col min="12" max="16384" width="11.36328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4" t="s">
        <v>58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6328125" defaultRowHeight="14.5" x14ac:dyDescent="0.35"/>
  <cols>
    <col min="1" max="1" width="6.81640625" style="4" bestFit="1" customWidth="1"/>
    <col min="2" max="4" width="11.36328125" style="4"/>
    <col min="5" max="5" width="9.6328125" style="4" customWidth="1"/>
    <col min="6" max="7" width="11.36328125" style="4"/>
    <col min="8" max="8" width="10.7265625" style="4" customWidth="1"/>
    <col min="9" max="9" width="9.36328125" style="4" customWidth="1"/>
    <col min="10" max="11" width="10.6328125" style="4" bestFit="1" customWidth="1"/>
    <col min="12" max="12" width="14" style="4" bestFit="1" customWidth="1"/>
    <col min="13" max="13" width="14" style="4" customWidth="1"/>
    <col min="14" max="23" width="11.36328125" style="4"/>
    <col min="24" max="24" width="11.7265625" style="4" bestFit="1" customWidth="1"/>
    <col min="25" max="25" width="14.6328125" style="4" bestFit="1" customWidth="1"/>
    <col min="26" max="26" width="12.36328125" style="4" bestFit="1" customWidth="1"/>
    <col min="27" max="27" width="9.7265625" style="4" bestFit="1" customWidth="1"/>
    <col min="28" max="28" width="11" style="4" bestFit="1" customWidth="1"/>
    <col min="29" max="29" width="9.36328125" style="4" bestFit="1" customWidth="1"/>
    <col min="30" max="31" width="9.36328125" style="4" customWidth="1"/>
    <col min="32" max="32" width="11.36328125" style="4"/>
    <col min="33" max="34" width="14" style="4" bestFit="1" customWidth="1"/>
    <col min="35" max="35" width="10.6328125" style="4" bestFit="1" customWidth="1"/>
    <col min="36" max="36" width="9.36328125" style="4" bestFit="1" customWidth="1"/>
    <col min="37" max="38" width="10.6328125" style="4" bestFit="1" customWidth="1"/>
    <col min="39" max="41" width="10.6328125" style="4" customWidth="1"/>
    <col min="42" max="42" width="9" style="4" bestFit="1" customWidth="1"/>
    <col min="43" max="43" width="10.6328125" style="4" bestFit="1" customWidth="1"/>
    <col min="44" max="44" width="9.26953125" style="4" bestFit="1" customWidth="1"/>
    <col min="45" max="45" width="11.7265625" style="4" bestFit="1" customWidth="1"/>
    <col min="46" max="46" width="8.36328125" style="4" bestFit="1" customWidth="1"/>
    <col min="47" max="47" width="9.36328125" style="4" bestFit="1" customWidth="1"/>
    <col min="48" max="48" width="9.7265625" style="4" bestFit="1" customWidth="1"/>
    <col min="49" max="49" width="11" style="4" bestFit="1" customWidth="1"/>
    <col min="50" max="50" width="9.36328125" style="4" bestFit="1" customWidth="1"/>
    <col min="51" max="52" width="9.36328125" style="4" customWidth="1"/>
    <col min="53" max="53" width="10.6328125" style="4" bestFit="1" customWidth="1"/>
    <col min="54" max="54" width="14.26953125" style="4" customWidth="1"/>
    <col min="55" max="55" width="14" style="4" customWidth="1"/>
    <col min="56" max="56" width="10.6328125" style="4" bestFit="1" customWidth="1"/>
    <col min="57" max="57" width="9.36328125" style="4" bestFit="1" customWidth="1"/>
    <col min="58" max="59" width="10.6328125" style="4" bestFit="1" customWidth="1"/>
    <col min="60" max="62" width="10.6328125" style="4" customWidth="1"/>
    <col min="63" max="63" width="9" style="4" bestFit="1" customWidth="1"/>
    <col min="64" max="64" width="10.6328125" style="4" bestFit="1" customWidth="1"/>
    <col min="65" max="65" width="9.26953125" style="4" bestFit="1" customWidth="1"/>
    <col min="66" max="66" width="11.7265625" style="4" bestFit="1" customWidth="1"/>
    <col min="67" max="67" width="8.36328125" style="4" bestFit="1" customWidth="1"/>
    <col min="68" max="68" width="9.36328125" style="4" bestFit="1" customWidth="1"/>
    <col min="69" max="69" width="9.7265625" style="4" bestFit="1" customWidth="1"/>
    <col min="70" max="70" width="11" style="4" bestFit="1" customWidth="1"/>
    <col min="71" max="71" width="9.36328125" style="4" bestFit="1" customWidth="1"/>
    <col min="72" max="73" width="9.36328125" style="4" customWidth="1"/>
    <col min="74" max="74" width="10.6328125" style="4" bestFit="1" customWidth="1"/>
    <col min="75" max="75" width="14" style="4" bestFit="1" customWidth="1"/>
    <col min="76" max="76" width="13.81640625" style="4" customWidth="1"/>
    <col min="77" max="77" width="10.6328125" style="4" bestFit="1" customWidth="1"/>
    <col min="78" max="78" width="9.36328125" style="4" bestFit="1" customWidth="1"/>
    <col min="79" max="80" width="10.6328125" style="4" bestFit="1" customWidth="1"/>
    <col min="81" max="83" width="10.6328125" style="4" customWidth="1"/>
    <col min="84" max="84" width="11.36328125" style="4"/>
    <col min="85" max="85" width="10.6328125" style="4" bestFit="1" customWidth="1"/>
    <col min="86" max="86" width="9.26953125" style="4" bestFit="1" customWidth="1"/>
    <col min="87" max="87" width="11.7265625" style="4" bestFit="1" customWidth="1"/>
    <col min="88" max="88" width="8.36328125" style="4" bestFit="1" customWidth="1"/>
    <col min="89" max="89" width="9.36328125" style="4" bestFit="1" customWidth="1"/>
    <col min="90" max="90" width="9.7265625" style="4" bestFit="1" customWidth="1"/>
    <col min="91" max="91" width="11" style="4" bestFit="1" customWidth="1"/>
    <col min="92" max="92" width="9.36328125" style="4" bestFit="1" customWidth="1"/>
    <col min="93" max="94" width="9.36328125" style="4" customWidth="1"/>
    <col min="95" max="95" width="11.36328125" style="4"/>
    <col min="96" max="97" width="14" style="4" customWidth="1"/>
    <col min="98" max="98" width="10.6328125" style="4" bestFit="1" customWidth="1"/>
    <col min="99" max="99" width="9.36328125" style="4" bestFit="1" customWidth="1"/>
    <col min="100" max="101" width="10.6328125" style="4" bestFit="1" customWidth="1"/>
    <col min="102" max="104" width="10.6328125" style="4" customWidth="1"/>
    <col min="105" max="105" width="9" style="4" bestFit="1" customWidth="1"/>
    <col min="106" max="106" width="10.6328125" style="4" bestFit="1" customWidth="1"/>
    <col min="107" max="107" width="9.26953125" style="4" bestFit="1" customWidth="1"/>
    <col min="108" max="108" width="11.7265625" style="4" bestFit="1" customWidth="1"/>
    <col min="109" max="109" width="8.36328125" style="4" bestFit="1" customWidth="1"/>
    <col min="110" max="110" width="9.36328125" style="4" bestFit="1" customWidth="1"/>
    <col min="111" max="111" width="9.7265625" style="4" bestFit="1" customWidth="1"/>
    <col min="112" max="112" width="11" style="4" bestFit="1" customWidth="1"/>
    <col min="113" max="113" width="9.36328125" style="4" bestFit="1" customWidth="1"/>
    <col min="114" max="115" width="9.36328125" style="4" customWidth="1"/>
    <col min="116" max="116" width="10.6328125" style="4" bestFit="1" customWidth="1"/>
    <col min="117" max="117" width="14.26953125" style="4" customWidth="1"/>
    <col min="118" max="118" width="14" style="4" bestFit="1" customWidth="1"/>
    <col min="119" max="119" width="10.6328125" style="4" bestFit="1" customWidth="1"/>
    <col min="120" max="120" width="9.36328125" style="4" bestFit="1" customWidth="1"/>
    <col min="121" max="122" width="10.6328125" style="4" bestFit="1" customWidth="1"/>
    <col min="123" max="125" width="10.6328125" style="4" customWidth="1"/>
    <col min="126" max="126" width="9" style="4" bestFit="1" customWidth="1"/>
    <col min="127" max="127" width="10.6328125" style="4" bestFit="1" customWidth="1"/>
    <col min="128" max="128" width="9.26953125" style="4" bestFit="1" customWidth="1"/>
    <col min="129" max="129" width="11.7265625" style="4" bestFit="1" customWidth="1"/>
    <col min="130" max="130" width="8.36328125" style="4" bestFit="1" customWidth="1"/>
    <col min="131" max="131" width="9.36328125" style="4" bestFit="1" customWidth="1"/>
    <col min="132" max="132" width="9.7265625" style="4" bestFit="1" customWidth="1"/>
    <col min="133" max="133" width="11" style="4" bestFit="1" customWidth="1"/>
    <col min="134" max="134" width="9.36328125" style="4" bestFit="1" customWidth="1"/>
    <col min="135" max="136" width="9.36328125" style="4" customWidth="1"/>
    <col min="137" max="137" width="10.6328125" style="4" bestFit="1" customWidth="1"/>
    <col min="138" max="139" width="14" style="4" customWidth="1"/>
    <col min="140" max="140" width="10.6328125" style="4" bestFit="1" customWidth="1"/>
    <col min="141" max="141" width="9.36328125" style="4" bestFit="1" customWidth="1"/>
    <col min="142" max="143" width="10.6328125" style="4" bestFit="1" customWidth="1"/>
    <col min="144" max="146" width="10.6328125" style="4" customWidth="1"/>
    <col min="147" max="147" width="9" style="4" bestFit="1" customWidth="1"/>
    <col min="148" max="148" width="10.6328125" style="4" bestFit="1" customWidth="1"/>
    <col min="149" max="149" width="9.26953125" style="4" bestFit="1" customWidth="1"/>
    <col min="150" max="150" width="11.7265625" style="4" bestFit="1" customWidth="1"/>
    <col min="151" max="151" width="8.36328125" style="4" bestFit="1" customWidth="1"/>
    <col min="152" max="152" width="9.36328125" style="4" bestFit="1" customWidth="1"/>
    <col min="153" max="153" width="9.7265625" style="4" bestFit="1" customWidth="1"/>
    <col min="154" max="154" width="11" style="4" bestFit="1" customWidth="1"/>
    <col min="155" max="155" width="9.36328125" style="4" bestFit="1" customWidth="1"/>
    <col min="156" max="157" width="9.36328125" style="4" customWidth="1"/>
    <col min="158" max="158" width="11.36328125" style="4"/>
    <col min="159" max="160" width="14" style="4" bestFit="1" customWidth="1"/>
    <col min="161" max="161" width="10.6328125" style="4" bestFit="1" customWidth="1"/>
    <col min="162" max="162" width="9.36328125" style="4" bestFit="1" customWidth="1"/>
    <col min="163" max="164" width="10.6328125" style="4" bestFit="1" customWidth="1"/>
    <col min="165" max="167" width="10.6328125" style="4" customWidth="1"/>
    <col min="168" max="168" width="9" style="4" bestFit="1" customWidth="1"/>
    <col min="169" max="169" width="10.6328125" style="4" bestFit="1" customWidth="1"/>
    <col min="170" max="170" width="9.26953125" style="4" bestFit="1" customWidth="1"/>
    <col min="171" max="171" width="11.7265625" style="4" bestFit="1" customWidth="1"/>
    <col min="172" max="172" width="8.08984375" style="4" bestFit="1" customWidth="1"/>
    <col min="173" max="173" width="9.36328125" style="4" bestFit="1" customWidth="1"/>
    <col min="174" max="174" width="9.7265625" style="4" bestFit="1" customWidth="1"/>
    <col min="175" max="175" width="11" style="4" bestFit="1" customWidth="1"/>
    <col min="176" max="176" width="9.36328125" style="4" bestFit="1" customWidth="1"/>
    <col min="177" max="178" width="9.36328125" style="4" customWidth="1"/>
    <col min="179" max="179" width="10.6328125" style="4" bestFit="1" customWidth="1"/>
    <col min="180" max="181" width="14" style="4" bestFit="1" customWidth="1"/>
    <col min="182" max="182" width="10.6328125" style="4" bestFit="1" customWidth="1"/>
    <col min="183" max="183" width="9.36328125" style="4" bestFit="1" customWidth="1"/>
    <col min="184" max="185" width="10.6328125" style="4" bestFit="1" customWidth="1"/>
    <col min="186" max="188" width="10.6328125" style="4" customWidth="1"/>
    <col min="189" max="189" width="9" style="4" bestFit="1" customWidth="1"/>
    <col min="190" max="190" width="10.6328125" style="4" bestFit="1" customWidth="1"/>
    <col min="191" max="191" width="9.26953125" style="4" bestFit="1" customWidth="1"/>
    <col min="192" max="192" width="11.36328125" style="4"/>
    <col min="193" max="193" width="8.36328125" style="4" bestFit="1" customWidth="1"/>
    <col min="194" max="194" width="9.36328125" style="4" bestFit="1" customWidth="1"/>
    <col min="195" max="195" width="9.7265625" style="4" bestFit="1" customWidth="1"/>
    <col min="196" max="196" width="11" style="4" bestFit="1" customWidth="1"/>
    <col min="197" max="197" width="9.36328125" style="4" bestFit="1" customWidth="1"/>
    <col min="198" max="199" width="9.36328125" style="4" customWidth="1"/>
    <col min="200" max="200" width="10.6328125" style="4" bestFit="1" customWidth="1"/>
    <col min="201" max="201" width="14" style="4" customWidth="1"/>
    <col min="202" max="202" width="14.26953125" style="4" customWidth="1"/>
    <col min="203" max="203" width="10.6328125" style="4" bestFit="1" customWidth="1"/>
    <col min="204" max="204" width="9.36328125" style="4" bestFit="1" customWidth="1"/>
    <col min="205" max="206" width="10.6328125" style="4" bestFit="1" customWidth="1"/>
    <col min="207" max="209" width="10.6328125" style="4" customWidth="1"/>
    <col min="210" max="210" width="9" style="4" bestFit="1" customWidth="1"/>
    <col min="211" max="211" width="10.6328125" style="4" bestFit="1" customWidth="1"/>
    <col min="212" max="212" width="9.26953125" style="4" bestFit="1" customWidth="1"/>
    <col min="213" max="213" width="11.7265625" style="4" bestFit="1" customWidth="1"/>
    <col min="214" max="214" width="8.36328125" style="4" bestFit="1" customWidth="1"/>
    <col min="215" max="215" width="9.36328125" style="4" bestFit="1" customWidth="1"/>
    <col min="216" max="216" width="9.7265625" style="4" bestFit="1" customWidth="1"/>
    <col min="217" max="217" width="11" style="4" bestFit="1" customWidth="1"/>
    <col min="218" max="218" width="9.36328125" style="4" bestFit="1" customWidth="1"/>
    <col min="219" max="16384" width="11.36328125" style="4"/>
  </cols>
  <sheetData>
    <row r="1" spans="1:218" ht="26.5" thickBot="1" x14ac:dyDescent="0.65">
      <c r="B1" s="280" t="s">
        <v>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Epicéa de Sitka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Chêne rouge d'Amérique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52</v>
      </c>
      <c r="X2" s="7" t="s">
        <v>53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52</v>
      </c>
      <c r="AS2" s="7" t="s">
        <v>53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52</v>
      </c>
      <c r="BN2" s="7" t="s">
        <v>53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52</v>
      </c>
      <c r="CI2" s="7" t="s">
        <v>53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52</v>
      </c>
      <c r="DD2" s="7" t="s">
        <v>53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52</v>
      </c>
      <c r="DY2" s="7" t="s">
        <v>53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52</v>
      </c>
      <c r="ET2" s="7" t="s">
        <v>53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52</v>
      </c>
      <c r="FO2" s="7" t="s">
        <v>53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52</v>
      </c>
      <c r="GJ2" s="7" t="s">
        <v>53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52</v>
      </c>
      <c r="HE2" s="7" t="s">
        <v>53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507.66185230065889</v>
      </c>
      <c r="T3" s="59">
        <f>IF('Données projet'!E9&gt;30,$R$33-$H$33,LOOKUP('Données projet'!$E$9,$A$3:$A$203,R3:R203)-LOOKUP('Données projet'!$E$9,$A$3:$A$203,$H$3:$H$203))</f>
        <v>640.14375617778342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332.74717458063787</v>
      </c>
      <c r="AO3" s="59">
        <f>IF('Données projet'!E10&gt;30,$AM$33-$H$33,LOOKUP('Données projet'!$E$10,$A$3:$A$203,AM3:AM203)-LOOKUP('Données projet'!$E$10,$A$3:$A$203,$H$3:$H$203))</f>
        <v>408.69087885751878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341.62910675299065</v>
      </c>
      <c r="BJ3" s="59">
        <f>IF('Données projet'!E11&gt;30,$BH$33-$H$33,LOOKUP('Données projet'!$E$11,$A$3:$A$203,BH3:BH203)-LOOKUP('Données projet'!$E$11,$A$3:$A$203,$H$3:$H$203))</f>
        <v>407.15938341104709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14.88</v>
      </c>
      <c r="N4" s="13">
        <f>IF('Données projet'!$A$36&gt;35,N3+M4-V3,IF(A4&lt;'Données projet'!$A$36,$K$205^A4,IF(A4='Données projet'!$A$36,'Données projet'!$B$36,N3+M4-V3)))</f>
        <v>1.2671315883708416</v>
      </c>
      <c r="O4" s="13">
        <f>N4*VLOOKUP('Données projet'!$B$9,Paramètres!$A$1:$I$89,3,0)*VLOOKUP('Données projet'!$B$9,Paramètres!$A$1:$I$89,5,0)</f>
        <v>0.70832655789930044</v>
      </c>
      <c r="P4" s="13">
        <f>EXP(-1.0587+0.8836*LN(O4)+0.284)</f>
        <v>0.33979611410372723</v>
      </c>
      <c r="Q4" s="20">
        <f t="shared" ref="Q4:Q34" si="2">(O4+P4)*0.475*44/12</f>
        <v>1.825480320405273</v>
      </c>
      <c r="R4" s="59">
        <f t="shared" si="0"/>
        <v>169.6379142733291</v>
      </c>
      <c r="S4" s="59">
        <f ca="1">AVERAGE(OFFSET($R$3,0,0,'Données projet'!$E$9+1,1))-AVERAGE(OFFSET($H$3,0,0,'Données projet'!$E$9+1,1))</f>
        <v>507.66185230065889</v>
      </c>
      <c r="T4" s="59">
        <f>$T$3</f>
        <v>640.14375617778342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7.15</v>
      </c>
      <c r="AI4" s="13">
        <f>IF('Données projet'!$A$62&gt;35,AI3+AH4-AQ3,IF(A4&lt;'Données projet'!$A$62,$AF$205^A4,IF(A4='Données projet'!$A$62,'Données projet'!$B$62,AI3+AH4-AQ3)))</f>
        <v>1.2816422091414759</v>
      </c>
      <c r="AJ4" s="13">
        <f>AI4*VLOOKUP('Données projet'!$B$10,Paramètres!$A$1:$I$89,3,0)*VLOOKUP('Données projet'!$B$10,Paramètres!$A$1:$I$89,5,0)</f>
        <v>0.59980855387821075</v>
      </c>
      <c r="AK4" s="13">
        <f>EXP(-1.0587+0.8836*LN(AJ4)+0.284)</f>
        <v>0.29336212767391762</v>
      </c>
      <c r="AL4" s="20">
        <f t="shared" ref="AL4:AL67" si="4">(AJ4+AK4)*0.475*44/12</f>
        <v>1.5556056037032899</v>
      </c>
      <c r="AM4" s="59">
        <f t="shared" ref="AM4:AM67" si="5">AL4+(AD4+AE4)*44/12</f>
        <v>169.36803955662714</v>
      </c>
      <c r="AN4" s="59">
        <f ca="1">AVERAGE(OFFSET($AM$3,0,0,'Données projet'!$E$10+1,1))-AVERAGE(OFFSET($H$3,0,0,'Données projet'!$E$10+1,1))</f>
        <v>332.74717458063787</v>
      </c>
      <c r="AO4" s="59">
        <f>$AO$3</f>
        <v>408.69087885751878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</v>
      </c>
      <c r="BD4" s="12">
        <f>IF('Données projet'!$A$88&gt;35,BD3+BC4-BL3,IF(A4&lt;'Données projet'!$A$88,$BA$205^A4,IF(A4='Données projet'!$A$88,'Données projet'!$B$88,BD3+BC4-BL3)))</f>
        <v>1.3467943429205997</v>
      </c>
      <c r="BE4" s="13">
        <f>BD4*VLOOKUP('Données projet'!$B$11,Paramètres!$A$1:$I$89,3,0)*VLOOKUP('Données projet'!$B$11,Paramètres!$A$1:$I$89,5,0)</f>
        <v>1.1765595379754361</v>
      </c>
      <c r="BF4" s="13">
        <f>EXP(-1.0587+0.8836*LN(BE4)+0.284)</f>
        <v>0.53204273185561757</v>
      </c>
      <c r="BG4" s="20">
        <f t="shared" ref="BG4:BG67" si="7">(BE4+BF4)*0.475*44/12</f>
        <v>2.9758156199557515</v>
      </c>
      <c r="BH4" s="59">
        <f t="shared" ref="BH4:BH67" si="8">BG4+(AY4+AZ4)*44/12</f>
        <v>170.78824957287958</v>
      </c>
      <c r="BI4" s="59">
        <f ca="1">AVERAGE(OFFSET($BH$3,0,0,'Données projet'!$E$11+1,1))-AVERAGE(OFFSET($H$3,0,0,'Données projet'!$E$11+1,1))</f>
        <v>341.62910675299065</v>
      </c>
      <c r="BJ4" s="59">
        <f>$BJ$3</f>
        <v>407.15938341104709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14.88</v>
      </c>
      <c r="N5" s="13">
        <f>IF('Données projet'!$A$36&gt;35,N4+M5-V4,IF(A5&lt;'Données projet'!$A$36,$K$205^A5,IF(A5='Données projet'!$A$36,'Données projet'!$B$36,N4+M5-V4)))</f>
        <v>1.6056224622472119</v>
      </c>
      <c r="O5" s="13">
        <f>N5*VLOOKUP('Données projet'!$B$9,Paramètres!$A$1:$I$89,3,0)*VLOOKUP('Données projet'!$B$9,Paramètres!$A$1:$I$89,5,0)</f>
        <v>0.89754295639619153</v>
      </c>
      <c r="P5" s="13">
        <f t="shared" ref="P5:P68" si="33">EXP(-1.0587+0.8836*LN(O5)+0.284)</f>
        <v>0.4188626901427947</v>
      </c>
      <c r="Q5" s="20">
        <f t="shared" si="2"/>
        <v>2.2927398343887342</v>
      </c>
      <c r="R5" s="59">
        <f t="shared" si="0"/>
        <v>172.89002112188956</v>
      </c>
      <c r="S5" s="59">
        <f ca="1">AVERAGE(OFFSET($R$3,0,0,'Données projet'!$E$9+1,1))-AVERAGE(OFFSET($H$3,0,0,'Données projet'!$E$9+1,1))</f>
        <v>507.66185230065889</v>
      </c>
      <c r="T5" s="59">
        <f t="shared" ref="T5:T68" si="34">$T$3</f>
        <v>640.14375617778342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7.15</v>
      </c>
      <c r="AI5" s="13">
        <f>IF('Données projet'!$A$62&gt;35,AI4+AH5-AQ4,IF(A5&lt;'Données projet'!$A$62,$AF$205^A5,IF(A5='Données projet'!$A$62,'Données projet'!$B$62,AI4+AH5-AQ4)))</f>
        <v>1.6426067522530425</v>
      </c>
      <c r="AJ5" s="13">
        <f>AI5*VLOOKUP('Données projet'!$B$10,Paramètres!$A$1:$I$89,3,0)*VLOOKUP('Données projet'!$B$10,Paramètres!$A$1:$I$89,5,0)</f>
        <v>0.76873996005442391</v>
      </c>
      <c r="AK5" s="13">
        <f t="shared" ref="AK5:AK68" si="35">EXP(-1.0587+0.8836*LN(AJ5)+0.284)</f>
        <v>0.36528075594578191</v>
      </c>
      <c r="AL5" s="20">
        <f t="shared" si="4"/>
        <v>1.9750860803670249</v>
      </c>
      <c r="AM5" s="59">
        <f t="shared" si="5"/>
        <v>172.57236736786786</v>
      </c>
      <c r="AN5" s="59">
        <f ca="1">AVERAGE(OFFSET($AM$3,0,0,'Données projet'!$E$10+1,1))-AVERAGE(OFFSET($H$3,0,0,'Données projet'!$E$10+1,1))</f>
        <v>332.74717458063787</v>
      </c>
      <c r="AO5" s="59">
        <f t="shared" ref="AO5:AO68" si="36">$AO$3</f>
        <v>408.69087885751878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</v>
      </c>
      <c r="BD5" s="12">
        <f>IF('Données projet'!$A$88&gt;35,BD4+BC5-BL4,IF(A5&lt;'Données projet'!$A$88,$BA$205^A5,IF(A5='Données projet'!$A$88,'Données projet'!$B$88,BD4+BC5-BL4)))</f>
        <v>1.81385500212293</v>
      </c>
      <c r="BE5" s="13">
        <f>BD5*VLOOKUP('Données projet'!$B$11,Paramètres!$A$1:$I$89,3,0)*VLOOKUP('Données projet'!$B$11,Paramètres!$A$1:$I$89,5,0)</f>
        <v>1.5845837298545919</v>
      </c>
      <c r="BF5" s="13">
        <f t="shared" ref="BF5:BF68" si="37">EXP(-1.0587+0.8836*LN(BE5)+0.284)</f>
        <v>0.69214506839939893</v>
      </c>
      <c r="BG5" s="20">
        <f t="shared" si="7"/>
        <v>3.9653026569590337</v>
      </c>
      <c r="BH5" s="59">
        <f t="shared" si="8"/>
        <v>174.56258394445987</v>
      </c>
      <c r="BI5" s="59">
        <f ca="1">AVERAGE(OFFSET($BH$3,0,0,'Données projet'!$E$11+1,1))-AVERAGE(OFFSET($H$3,0,0,'Données projet'!$E$11+1,1))</f>
        <v>341.62910675299065</v>
      </c>
      <c r="BJ5" s="59">
        <f t="shared" ref="BJ5:BJ68" si="38">$BJ$3</f>
        <v>407.15938341104709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14.88</v>
      </c>
      <c r="N6" s="13">
        <f>IF('Données projet'!$A$36&gt;35,N5+M6-V5,IF(A6&lt;'Données projet'!$A$36,$K$205^A6,IF(A6='Données projet'!$A$36,'Données projet'!$B$36,N5+M6-V5)))</f>
        <v>2.0345349409112115</v>
      </c>
      <c r="O6" s="13">
        <f>N6*VLOOKUP('Données projet'!$B$9,Paramètres!$A$1:$I$89,3,0)*VLOOKUP('Données projet'!$B$9,Paramètres!$A$1:$I$89,5,0)</f>
        <v>1.1373050319693672</v>
      </c>
      <c r="P6" s="13">
        <f t="shared" si="33"/>
        <v>0.51632713239357908</v>
      </c>
      <c r="Q6" s="20">
        <f t="shared" si="2"/>
        <v>2.880076019598798</v>
      </c>
      <c r="R6" s="59">
        <f t="shared" si="0"/>
        <v>176.23509658948367</v>
      </c>
      <c r="S6" s="59">
        <f ca="1">AVERAGE(OFFSET($R$3,0,0,'Données projet'!$E$9+1,1))-AVERAGE(OFFSET($H$3,0,0,'Données projet'!$E$9+1,1))</f>
        <v>507.66185230065889</v>
      </c>
      <c r="T6" s="59">
        <f t="shared" si="34"/>
        <v>640.14375617778342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7.15</v>
      </c>
      <c r="AI6" s="13">
        <f>IF('Données projet'!$A$62&gt;35,AI5+AH6-AQ5,IF(A6&lt;'Données projet'!$A$62,$AF$205^A6,IF(A6='Données projet'!$A$62,'Données projet'!$B$62,AI5+AH6-AQ5)))</f>
        <v>2.1052341467082942</v>
      </c>
      <c r="AJ6" s="13">
        <f>AI6*VLOOKUP('Données projet'!$B$10,Paramètres!$A$1:$I$89,3,0)*VLOOKUP('Données projet'!$B$10,Paramètres!$A$1:$I$89,5,0)</f>
        <v>0.98524958065948176</v>
      </c>
      <c r="AK6" s="13">
        <f t="shared" si="35"/>
        <v>0.45483045723146009</v>
      </c>
      <c r="AL6" s="20">
        <f t="shared" si="4"/>
        <v>2.508139399326724</v>
      </c>
      <c r="AM6" s="59">
        <f t="shared" si="5"/>
        <v>175.86315996921161</v>
      </c>
      <c r="AN6" s="59">
        <f ca="1">AVERAGE(OFFSET($AM$3,0,0,'Données projet'!$E$10+1,1))-AVERAGE(OFFSET($H$3,0,0,'Données projet'!$E$10+1,1))</f>
        <v>332.74717458063787</v>
      </c>
      <c r="AO6" s="59">
        <f t="shared" si="36"/>
        <v>408.69087885751878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</v>
      </c>
      <c r="BD6" s="12">
        <f>IF('Données projet'!$A$88&gt;35,BD5+BC6-BL5,IF(A6&lt;'Données projet'!$A$88,$BA$205^A6,IF(A6='Données projet'!$A$88,'Données projet'!$B$88,BD5+BC6-BL5)))</f>
        <v>2.4428896557373947</v>
      </c>
      <c r="BE6" s="13">
        <f>BD6*VLOOKUP('Données projet'!$B$11,Paramètres!$A$1:$I$89,3,0)*VLOOKUP('Données projet'!$B$11,Paramètres!$A$1:$I$89,5,0)</f>
        <v>2.1341084032521884</v>
      </c>
      <c r="BF6" s="13">
        <f t="shared" si="37"/>
        <v>0.90042541139273424</v>
      </c>
      <c r="BG6" s="20">
        <f t="shared" si="7"/>
        <v>5.2851463938399075</v>
      </c>
      <c r="BH6" s="59">
        <f t="shared" si="8"/>
        <v>178.64016696372479</v>
      </c>
      <c r="BI6" s="59">
        <f ca="1">AVERAGE(OFFSET($BH$3,0,0,'Données projet'!$E$11+1,1))-AVERAGE(OFFSET($H$3,0,0,'Données projet'!$E$11+1,1))</f>
        <v>341.62910675299065</v>
      </c>
      <c r="BJ6" s="59">
        <f t="shared" si="38"/>
        <v>407.15938341104709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14.88</v>
      </c>
      <c r="N7" s="13">
        <f>IF('Données projet'!$A$36&gt;35,N6+M7-V6,IF(A7&lt;'Données projet'!$A$36,$K$205^A7,IF(A7='Données projet'!$A$36,'Données projet'!$B$36,N6+M7-V6)))</f>
        <v>2.5780234912727997</v>
      </c>
      <c r="O7" s="13">
        <f>N7*VLOOKUP('Données projet'!$B$9,Paramètres!$A$1:$I$89,3,0)*VLOOKUP('Données projet'!$B$9,Paramètres!$A$1:$I$89,5,0)</f>
        <v>1.441115131621495</v>
      </c>
      <c r="P7" s="13">
        <f t="shared" si="33"/>
        <v>0.63647040884661232</v>
      </c>
      <c r="Q7" s="20">
        <f t="shared" si="2"/>
        <v>3.618461482981953</v>
      </c>
      <c r="R7" s="59">
        <f t="shared" si="0"/>
        <v>179.7045835471589</v>
      </c>
      <c r="S7" s="59">
        <f ca="1">AVERAGE(OFFSET($R$3,0,0,'Données projet'!$E$9+1,1))-AVERAGE(OFFSET($H$3,0,0,'Données projet'!$E$9+1,1))</f>
        <v>507.66185230065889</v>
      </c>
      <c r="T7" s="59">
        <f t="shared" si="34"/>
        <v>640.14375617778342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7.15</v>
      </c>
      <c r="AI7" s="13">
        <f>IF('Données projet'!$A$62&gt;35,AI6+AH7-AQ6,IF(A7&lt;'Données projet'!$A$62,$AF$205^A7,IF(A7='Données projet'!$A$62,'Données projet'!$B$62,AI6+AH7-AQ6)))</f>
        <v>2.6981569425472882</v>
      </c>
      <c r="AJ7" s="13">
        <f>AI7*VLOOKUP('Données projet'!$B$10,Paramètres!$A$1:$I$89,3,0)*VLOOKUP('Données projet'!$B$10,Paramètres!$A$1:$I$89,5,0)</f>
        <v>1.2627374491121308</v>
      </c>
      <c r="AK7" s="13">
        <f t="shared" si="35"/>
        <v>0.5663335433309401</v>
      </c>
      <c r="AL7" s="20">
        <f t="shared" si="4"/>
        <v>3.1856319785050151</v>
      </c>
      <c r="AM7" s="59">
        <f t="shared" si="5"/>
        <v>179.27175404268198</v>
      </c>
      <c r="AN7" s="59">
        <f ca="1">AVERAGE(OFFSET($AM$3,0,0,'Données projet'!$E$10+1,1))-AVERAGE(OFFSET($H$3,0,0,'Données projet'!$E$10+1,1))</f>
        <v>332.74717458063787</v>
      </c>
      <c r="AO7" s="59">
        <f t="shared" si="36"/>
        <v>408.69087885751878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</v>
      </c>
      <c r="BD7" s="12">
        <f>IF('Données projet'!$A$88&gt;35,BD6+BC7-BL6,IF(A7&lt;'Données projet'!$A$88,$BA$205^A7,IF(A7='Données projet'!$A$88,'Données projet'!$B$88,BD6+BC7-BL6)))</f>
        <v>3.2900699687263746</v>
      </c>
      <c r="BE7" s="13">
        <f>BD7*VLOOKUP('Données projet'!$B$11,Paramètres!$A$1:$I$89,3,0)*VLOOKUP('Données projet'!$B$11,Paramètres!$A$1:$I$89,5,0)</f>
        <v>2.874205124679361</v>
      </c>
      <c r="BF7" s="13">
        <f t="shared" si="37"/>
        <v>1.1713814899478936</v>
      </c>
      <c r="BG7" s="20">
        <f t="shared" si="7"/>
        <v>7.0460633538091342</v>
      </c>
      <c r="BH7" s="59">
        <f t="shared" si="8"/>
        <v>183.13218541798608</v>
      </c>
      <c r="BI7" s="59">
        <f ca="1">AVERAGE(OFFSET($BH$3,0,0,'Données projet'!$E$11+1,1))-AVERAGE(OFFSET($H$3,0,0,'Données projet'!$E$11+1,1))</f>
        <v>341.62910675299065</v>
      </c>
      <c r="BJ7" s="59">
        <f t="shared" si="38"/>
        <v>407.15938341104709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14.88</v>
      </c>
      <c r="N8" s="13">
        <f>IF('Données projet'!$A$36&gt;35,N7+M8-V7,IF(A8&lt;'Données projet'!$A$36,$K$205^A8,IF(A8='Données projet'!$A$36,'Données projet'!$B$36,N7+M8-V7)))</f>
        <v>3.2666950013538454</v>
      </c>
      <c r="O8" s="13">
        <f>N8*VLOOKUP('Données projet'!$B$9,Paramètres!$A$1:$I$89,3,0)*VLOOKUP('Données projet'!$B$9,Paramètres!$A$1:$I$89,5,0)</f>
        <v>1.8260825057567995</v>
      </c>
      <c r="P8" s="13">
        <f t="shared" si="33"/>
        <v>0.78456961860486496</v>
      </c>
      <c r="Q8" s="20">
        <f t="shared" si="2"/>
        <v>4.5468857832632326</v>
      </c>
      <c r="R8" s="59">
        <f t="shared" si="0"/>
        <v>183.33793365971059</v>
      </c>
      <c r="S8" s="59">
        <f ca="1">AVERAGE(OFFSET($R$3,0,0,'Données projet'!$E$9+1,1))-AVERAGE(OFFSET($H$3,0,0,'Données projet'!$E$9+1,1))</f>
        <v>507.66185230065889</v>
      </c>
      <c r="T8" s="59">
        <f t="shared" si="34"/>
        <v>640.14375617778342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7.15</v>
      </c>
      <c r="AI8" s="13">
        <f>IF('Données projet'!$A$62&gt;35,AI7+AH8-AQ7,IF(A8&lt;'Données projet'!$A$62,$AF$205^A8,IF(A8='Données projet'!$A$62,'Données projet'!$B$62,AI7+AH8-AQ7)))</f>
        <v>3.4580718244567166</v>
      </c>
      <c r="AJ8" s="13">
        <f>AI8*VLOOKUP('Données projet'!$B$10,Paramètres!$A$1:$I$89,3,0)*VLOOKUP('Données projet'!$B$10,Paramètres!$A$1:$I$89,5,0)</f>
        <v>1.6183776138457435</v>
      </c>
      <c r="AK8" s="13">
        <f t="shared" si="35"/>
        <v>0.70517195408169131</v>
      </c>
      <c r="AL8" s="20">
        <f t="shared" si="4"/>
        <v>4.0468488308069483</v>
      </c>
      <c r="AM8" s="59">
        <f t="shared" si="5"/>
        <v>182.83789670725429</v>
      </c>
      <c r="AN8" s="59">
        <f ca="1">AVERAGE(OFFSET($AM$3,0,0,'Données projet'!$E$10+1,1))-AVERAGE(OFFSET($H$3,0,0,'Données projet'!$E$10+1,1))</f>
        <v>332.74717458063787</v>
      </c>
      <c r="AO8" s="59">
        <f t="shared" si="36"/>
        <v>408.69087885751878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</v>
      </c>
      <c r="BD8" s="12">
        <f>IF('Données projet'!$A$88&gt;35,BD7+BC8-BL7,IF(A8&lt;'Données projet'!$A$88,$BA$205^A8,IF(A8='Données projet'!$A$88,'Données projet'!$B$88,BD7+BC8-BL7)))</f>
        <v>4.4310476216936356</v>
      </c>
      <c r="BE8" s="13">
        <f>BD8*VLOOKUP('Données projet'!$B$11,Paramètres!$A$1:$I$89,3,0)*VLOOKUP('Données projet'!$B$11,Paramètres!$A$1:$I$89,5,0)</f>
        <v>3.8709632023115605</v>
      </c>
      <c r="BF8" s="13">
        <f t="shared" si="37"/>
        <v>1.5238736908481918</v>
      </c>
      <c r="BG8" s="20">
        <f t="shared" si="7"/>
        <v>9.3960075889199022</v>
      </c>
      <c r="BH8" s="59">
        <f t="shared" si="8"/>
        <v>188.18705546536725</v>
      </c>
      <c r="BI8" s="59">
        <f ca="1">AVERAGE(OFFSET($BH$3,0,0,'Données projet'!$E$11+1,1))-AVERAGE(OFFSET($H$3,0,0,'Données projet'!$E$11+1,1))</f>
        <v>341.62910675299065</v>
      </c>
      <c r="BJ8" s="59">
        <f t="shared" si="38"/>
        <v>407.15938341104709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14.88</v>
      </c>
      <c r="N9" s="13">
        <f>IF('Données projet'!$A$36&gt;35,N8+M9-V8,IF(A9&lt;'Données projet'!$A$36,$K$205^A9,IF(A9='Données projet'!$A$36,'Données projet'!$B$36,N8+M9-V8)))</f>
        <v>4.1393324257885862</v>
      </c>
      <c r="O9" s="13">
        <f>N9*VLOOKUP('Données projet'!$B$9,Paramètres!$A$1:$I$89,3,0)*VLOOKUP('Données projet'!$B$9,Paramètres!$A$1:$I$89,5,0)</f>
        <v>2.3138868260158199</v>
      </c>
      <c r="P9" s="13">
        <f t="shared" si="33"/>
        <v>0.96712977992686078</v>
      </c>
      <c r="Q9" s="20">
        <f t="shared" si="2"/>
        <v>5.7144372553501688</v>
      </c>
      <c r="R9" s="59">
        <f t="shared" si="0"/>
        <v>187.18468935160914</v>
      </c>
      <c r="S9" s="59">
        <f ca="1">AVERAGE(OFFSET($R$3,0,0,'Données projet'!$E$9+1,1))-AVERAGE(OFFSET($H$3,0,0,'Données projet'!$E$9+1,1))</f>
        <v>507.66185230065889</v>
      </c>
      <c r="T9" s="59">
        <f t="shared" si="34"/>
        <v>640.14375617778342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7.15</v>
      </c>
      <c r="AI9" s="13">
        <f>IF('Données projet'!$A$62&gt;35,AI8+AH9-AQ8,IF(A9&lt;'Données projet'!$A$62,$AF$205^A9,IF(A9='Données projet'!$A$62,'Données projet'!$B$62,AI8+AH9-AQ8)))</f>
        <v>4.4320108124665998</v>
      </c>
      <c r="AJ9" s="13">
        <f>AI9*VLOOKUP('Données projet'!$B$10,Paramètres!$A$1:$I$89,3,0)*VLOOKUP('Données projet'!$B$10,Paramètres!$A$1:$I$89,5,0)</f>
        <v>2.0741810602343684</v>
      </c>
      <c r="AK9" s="13">
        <f t="shared" si="35"/>
        <v>0.87804702843251825</v>
      </c>
      <c r="AL9" s="20">
        <f t="shared" si="4"/>
        <v>5.1417972544281598</v>
      </c>
      <c r="AM9" s="59">
        <f t="shared" si="5"/>
        <v>186.61204935068713</v>
      </c>
      <c r="AN9" s="59">
        <f ca="1">AVERAGE(OFFSET($AM$3,0,0,'Données projet'!$E$10+1,1))-AVERAGE(OFFSET($H$3,0,0,'Données projet'!$E$10+1,1))</f>
        <v>332.74717458063787</v>
      </c>
      <c r="AO9" s="59">
        <f t="shared" si="36"/>
        <v>408.69087885751878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</v>
      </c>
      <c r="BD9" s="12">
        <f>IF('Données projet'!$A$88&gt;35,BD8+BC9-BL8,IF(A9&lt;'Données projet'!$A$88,$BA$205^A9,IF(A9='Données projet'!$A$88,'Données projet'!$B$88,BD8+BC9-BL8)))</f>
        <v>5.9677098701087665</v>
      </c>
      <c r="BE9" s="13">
        <f>BD9*VLOOKUP('Données projet'!$B$11,Paramètres!$A$1:$I$89,3,0)*VLOOKUP('Données projet'!$B$11,Paramètres!$A$1:$I$89,5,0)</f>
        <v>5.2133913425270189</v>
      </c>
      <c r="BF9" s="13">
        <f t="shared" si="37"/>
        <v>1.9824378698032765</v>
      </c>
      <c r="BG9" s="20">
        <f t="shared" si="7"/>
        <v>12.53273587814193</v>
      </c>
      <c r="BH9" s="59">
        <f t="shared" si="8"/>
        <v>194.0029879744009</v>
      </c>
      <c r="BI9" s="59">
        <f ca="1">AVERAGE(OFFSET($BH$3,0,0,'Données projet'!$E$11+1,1))-AVERAGE(OFFSET($H$3,0,0,'Données projet'!$E$11+1,1))</f>
        <v>341.62910675299065</v>
      </c>
      <c r="BJ9" s="59">
        <f t="shared" si="38"/>
        <v>407.15938341104709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14.88</v>
      </c>
      <c r="N10" s="13">
        <f>IF('Données projet'!$A$36&gt;35,N9+M10-V9,IF(A10&lt;'Données projet'!$A$36,$K$205^A10,IF(A10='Données projet'!$A$36,'Données projet'!$B$36,N9+M10-V9)))</f>
        <v>5.245078871484421</v>
      </c>
      <c r="O10" s="13">
        <f>N10*VLOOKUP('Données projet'!$B$9,Paramètres!$A$1:$I$89,3,0)*VLOOKUP('Données projet'!$B$9,Paramètres!$A$1:$I$89,5,0)</f>
        <v>2.9319990891597913</v>
      </c>
      <c r="P10" s="13">
        <f t="shared" si="33"/>
        <v>1.1921695526327105</v>
      </c>
      <c r="Q10" s="20">
        <f t="shared" si="2"/>
        <v>7.1829270511219407</v>
      </c>
      <c r="R10" s="59">
        <f t="shared" si="0"/>
        <v>191.30710798685817</v>
      </c>
      <c r="S10" s="59">
        <f ca="1">AVERAGE(OFFSET($R$3,0,0,'Données projet'!$E$9+1,1))-AVERAGE(OFFSET($H$3,0,0,'Données projet'!$E$9+1,1))</f>
        <v>507.66185230065889</v>
      </c>
      <c r="T10" s="59">
        <f t="shared" si="34"/>
        <v>640.14375617778342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7.15</v>
      </c>
      <c r="AI10" s="13">
        <f>IF('Données projet'!$A$62&gt;35,AI9+AH10-AQ9,IF(A10&lt;'Données projet'!$A$62,$AF$205^A10,IF(A10='Données projet'!$A$62,'Données projet'!$B$62,AI9+AH10-AQ9)))</f>
        <v>5.6802521286286005</v>
      </c>
      <c r="AJ10" s="13">
        <f>AI10*VLOOKUP('Données projet'!$B$10,Paramètres!$A$1:$I$89,3,0)*VLOOKUP('Données projet'!$B$10,Paramètres!$A$1:$I$89,5,0)</f>
        <v>2.6583579961981854</v>
      </c>
      <c r="AK10" s="13">
        <f t="shared" si="35"/>
        <v>1.0933029591954853</v>
      </c>
      <c r="AL10" s="20">
        <f t="shared" si="4"/>
        <v>6.5341428306439759</v>
      </c>
      <c r="AM10" s="59">
        <f t="shared" si="5"/>
        <v>190.65832376638022</v>
      </c>
      <c r="AN10" s="59">
        <f ca="1">AVERAGE(OFFSET($AM$3,0,0,'Données projet'!$E$10+1,1))-AVERAGE(OFFSET($H$3,0,0,'Données projet'!$E$10+1,1))</f>
        <v>332.74717458063787</v>
      </c>
      <c r="AO10" s="59">
        <f t="shared" si="36"/>
        <v>408.69087885751878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</v>
      </c>
      <c r="BD10" s="12">
        <f>IF('Données projet'!$A$88&gt;35,BD9+BC10-BL9,IF(A10&lt;'Données projet'!$A$88,$BA$205^A10,IF(A10='Données projet'!$A$88,'Données projet'!$B$88,BD9+BC10-BL9)))</f>
        <v>8.0372778932539148</v>
      </c>
      <c r="BE10" s="13">
        <f>BD10*VLOOKUP('Données projet'!$B$11,Paramètres!$A$1:$I$89,3,0)*VLOOKUP('Données projet'!$B$11,Paramètres!$A$1:$I$89,5,0)</f>
        <v>7.0213659675466209</v>
      </c>
      <c r="BF10" s="13">
        <f t="shared" si="37"/>
        <v>2.5789932139603198</v>
      </c>
      <c r="BG10" s="20">
        <f t="shared" si="7"/>
        <v>16.72062557445792</v>
      </c>
      <c r="BH10" s="59">
        <f t="shared" si="8"/>
        <v>200.84480651019416</v>
      </c>
      <c r="BI10" s="59">
        <f ca="1">AVERAGE(OFFSET($BH$3,0,0,'Données projet'!$E$11+1,1))-AVERAGE(OFFSET($H$3,0,0,'Données projet'!$E$11+1,1))</f>
        <v>341.62910675299065</v>
      </c>
      <c r="BJ10" s="59">
        <f t="shared" si="38"/>
        <v>407.15938341104709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14.88</v>
      </c>
      <c r="N11" s="13">
        <f>IF('Données projet'!$A$36&gt;35,N10+M11-V10,IF(A11&lt;'Données projet'!$A$36,$K$205^A11,IF(A11='Données projet'!$A$36,'Données projet'!$B$36,N10+M11-V10)))</f>
        <v>6.6462051215543951</v>
      </c>
      <c r="O11" s="13">
        <f>N11*VLOOKUP('Données projet'!$B$9,Paramètres!$A$1:$I$89,3,0)*VLOOKUP('Données projet'!$B$9,Paramètres!$A$1:$I$89,5,0)</f>
        <v>3.7152286629489071</v>
      </c>
      <c r="P11" s="13">
        <f t="shared" si="33"/>
        <v>1.4695734447676303</v>
      </c>
      <c r="Q11" s="20">
        <f t="shared" si="2"/>
        <v>9.0301970042729689</v>
      </c>
      <c r="R11" s="59">
        <f t="shared" si="0"/>
        <v>195.78346987049352</v>
      </c>
      <c r="S11" s="59">
        <f ca="1">AVERAGE(OFFSET($R$3,0,0,'Données projet'!$E$9+1,1))-AVERAGE(OFFSET($H$3,0,0,'Données projet'!$E$9+1,1))</f>
        <v>507.66185230065889</v>
      </c>
      <c r="T11" s="59">
        <f t="shared" si="34"/>
        <v>640.14375617778342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7.15</v>
      </c>
      <c r="AI11" s="13">
        <f>IF('Données projet'!$A$62&gt;35,AI10+AH11-AQ10,IF(A11&lt;'Données projet'!$A$62,$AF$205^A11,IF(A11='Données projet'!$A$62,'Données projet'!$B$62,AI10+AH11-AQ10)))</f>
        <v>7.28005088661613</v>
      </c>
      <c r="AJ11" s="13">
        <f>AI11*VLOOKUP('Données projet'!$B$10,Paramètres!$A$1:$I$89,3,0)*VLOOKUP('Données projet'!$B$10,Paramètres!$A$1:$I$89,5,0)</f>
        <v>3.4070638149363486</v>
      </c>
      <c r="AK11" s="13">
        <f t="shared" si="35"/>
        <v>1.3613295437255377</v>
      </c>
      <c r="AL11" s="20">
        <f t="shared" si="4"/>
        <v>8.304951766336119</v>
      </c>
      <c r="AM11" s="59">
        <f t="shared" si="5"/>
        <v>195.05822463255669</v>
      </c>
      <c r="AN11" s="59">
        <f ca="1">AVERAGE(OFFSET($AM$3,0,0,'Données projet'!$E$10+1,1))-AVERAGE(OFFSET($H$3,0,0,'Données projet'!$E$10+1,1))</f>
        <v>332.74717458063787</v>
      </c>
      <c r="AO11" s="59">
        <f t="shared" si="36"/>
        <v>408.69087885751878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</v>
      </c>
      <c r="BD11" s="12">
        <f>IF('Données projet'!$A$88&gt;35,BD10+BC11-BL10,IF(A11&lt;'Données projet'!$A$88,$BA$205^A11,IF(A11='Données projet'!$A$88,'Données projet'!$B$88,BD10+BC11-BL10)))</f>
        <v>10.824560399115168</v>
      </c>
      <c r="BE11" s="13">
        <f>BD11*VLOOKUP('Données projet'!$B$11,Paramètres!$A$1:$I$89,3,0)*VLOOKUP('Données projet'!$B$11,Paramètres!$A$1:$I$89,5,0)</f>
        <v>9.4563359646670122</v>
      </c>
      <c r="BF11" s="13">
        <f t="shared" si="37"/>
        <v>3.3550640345230081</v>
      </c>
      <c r="BG11" s="20">
        <f t="shared" si="7"/>
        <v>22.313188331922618</v>
      </c>
      <c r="BH11" s="59">
        <f t="shared" si="8"/>
        <v>209.06646119814317</v>
      </c>
      <c r="BI11" s="59">
        <f ca="1">AVERAGE(OFFSET($BH$3,0,0,'Données projet'!$E$11+1,1))-AVERAGE(OFFSET($H$3,0,0,'Données projet'!$E$11+1,1))</f>
        <v>341.62910675299065</v>
      </c>
      <c r="BJ11" s="59">
        <f t="shared" si="38"/>
        <v>407.15938341104709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14.88</v>
      </c>
      <c r="N12" s="13">
        <f>IF('Données projet'!$A$36&gt;35,N11+M12-V11,IF(A12&lt;'Données projet'!$A$36,$K$205^A12,IF(A12='Données projet'!$A$36,'Données projet'!$B$36,N11+M12-V11)))</f>
        <v>8.4216164523136428</v>
      </c>
      <c r="O12" s="13">
        <f>N12*VLOOKUP('Données projet'!$B$9,Paramètres!$A$1:$I$89,3,0)*VLOOKUP('Données projet'!$B$9,Paramètres!$A$1:$I$89,5,0)</f>
        <v>4.7076835968433262</v>
      </c>
      <c r="P12" s="13">
        <f t="shared" si="33"/>
        <v>1.8115259736309957</v>
      </c>
      <c r="Q12" s="20">
        <f t="shared" si="2"/>
        <v>11.354290001909446</v>
      </c>
      <c r="R12" s="59">
        <f t="shared" si="0"/>
        <v>200.71224875446552</v>
      </c>
      <c r="S12" s="59">
        <f ca="1">AVERAGE(OFFSET($R$3,0,0,'Données projet'!$E$9+1,1))-AVERAGE(OFFSET($H$3,0,0,'Données projet'!$E$9+1,1))</f>
        <v>507.66185230065889</v>
      </c>
      <c r="T12" s="59">
        <f t="shared" si="34"/>
        <v>640.14375617778342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7.15</v>
      </c>
      <c r="AI12" s="13">
        <f>IF('Données projet'!$A$62&gt;35,AI11+AH12-AQ11,IF(A12&lt;'Données projet'!$A$62,$AF$205^A12,IF(A12='Données projet'!$A$62,'Données projet'!$B$62,AI11+AH12-AQ11)))</f>
        <v>9.3304205009850563</v>
      </c>
      <c r="AJ12" s="13">
        <f>AI12*VLOOKUP('Données projet'!$B$10,Paramètres!$A$1:$I$89,3,0)*VLOOKUP('Données projet'!$B$10,Paramètres!$A$1:$I$89,5,0)</f>
        <v>4.3666367944610061</v>
      </c>
      <c r="AK12" s="13">
        <f t="shared" si="35"/>
        <v>1.6950636701684998</v>
      </c>
      <c r="AL12" s="20">
        <f t="shared" si="4"/>
        <v>10.557461642563055</v>
      </c>
      <c r="AM12" s="59">
        <f t="shared" si="5"/>
        <v>199.91542039511913</v>
      </c>
      <c r="AN12" s="59">
        <f ca="1">AVERAGE(OFFSET($AM$3,0,0,'Données projet'!$E$10+1,1))-AVERAGE(OFFSET($H$3,0,0,'Données projet'!$E$10+1,1))</f>
        <v>332.74717458063787</v>
      </c>
      <c r="AO12" s="59">
        <f t="shared" si="36"/>
        <v>408.69087885751878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</v>
      </c>
      <c r="BD12" s="12">
        <f>IF('Données projet'!$A$88&gt;35,BD11+BC12-BL11,IF(A12&lt;'Données projet'!$A$88,$BA$205^A12,IF(A12='Données projet'!$A$88,'Données projet'!$B$88,BD11+BC12-BL11)))</f>
        <v>14.578456710130657</v>
      </c>
      <c r="BE12" s="13">
        <f>BD12*VLOOKUP('Données projet'!$B$11,Paramètres!$A$1:$I$89,3,0)*VLOOKUP('Données projet'!$B$11,Paramètres!$A$1:$I$89,5,0)</f>
        <v>12.735739781970144</v>
      </c>
      <c r="BF12" s="13">
        <f t="shared" si="37"/>
        <v>4.364670141362768</v>
      </c>
      <c r="BG12" s="20">
        <f t="shared" si="7"/>
        <v>29.783213949804821</v>
      </c>
      <c r="BH12" s="59">
        <f t="shared" si="8"/>
        <v>219.1411727023609</v>
      </c>
      <c r="BI12" s="59">
        <f ca="1">AVERAGE(OFFSET($BH$3,0,0,'Données projet'!$E$11+1,1))-AVERAGE(OFFSET($H$3,0,0,'Données projet'!$E$11+1,1))</f>
        <v>341.62910675299065</v>
      </c>
      <c r="BJ12" s="59">
        <f t="shared" si="38"/>
        <v>407.15938341104709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14.88</v>
      </c>
      <c r="N13" s="13">
        <f>IF('Données projet'!$A$36&gt;35,N12+M13-V12,IF(A13&lt;'Données projet'!$A$36,$K$205^A13,IF(A13='Données projet'!$A$36,'Données projet'!$B$36,N12+M13-V12)))</f>
        <v>10.671296231870198</v>
      </c>
      <c r="O13" s="13">
        <f>N13*VLOOKUP('Données projet'!$B$9,Paramètres!$A$1:$I$89,3,0)*VLOOKUP('Données projet'!$B$9,Paramètres!$A$1:$I$89,5,0)</f>
        <v>5.9652545936154411</v>
      </c>
      <c r="P13" s="13">
        <f t="shared" si="33"/>
        <v>2.2330468509919346</v>
      </c>
      <c r="Q13" s="20">
        <f t="shared" si="2"/>
        <v>14.278708349357844</v>
      </c>
      <c r="R13" s="59">
        <f t="shared" si="0"/>
        <v>206.21737033440274</v>
      </c>
      <c r="S13" s="59">
        <f ca="1">AVERAGE(OFFSET($R$3,0,0,'Données projet'!$E$9+1,1))-AVERAGE(OFFSET($H$3,0,0,'Données projet'!$E$9+1,1))</f>
        <v>507.66185230065889</v>
      </c>
      <c r="T13" s="59">
        <f t="shared" si="34"/>
        <v>640.14375617778342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7.15</v>
      </c>
      <c r="AI13" s="13">
        <f>IF('Données projet'!$A$62&gt;35,AI12+AH13-AQ12,IF(A13&lt;'Données projet'!$A$62,$AF$205^A13,IF(A13='Données projet'!$A$62,'Données projet'!$B$62,AI12+AH13-AQ12)))</f>
        <v>11.958260743101404</v>
      </c>
      <c r="AJ13" s="13">
        <f>AI13*VLOOKUP('Données projet'!$B$10,Paramètres!$A$1:$I$89,3,0)*VLOOKUP('Données projet'!$B$10,Paramètres!$A$1:$I$89,5,0)</f>
        <v>5.5964660277714566</v>
      </c>
      <c r="AK13" s="13">
        <f t="shared" si="35"/>
        <v>2.110613744605832</v>
      </c>
      <c r="AL13" s="20">
        <f t="shared" si="4"/>
        <v>13.423163936890445</v>
      </c>
      <c r="AM13" s="59">
        <f t="shared" si="5"/>
        <v>205.36182592193532</v>
      </c>
      <c r="AN13" s="59">
        <f ca="1">AVERAGE(OFFSET($AM$3,0,0,'Données projet'!$E$10+1,1))-AVERAGE(OFFSET($H$3,0,0,'Données projet'!$E$10+1,1))</f>
        <v>332.74717458063787</v>
      </c>
      <c r="AO13" s="59">
        <f t="shared" si="36"/>
        <v>408.69087885751878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</v>
      </c>
      <c r="BD13" s="12">
        <f>IF('Données projet'!$A$88&gt;35,BD12+BC13-BL12,IF(A13&lt;'Données projet'!$A$88,$BA$205^A13,IF(A13='Données projet'!$A$88,'Données projet'!$B$88,BD12+BC13-BL12)))</f>
        <v>19.634183025716826</v>
      </c>
      <c r="BE13" s="13">
        <f>BD13*VLOOKUP('Données projet'!$B$11,Paramètres!$A$1:$I$89,3,0)*VLOOKUP('Données projet'!$B$11,Paramètres!$A$1:$I$89,5,0)</f>
        <v>17.152422291266223</v>
      </c>
      <c r="BF13" s="13">
        <f t="shared" si="37"/>
        <v>5.678086989362658</v>
      </c>
      <c r="BG13" s="20">
        <f t="shared" si="7"/>
        <v>39.763136997095295</v>
      </c>
      <c r="BH13" s="59">
        <f t="shared" si="8"/>
        <v>231.70179898214019</v>
      </c>
      <c r="BI13" s="59">
        <f ca="1">AVERAGE(OFFSET($BH$3,0,0,'Données projet'!$E$11+1,1))-AVERAGE(OFFSET($H$3,0,0,'Données projet'!$E$11+1,1))</f>
        <v>341.62910675299065</v>
      </c>
      <c r="BJ13" s="59">
        <f t="shared" si="38"/>
        <v>407.15938341104709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14.88</v>
      </c>
      <c r="N14" s="13">
        <f>IF('Données projet'!$A$36&gt;35,N13+M14-V13,IF(A14&lt;'Données projet'!$A$36,$K$205^A14,IF(A14='Données projet'!$A$36,'Données projet'!$B$36,N13+M14-V13)))</f>
        <v>13.521936544265463</v>
      </c>
      <c r="O14" s="13">
        <f>N14*VLOOKUP('Données projet'!$B$9,Paramètres!$A$1:$I$89,3,0)*VLOOKUP('Données projet'!$B$9,Paramètres!$A$1:$I$89,5,0)</f>
        <v>7.5587625282443938</v>
      </c>
      <c r="P14" s="13">
        <f t="shared" si="33"/>
        <v>2.7526506996364697</v>
      </c>
      <c r="Q14" s="20">
        <f t="shared" si="2"/>
        <v>17.959044705225836</v>
      </c>
      <c r="R14" s="59">
        <f t="shared" si="0"/>
        <v>212.45484331433997</v>
      </c>
      <c r="S14" s="59">
        <f ca="1">AVERAGE(OFFSET($R$3,0,0,'Données projet'!$E$9+1,1))-AVERAGE(OFFSET($H$3,0,0,'Données projet'!$E$9+1,1))</f>
        <v>507.66185230065889</v>
      </c>
      <c r="T14" s="59">
        <f t="shared" si="34"/>
        <v>640.14375617778342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7.15</v>
      </c>
      <c r="AI14" s="13">
        <f>IF('Données projet'!$A$62&gt;35,AI13+AH14-AQ13,IF(A14&lt;'Données projet'!$A$62,$AF$205^A14,IF(A14='Données projet'!$A$62,'Données projet'!$B$62,AI13+AH14-AQ13)))</f>
        <v>15.326211716278269</v>
      </c>
      <c r="AJ14" s="13">
        <f>AI14*VLOOKUP('Données projet'!$B$10,Paramètres!$A$1:$I$89,3,0)*VLOOKUP('Données projet'!$B$10,Paramètres!$A$1:$I$89,5,0)</f>
        <v>7.1726670832182302</v>
      </c>
      <c r="AK14" s="13">
        <f t="shared" si="35"/>
        <v>2.6280371984352819</v>
      </c>
      <c r="AL14" s="20">
        <f t="shared" si="4"/>
        <v>17.069559957213201</v>
      </c>
      <c r="AM14" s="59">
        <f t="shared" si="5"/>
        <v>211.56535856632735</v>
      </c>
      <c r="AN14" s="59">
        <f ca="1">AVERAGE(OFFSET($AM$3,0,0,'Données projet'!$E$10+1,1))-AVERAGE(OFFSET($H$3,0,0,'Données projet'!$E$10+1,1))</f>
        <v>332.74717458063787</v>
      </c>
      <c r="AO14" s="59">
        <f t="shared" si="36"/>
        <v>408.69087885751878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</v>
      </c>
      <c r="BD14" s="12">
        <f>IF('Données projet'!$A$88&gt;35,BD13+BC14-BL13,IF(A14&lt;'Données projet'!$A$88,$BA$205^A14,IF(A14='Données projet'!$A$88,'Données projet'!$B$88,BD13+BC14-BL13)))</f>
        <v>26.443206626903088</v>
      </c>
      <c r="BE14" s="13">
        <f>BD14*VLOOKUP('Données projet'!$B$11,Paramètres!$A$1:$I$89,3,0)*VLOOKUP('Données projet'!$B$11,Paramètres!$A$1:$I$89,5,0)</f>
        <v>23.100785309262541</v>
      </c>
      <c r="BF14" s="13">
        <f t="shared" si="37"/>
        <v>7.3867373282653306</v>
      </c>
      <c r="BG14" s="20">
        <f t="shared" si="7"/>
        <v>53.099101927027704</v>
      </c>
      <c r="BH14" s="59">
        <f t="shared" si="8"/>
        <v>247.59490053614184</v>
      </c>
      <c r="BI14" s="59">
        <f ca="1">AVERAGE(OFFSET($BH$3,0,0,'Données projet'!$E$11+1,1))-AVERAGE(OFFSET($H$3,0,0,'Données projet'!$E$11+1,1))</f>
        <v>341.62910675299065</v>
      </c>
      <c r="BJ14" s="59">
        <f t="shared" si="38"/>
        <v>407.15938341104709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14.88</v>
      </c>
      <c r="N15" s="13">
        <f>IF('Données projet'!$A$36&gt;35,N14+M15-V14,IF(A15&lt;'Données projet'!$A$36,$K$205^A15,IF(A15='Données projet'!$A$36,'Données projet'!$B$36,N14+M15-V14)))</f>
        <v>17.134072931184825</v>
      </c>
      <c r="O15" s="13">
        <f>N15*VLOOKUP('Données projet'!$B$9,Paramètres!$A$1:$I$89,3,0)*VLOOKUP('Données projet'!$B$9,Paramètres!$A$1:$I$89,5,0)</f>
        <v>9.5779467685323176</v>
      </c>
      <c r="P15" s="13">
        <f t="shared" si="33"/>
        <v>3.3931602782285335</v>
      </c>
      <c r="Q15" s="20">
        <f t="shared" si="2"/>
        <v>22.591344773108478</v>
      </c>
      <c r="R15" s="59">
        <f t="shared" si="0"/>
        <v>219.62112222584136</v>
      </c>
      <c r="S15" s="59">
        <f ca="1">AVERAGE(OFFSET($R$3,0,0,'Données projet'!$E$9+1,1))-AVERAGE(OFFSET($H$3,0,0,'Données projet'!$E$9+1,1))</f>
        <v>507.66185230065889</v>
      </c>
      <c r="T15" s="59">
        <f t="shared" si="34"/>
        <v>640.14375617778342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7.15</v>
      </c>
      <c r="AI15" s="13">
        <f>IF('Données projet'!$A$62&gt;35,AI14+AH15-AQ14,IF(A15&lt;'Données projet'!$A$62,$AF$205^A15,IF(A15='Données projet'!$A$62,'Données projet'!$B$62,AI14+AH15-AQ14)))</f>
        <v>19.642719841820853</v>
      </c>
      <c r="AJ15" s="13">
        <f>AI15*VLOOKUP('Données projet'!$B$10,Paramètres!$A$1:$I$89,3,0)*VLOOKUP('Données projet'!$B$10,Paramètres!$A$1:$I$89,5,0)</f>
        <v>9.1927928859721586</v>
      </c>
      <c r="AK15" s="13">
        <f t="shared" si="35"/>
        <v>3.2723086040782912</v>
      </c>
      <c r="AL15" s="20">
        <f t="shared" si="4"/>
        <v>21.710051761837864</v>
      </c>
      <c r="AM15" s="59">
        <f t="shared" si="5"/>
        <v>218.73982921457073</v>
      </c>
      <c r="AN15" s="59">
        <f ca="1">AVERAGE(OFFSET($AM$3,0,0,'Données projet'!$E$10+1,1))-AVERAGE(OFFSET($H$3,0,0,'Données projet'!$E$10+1,1))</f>
        <v>332.74717458063787</v>
      </c>
      <c r="AO15" s="59">
        <f t="shared" si="36"/>
        <v>408.69087885751878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</v>
      </c>
      <c r="BD15" s="12">
        <f>IF('Données projet'!$A$88&gt;35,BD14+BC15-BL14,IF(A15&lt;'Données projet'!$A$88,$BA$205^A15,IF(A15='Données projet'!$A$88,'Données projet'!$B$88,BD14+BC15-BL14)))</f>
        <v>35.613561093793592</v>
      </c>
      <c r="BE15" s="13">
        <f>BD15*VLOOKUP('Données projet'!$B$11,Paramètres!$A$1:$I$89,3,0)*VLOOKUP('Données projet'!$B$11,Paramètres!$A$1:$I$89,5,0)</f>
        <v>31.112006971538086</v>
      </c>
      <c r="BF15" s="13">
        <f t="shared" si="37"/>
        <v>9.6095548481396289</v>
      </c>
      <c r="BG15" s="20">
        <f t="shared" si="7"/>
        <v>70.9233868359387</v>
      </c>
      <c r="BH15" s="59">
        <f t="shared" si="8"/>
        <v>267.95316428867159</v>
      </c>
      <c r="BI15" s="59">
        <f ca="1">AVERAGE(OFFSET($BH$3,0,0,'Données projet'!$E$11+1,1))-AVERAGE(OFFSET($H$3,0,0,'Données projet'!$E$11+1,1))</f>
        <v>341.62910675299065</v>
      </c>
      <c r="BJ15" s="59">
        <f t="shared" si="38"/>
        <v>407.15938341104709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14.88</v>
      </c>
      <c r="N16" s="13">
        <f>IF('Données projet'!$A$36&gt;35,N15+M16-V15,IF(A16&lt;'Données projet'!$A$36,$K$205^A16,IF(A16='Données projet'!$A$36,'Données projet'!$B$36,N15+M16-V15)))</f>
        <v>21.71112504855407</v>
      </c>
      <c r="O16" s="13">
        <f>N16*VLOOKUP('Données projet'!$B$9,Paramètres!$A$1:$I$89,3,0)*VLOOKUP('Données projet'!$B$9,Paramètres!$A$1:$I$89,5,0)</f>
        <v>12.136518902141725</v>
      </c>
      <c r="P16" s="13">
        <f t="shared" si="33"/>
        <v>4.1827089340716137</v>
      </c>
      <c r="Q16" s="20">
        <f t="shared" si="2"/>
        <v>28.422655148071566</v>
      </c>
      <c r="R16" s="59">
        <f t="shared" si="0"/>
        <v>227.96365539969037</v>
      </c>
      <c r="S16" s="59">
        <f ca="1">AVERAGE(OFFSET($R$3,0,0,'Données projet'!$E$9+1,1))-AVERAGE(OFFSET($H$3,0,0,'Données projet'!$E$9+1,1))</f>
        <v>507.66185230065889</v>
      </c>
      <c r="T16" s="59">
        <f t="shared" si="34"/>
        <v>640.14375617778342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7.15</v>
      </c>
      <c r="AI16" s="13">
        <f>IF('Données projet'!$A$62&gt;35,AI15+AH16-AQ15,IF(A16&lt;'Données projet'!$A$62,$AF$205^A16,IF(A16='Données projet'!$A$62,'Données projet'!$B$62,AI15+AH16-AQ15)))</f>
        <v>25.174938851618379</v>
      </c>
      <c r="AJ16" s="13">
        <f>AI16*VLOOKUP('Données projet'!$B$10,Paramètres!$A$1:$I$89,3,0)*VLOOKUP('Données projet'!$B$10,Paramètres!$A$1:$I$89,5,0)</f>
        <v>11.781871382557402</v>
      </c>
      <c r="AK16" s="13">
        <f t="shared" si="35"/>
        <v>4.0745251272319516</v>
      </c>
      <c r="AL16" s="20">
        <f t="shared" si="4"/>
        <v>27.616557254549786</v>
      </c>
      <c r="AM16" s="59">
        <f t="shared" si="5"/>
        <v>227.15755750616859</v>
      </c>
      <c r="AN16" s="59">
        <f ca="1">AVERAGE(OFFSET($AM$3,0,0,'Données projet'!$E$10+1,1))-AVERAGE(OFFSET($H$3,0,0,'Données projet'!$E$10+1,1))</f>
        <v>332.74717458063787</v>
      </c>
      <c r="AO16" s="59">
        <f t="shared" si="36"/>
        <v>408.69087885751878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</v>
      </c>
      <c r="BD16" s="12">
        <f>IF('Données projet'!$A$88&gt;35,BD15+BC16-BL15,IF(A16&lt;'Données projet'!$A$88,$BA$205^A16,IF(A16='Données projet'!$A$88,'Données projet'!$B$88,BD15+BC16-BL15)))</f>
        <v>47.964142612378375</v>
      </c>
      <c r="BE16" s="13">
        <f>BD16*VLOOKUP('Données projet'!$B$11,Paramètres!$A$1:$I$89,3,0)*VLOOKUP('Données projet'!$B$11,Paramètres!$A$1:$I$89,5,0)</f>
        <v>41.901474986173753</v>
      </c>
      <c r="BF16" s="13">
        <f t="shared" si="37"/>
        <v>12.501262773491545</v>
      </c>
      <c r="BG16" s="20">
        <f t="shared" si="7"/>
        <v>94.751434931417066</v>
      </c>
      <c r="BH16" s="59">
        <f t="shared" si="8"/>
        <v>294.29243518303588</v>
      </c>
      <c r="BI16" s="59">
        <f ca="1">AVERAGE(OFFSET($BH$3,0,0,'Données projet'!$E$11+1,1))-AVERAGE(OFFSET($H$3,0,0,'Données projet'!$E$11+1,1))</f>
        <v>341.62910675299065</v>
      </c>
      <c r="BJ16" s="59">
        <f t="shared" si="38"/>
        <v>407.15938341104709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14.88</v>
      </c>
      <c r="N17" s="13">
        <f>IF('Données projet'!$A$36&gt;35,N16+M17-V16,IF(A17&lt;'Données projet'!$A$36,$K$205^A17,IF(A17='Données projet'!$A$36,'Données projet'!$B$36,N16+M17-V16)))</f>
        <v>27.51085236809228</v>
      </c>
      <c r="O17" s="13">
        <f>N17*VLOOKUP('Données projet'!$B$9,Paramètres!$A$1:$I$89,3,0)*VLOOKUP('Données projet'!$B$9,Paramètres!$A$1:$I$89,5,0)</f>
        <v>15.378566473763584</v>
      </c>
      <c r="P17" s="13">
        <f t="shared" si="33"/>
        <v>5.1559763148872326</v>
      </c>
      <c r="Q17" s="20">
        <f t="shared" si="2"/>
        <v>35.764328690233505</v>
      </c>
      <c r="R17" s="59">
        <f t="shared" si="0"/>
        <v>237.79419046250669</v>
      </c>
      <c r="S17" s="59">
        <f ca="1">AVERAGE(OFFSET($R$3,0,0,'Données projet'!$E$9+1,1))-AVERAGE(OFFSET($H$3,0,0,'Données projet'!$E$9+1,1))</f>
        <v>507.66185230065889</v>
      </c>
      <c r="T17" s="59">
        <f t="shared" si="34"/>
        <v>640.14375617778342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7.15</v>
      </c>
      <c r="AI17" s="13">
        <f>IF('Données projet'!$A$62&gt;35,AI16+AH17-AQ16,IF(A17&lt;'Données projet'!$A$62,$AF$205^A17,IF(A17='Données projet'!$A$62,'Données projet'!$B$62,AI16+AH17-AQ16)))</f>
        <v>32.265264244789748</v>
      </c>
      <c r="AJ17" s="13">
        <f>AI17*VLOOKUP('Données projet'!$B$10,Paramètres!$A$1:$I$89,3,0)*VLOOKUP('Données projet'!$B$10,Paramètres!$A$1:$I$89,5,0)</f>
        <v>15.100143666561602</v>
      </c>
      <c r="AK17" s="13">
        <f t="shared" si="35"/>
        <v>5.0734074994496874</v>
      </c>
      <c r="AL17" s="20">
        <f t="shared" si="4"/>
        <v>35.135601614136327</v>
      </c>
      <c r="AM17" s="59">
        <f t="shared" si="5"/>
        <v>237.16546338640953</v>
      </c>
      <c r="AN17" s="59">
        <f ca="1">AVERAGE(OFFSET($AM$3,0,0,'Données projet'!$E$10+1,1))-AVERAGE(OFFSET($H$3,0,0,'Données projet'!$E$10+1,1))</f>
        <v>332.74717458063787</v>
      </c>
      <c r="AO17" s="59">
        <f t="shared" si="36"/>
        <v>408.69087885751878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</v>
      </c>
      <c r="BD17" s="12">
        <f>IF('Données projet'!$A$88&gt;35,BD16+BC17-BL16,IF(A17&lt;'Données projet'!$A$88,$BA$205^A17,IF(A17='Données projet'!$A$88,'Données projet'!$B$88,BD16+BC17-BL16)))</f>
        <v>64.597835933388069</v>
      </c>
      <c r="BE17" s="13">
        <f>BD17*VLOOKUP('Données projet'!$B$11,Paramètres!$A$1:$I$89,3,0)*VLOOKUP('Données projet'!$B$11,Paramètres!$A$1:$I$89,5,0)</f>
        <v>56.432669471407827</v>
      </c>
      <c r="BF17" s="13">
        <f t="shared" si="37"/>
        <v>16.263143652501352</v>
      </c>
      <c r="BG17" s="20">
        <f t="shared" si="7"/>
        <v>126.61187452414181</v>
      </c>
      <c r="BH17" s="59">
        <f t="shared" si="8"/>
        <v>328.64173629641499</v>
      </c>
      <c r="BI17" s="59">
        <f ca="1">AVERAGE(OFFSET($BH$3,0,0,'Données projet'!$E$11+1,1))-AVERAGE(OFFSET($H$3,0,0,'Données projet'!$E$11+1,1))</f>
        <v>341.62910675299065</v>
      </c>
      <c r="BJ17" s="59">
        <f t="shared" si="38"/>
        <v>407.15938341104709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14.88</v>
      </c>
      <c r="N18" s="13">
        <f>IF('Données projet'!$A$36&gt;35,N17+M18-V17,IF(A18&lt;'Données projet'!$A$36,$K$205^A18,IF(A18='Données projet'!$A$36,'Données projet'!$B$36,N17+M18-V17)))</f>
        <v>34.859870058616508</v>
      </c>
      <c r="O18" s="13">
        <f>N18*VLOOKUP('Données projet'!$B$9,Paramètres!$A$1:$I$89,3,0)*VLOOKUP('Données projet'!$B$9,Paramètres!$A$1:$I$89,5,0)</f>
        <v>19.486667362766628</v>
      </c>
      <c r="P18" s="13">
        <f t="shared" si="33"/>
        <v>6.3557116162515603</v>
      </c>
      <c r="Q18" s="20">
        <f t="shared" si="2"/>
        <v>45.008810055123341</v>
      </c>
      <c r="R18" s="59">
        <f t="shared" si="0"/>
        <v>249.50555998800439</v>
      </c>
      <c r="S18" s="59">
        <f ca="1">AVERAGE(OFFSET($R$3,0,0,'Données projet'!$E$9+1,1))-AVERAGE(OFFSET($H$3,0,0,'Données projet'!$E$9+1,1))</f>
        <v>507.66185230065889</v>
      </c>
      <c r="T18" s="59">
        <f t="shared" si="34"/>
        <v>640.14375617778342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7.15</v>
      </c>
      <c r="AI18" s="13">
        <f>IF('Données projet'!$A$62&gt;35,AI17+AH18-AQ17,IF(A18&lt;'Données projet'!$A$62,$AF$205^A18,IF(A18='Données projet'!$A$62,'Données projet'!$B$62,AI17+AH18-AQ17)))</f>
        <v>41.352524545225805</v>
      </c>
      <c r="AJ18" s="13">
        <f>AI18*VLOOKUP('Données projet'!$B$10,Paramètres!$A$1:$I$89,3,0)*VLOOKUP('Données projet'!$B$10,Paramètres!$A$1:$I$89,5,0)</f>
        <v>19.352981487165678</v>
      </c>
      <c r="AK18" s="13">
        <f t="shared" si="35"/>
        <v>6.3171689587685922</v>
      </c>
      <c r="AL18" s="20">
        <f t="shared" si="4"/>
        <v>44.708845360002179</v>
      </c>
      <c r="AM18" s="59">
        <f t="shared" si="5"/>
        <v>249.20559529288323</v>
      </c>
      <c r="AN18" s="59">
        <f ca="1">AVERAGE(OFFSET($AM$3,0,0,'Données projet'!$E$10+1,1))-AVERAGE(OFFSET($H$3,0,0,'Données projet'!$E$10+1,1))</f>
        <v>332.74717458063787</v>
      </c>
      <c r="AO18" s="59">
        <f t="shared" si="36"/>
        <v>408.69087885751878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87</v>
      </c>
      <c r="BB18" s="12">
        <f>VLOOKUP(A18,'Données projet'!$A$87:$I$107,9,0)</f>
        <v>5.8</v>
      </c>
      <c r="BC18" s="12">
        <f t="array" ref="BC18">INDEX(BB:BB,MIN(IF(ISNUMBER(BB18:BB214),ROW(BB18:BB214),"")))</f>
        <v>5.8</v>
      </c>
      <c r="BD18" s="12">
        <f>IF('Données projet'!$A$88&gt;35,BD17+BC18-BL17,IF(A18&lt;'Données projet'!$A$88,$BA$205^A18,IF(A18='Données projet'!$A$88,'Données projet'!$B$88,BD17+BC18-BL17)))</f>
        <v>87</v>
      </c>
      <c r="BE18" s="13">
        <f>BD18*VLOOKUP('Données projet'!$B$11,Paramètres!$A$1:$I$89,3,0)*VLOOKUP('Données projet'!$B$11,Paramètres!$A$1:$I$89,5,0)</f>
        <v>76.003200000000007</v>
      </c>
      <c r="BF18" s="13">
        <f t="shared" si="37"/>
        <v>21.157049992000456</v>
      </c>
      <c r="BG18" s="20">
        <f t="shared" si="7"/>
        <v>169.22076873606747</v>
      </c>
      <c r="BH18" s="59">
        <f t="shared" si="8"/>
        <v>373.71751866894851</v>
      </c>
      <c r="BI18" s="59">
        <f ca="1">AVERAGE(OFFSET($BH$3,0,0,'Données projet'!$E$11+1,1))-AVERAGE(OFFSET($H$3,0,0,'Données projet'!$E$11+1,1))</f>
        <v>341.62910675299065</v>
      </c>
      <c r="BJ18" s="59">
        <f t="shared" si="38"/>
        <v>407.15938341104709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21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14.88</v>
      </c>
      <c r="N19" s="13">
        <f>IF('Données projet'!$A$36&gt;35,N18+M19-V18,IF(A19&lt;'Données projet'!$A$36,$K$205^A19,IF(A19='Données projet'!$A$36,'Données projet'!$B$36,N18+M19-V18)))</f>
        <v>44.172042517775871</v>
      </c>
      <c r="O19" s="13">
        <f>N19*VLOOKUP('Données projet'!$B$9,Paramètres!$A$1:$I$89,3,0)*VLOOKUP('Données projet'!$B$9,Paramètres!$A$1:$I$89,5,0)</f>
        <v>24.692171767436712</v>
      </c>
      <c r="P19" s="13">
        <f t="shared" si="33"/>
        <v>7.8346112708701385</v>
      </c>
      <c r="Q19" s="20">
        <f t="shared" si="2"/>
        <v>56.650813791717759</v>
      </c>
      <c r="R19" s="59">
        <f t="shared" si="0"/>
        <v>263.59285971383184</v>
      </c>
      <c r="S19" s="59">
        <f ca="1">AVERAGE(OFFSET($R$3,0,0,'Données projet'!$E$9+1,1))-AVERAGE(OFFSET($H$3,0,0,'Données projet'!$E$9+1,1))</f>
        <v>507.66185230065889</v>
      </c>
      <c r="T19" s="59">
        <f t="shared" si="34"/>
        <v>640.14375617778342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7.15</v>
      </c>
      <c r="AI19" s="13">
        <f>IF('Données projet'!$A$62&gt;35,AI18+AH19-AQ18,IF(A19&lt;'Données projet'!$A$62,$AF$205^A19,IF(A19='Données projet'!$A$62,'Données projet'!$B$62,AI18+AH19-AQ18)))</f>
        <v>52.999140911720303</v>
      </c>
      <c r="AJ19" s="13">
        <f>AI19*VLOOKUP('Données projet'!$B$10,Paramètres!$A$1:$I$89,3,0)*VLOOKUP('Données projet'!$B$10,Paramètres!$A$1:$I$89,5,0)</f>
        <v>24.803597946685102</v>
      </c>
      <c r="AK19" s="13">
        <f t="shared" si="35"/>
        <v>7.8658423668822461</v>
      </c>
      <c r="AL19" s="20">
        <f t="shared" si="4"/>
        <v>56.899275212796461</v>
      </c>
      <c r="AM19" s="59">
        <f t="shared" si="5"/>
        <v>263.84132113491052</v>
      </c>
      <c r="AN19" s="59">
        <f ca="1">AVERAGE(OFFSET($AM$3,0,0,'Données projet'!$E$10+1,1))-AVERAGE(OFFSET($H$3,0,0,'Données projet'!$E$10+1,1))</f>
        <v>332.74717458063787</v>
      </c>
      <c r="AO19" s="59">
        <f t="shared" si="36"/>
        <v>408.69087885751878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14.2</v>
      </c>
      <c r="BD19" s="12">
        <f>IF('Données projet'!$A$88&gt;35,BD18+BC19-BL18,IF(A19&lt;'Données projet'!$A$88,$BA$205^A19,IF(A19='Données projet'!$A$88,'Données projet'!$B$88,BD18+BC19-BL18)))</f>
        <v>80.2</v>
      </c>
      <c r="BE19" s="13">
        <f>BD19*VLOOKUP('Données projet'!$B$11,Paramètres!$A$1:$I$89,3,0)*VLOOKUP('Données projet'!$B$11,Paramètres!$A$1:$I$89,5,0)</f>
        <v>70.062720000000013</v>
      </c>
      <c r="BF19" s="13">
        <f t="shared" si="37"/>
        <v>19.689032345957123</v>
      </c>
      <c r="BG19" s="20">
        <f t="shared" si="7"/>
        <v>156.31763533587534</v>
      </c>
      <c r="BH19" s="59">
        <f t="shared" si="8"/>
        <v>363.25968125798943</v>
      </c>
      <c r="BI19" s="59">
        <f ca="1">AVERAGE(OFFSET($BH$3,0,0,'Données projet'!$E$11+1,1))-AVERAGE(OFFSET($H$3,0,0,'Données projet'!$E$11+1,1))</f>
        <v>341.62910675299065</v>
      </c>
      <c r="BJ19" s="59">
        <f t="shared" si="38"/>
        <v>407.15938341104709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14.88</v>
      </c>
      <c r="N20" s="13">
        <f>IF('Données projet'!$A$36&gt;35,N19+M20-V19,IF(A20&lt;'Données projet'!$A$36,$K$205^A20,IF(A20='Données projet'!$A$36,'Données projet'!$B$36,N19+M20-V19)))</f>
        <v>55.971790397133688</v>
      </c>
      <c r="O20" s="13">
        <f>N20*VLOOKUP('Données projet'!$B$9,Paramètres!$A$1:$I$89,3,0)*VLOOKUP('Données projet'!$B$9,Paramètres!$A$1:$I$89,5,0)</f>
        <v>31.28823083199773</v>
      </c>
      <c r="P20" s="13">
        <f t="shared" si="33"/>
        <v>9.6576335541552591</v>
      </c>
      <c r="Q20" s="20">
        <f t="shared" si="2"/>
        <v>71.314047139216441</v>
      </c>
      <c r="R20" s="59">
        <f t="shared" si="0"/>
        <v>280.68017145508918</v>
      </c>
      <c r="S20" s="59">
        <f ca="1">AVERAGE(OFFSET($R$3,0,0,'Données projet'!$E$9+1,1))-AVERAGE(OFFSET($H$3,0,0,'Données projet'!$E$9+1,1))</f>
        <v>507.66185230065889</v>
      </c>
      <c r="T20" s="59">
        <f t="shared" si="34"/>
        <v>640.14375617778342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7.15</v>
      </c>
      <c r="AI20" s="13">
        <f>IF('Données projet'!$A$62&gt;35,AI19+AH20-AQ19,IF(A20&lt;'Données projet'!$A$62,$AF$205^A20,IF(A20='Données projet'!$A$62,'Données projet'!$B$62,AI19+AH20-AQ19)))</f>
        <v>67.925936040697579</v>
      </c>
      <c r="AJ20" s="13">
        <f>AI20*VLOOKUP('Données projet'!$B$10,Paramètres!$A$1:$I$89,3,0)*VLOOKUP('Données projet'!$B$10,Paramètres!$A$1:$I$89,5,0)</f>
        <v>31.789338067046465</v>
      </c>
      <c r="AK20" s="13">
        <f t="shared" si="35"/>
        <v>9.7941778262489763</v>
      </c>
      <c r="AL20" s="20">
        <f t="shared" si="4"/>
        <v>72.424623514156238</v>
      </c>
      <c r="AM20" s="59">
        <f t="shared" si="5"/>
        <v>281.79074783002898</v>
      </c>
      <c r="AN20" s="59">
        <f ca="1">AVERAGE(OFFSET($AM$3,0,0,'Données projet'!$E$10+1,1))-AVERAGE(OFFSET($H$3,0,0,'Données projet'!$E$10+1,1))</f>
        <v>332.74717458063787</v>
      </c>
      <c r="AO20" s="59">
        <f t="shared" si="36"/>
        <v>408.69087885751878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14.2</v>
      </c>
      <c r="BD20" s="12">
        <f>IF('Données projet'!$A$88&gt;35,BD19+BC20-BL19,IF(A20&lt;'Données projet'!$A$88,$BA$205^A20,IF(A20='Données projet'!$A$88,'Données projet'!$B$88,BD19+BC20-BL19)))</f>
        <v>94.4</v>
      </c>
      <c r="BE20" s="13">
        <f>BD20*VLOOKUP('Données projet'!$B$11,Paramètres!$A$1:$I$89,3,0)*VLOOKUP('Données projet'!$B$11,Paramètres!$A$1:$I$89,5,0)</f>
        <v>82.467840000000024</v>
      </c>
      <c r="BF20" s="13">
        <f t="shared" si="37"/>
        <v>22.739512759227473</v>
      </c>
      <c r="BG20" s="20">
        <f t="shared" si="7"/>
        <v>183.23613938898788</v>
      </c>
      <c r="BH20" s="59">
        <f t="shared" si="8"/>
        <v>392.6022637048606</v>
      </c>
      <c r="BI20" s="59">
        <f ca="1">AVERAGE(OFFSET($BH$3,0,0,'Données projet'!$E$11+1,1))-AVERAGE(OFFSET($H$3,0,0,'Données projet'!$E$11+1,1))</f>
        <v>341.62910675299065</v>
      </c>
      <c r="BJ20" s="59">
        <f t="shared" si="38"/>
        <v>407.15938341104709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14.88</v>
      </c>
      <c r="N21" s="13">
        <f>IF('Données projet'!$A$36&gt;35,N20+M21-V20,IF(A21&lt;'Données projet'!$A$36,$K$205^A21,IF(A21='Données projet'!$A$36,'Données projet'!$B$36,N20+M21-V20)))</f>
        <v>70.923623669879831</v>
      </c>
      <c r="O21" s="13">
        <f>N21*VLOOKUP('Données projet'!$B$9,Paramètres!$A$1:$I$89,3,0)*VLOOKUP('Données projet'!$B$9,Paramètres!$A$1:$I$89,5,0)</f>
        <v>39.646305631462823</v>
      </c>
      <c r="P21" s="13">
        <f t="shared" si="33"/>
        <v>11.904851771412357</v>
      </c>
      <c r="Q21" s="20">
        <f t="shared" si="2"/>
        <v>89.784932476674257</v>
      </c>
      <c r="R21" s="59">
        <f t="shared" si="0"/>
        <v>301.55428566867738</v>
      </c>
      <c r="S21" s="59">
        <f ca="1">AVERAGE(OFFSET($R$3,0,0,'Données projet'!$E$9+1,1))-AVERAGE(OFFSET($H$3,0,0,'Données projet'!$E$9+1,1))</f>
        <v>507.66185230065889</v>
      </c>
      <c r="T21" s="59">
        <f t="shared" si="34"/>
        <v>640.14375617778342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7.15</v>
      </c>
      <c r="AI21" s="13">
        <f>IF('Données projet'!$A$62&gt;35,AI20+AH21-AQ20,IF(A21&lt;'Données projet'!$A$62,$AF$205^A21,IF(A21='Données projet'!$A$62,'Données projet'!$B$62,AI20+AH21-AQ20)))</f>
        <v>87.056746725202245</v>
      </c>
      <c r="AJ21" s="13">
        <f>AI21*VLOOKUP('Données projet'!$B$10,Paramètres!$A$1:$I$89,3,0)*VLOOKUP('Données projet'!$B$10,Paramètres!$A$1:$I$89,5,0)</f>
        <v>40.742557467394647</v>
      </c>
      <c r="AK21" s="13">
        <f t="shared" si="35"/>
        <v>12.195250656950169</v>
      </c>
      <c r="AL21" s="20">
        <f t="shared" si="4"/>
        <v>92.200015816567202</v>
      </c>
      <c r="AM21" s="59">
        <f t="shared" si="5"/>
        <v>303.96936900857031</v>
      </c>
      <c r="AN21" s="59">
        <f ca="1">AVERAGE(OFFSET($AM$3,0,0,'Données projet'!$E$10+1,1))-AVERAGE(OFFSET($H$3,0,0,'Données projet'!$E$10+1,1))</f>
        <v>332.74717458063787</v>
      </c>
      <c r="AO21" s="59">
        <f t="shared" si="36"/>
        <v>408.69087885751878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14.2</v>
      </c>
      <c r="BD21" s="12">
        <f>IF('Données projet'!$A$88&gt;35,BD20+BC21-BL20,IF(A21&lt;'Données projet'!$A$88,$BA$205^A21,IF(A21='Données projet'!$A$88,'Données projet'!$B$88,BD20+BC21-BL20)))</f>
        <v>108.60000000000001</v>
      </c>
      <c r="BE21" s="13">
        <f>BD21*VLOOKUP('Données projet'!$B$11,Paramètres!$A$1:$I$89,3,0)*VLOOKUP('Données projet'!$B$11,Paramètres!$A$1:$I$89,5,0)</f>
        <v>94.87296000000002</v>
      </c>
      <c r="BF21" s="13">
        <f t="shared" si="37"/>
        <v>25.736834760472274</v>
      </c>
      <c r="BG21" s="20">
        <f t="shared" si="7"/>
        <v>210.06205920782259</v>
      </c>
      <c r="BH21" s="59">
        <f t="shared" si="8"/>
        <v>421.83141239982569</v>
      </c>
      <c r="BI21" s="59">
        <f ca="1">AVERAGE(OFFSET($BH$3,0,0,'Données projet'!$E$11+1,1))-AVERAGE(OFFSET($H$3,0,0,'Données projet'!$E$11+1,1))</f>
        <v>341.62910675299065</v>
      </c>
      <c r="BJ21" s="59">
        <f t="shared" si="38"/>
        <v>407.15938341104709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14.88</v>
      </c>
      <c r="N22" s="13">
        <f>IF('Données projet'!$A$36&gt;35,N21+M22-V21,IF(A22&lt;'Données projet'!$A$36,$K$205^A22,IF(A22='Données projet'!$A$36,'Données projet'!$B$36,N21+M22-V21)))</f>
        <v>89.869563913830646</v>
      </c>
      <c r="O22" s="13">
        <f>N22*VLOOKUP('Données projet'!$B$9,Paramètres!$A$1:$I$89,3,0)*VLOOKUP('Données projet'!$B$9,Paramètres!$A$1:$I$89,5,0)</f>
        <v>50.237086227831334</v>
      </c>
      <c r="P22" s="13">
        <f t="shared" si="33"/>
        <v>14.674971348267983</v>
      </c>
      <c r="Q22" s="20">
        <f t="shared" si="2"/>
        <v>113.05516694503963</v>
      </c>
      <c r="R22" s="59">
        <f t="shared" si="0"/>
        <v>327.20726118806317</v>
      </c>
      <c r="S22" s="59">
        <f ca="1">AVERAGE(OFFSET($R$3,0,0,'Données projet'!$E$9+1,1))-AVERAGE(OFFSET($H$3,0,0,'Données projet'!$E$9+1,1))</f>
        <v>507.66185230065889</v>
      </c>
      <c r="T22" s="59">
        <f t="shared" si="34"/>
        <v>640.14375617778342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7.15</v>
      </c>
      <c r="AI22" s="13">
        <f>IF('Données projet'!$A$62&gt;35,AI21+AH22-AQ21,IF(A22&lt;'Données projet'!$A$62,$AF$205^A22,IF(A22='Données projet'!$A$62,'Données projet'!$B$62,AI21+AH22-AQ21)))</f>
        <v>111.57560119355814</v>
      </c>
      <c r="AJ22" s="13">
        <f>AI22*VLOOKUP('Données projet'!$B$10,Paramètres!$A$1:$I$89,3,0)*VLOOKUP('Données projet'!$B$10,Paramètres!$A$1:$I$89,5,0)</f>
        <v>52.217381358585207</v>
      </c>
      <c r="AK22" s="13">
        <f t="shared" si="35"/>
        <v>15.184953880177051</v>
      </c>
      <c r="AL22" s="20">
        <f t="shared" si="4"/>
        <v>117.39240054084426</v>
      </c>
      <c r="AM22" s="59">
        <f t="shared" si="5"/>
        <v>331.54449478386778</v>
      </c>
      <c r="AN22" s="59">
        <f ca="1">AVERAGE(OFFSET($AM$3,0,0,'Données projet'!$E$10+1,1))-AVERAGE(OFFSET($H$3,0,0,'Données projet'!$E$10+1,1))</f>
        <v>332.74717458063787</v>
      </c>
      <c r="AO22" s="59">
        <f t="shared" si="36"/>
        <v>408.69087885751878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14.2</v>
      </c>
      <c r="BD22" s="12">
        <f>IF('Données projet'!$A$88&gt;35,BD21+BC22-BL21,IF(A22&lt;'Données projet'!$A$88,$BA$205^A22,IF(A22='Données projet'!$A$88,'Données projet'!$B$88,BD21+BC22-BL21)))</f>
        <v>122.80000000000001</v>
      </c>
      <c r="BE22" s="13">
        <f>BD22*VLOOKUP('Données projet'!$B$11,Paramètres!$A$1:$I$89,3,0)*VLOOKUP('Données projet'!$B$11,Paramètres!$A$1:$I$89,5,0)</f>
        <v>107.27808000000003</v>
      </c>
      <c r="BF22" s="13">
        <f t="shared" si="37"/>
        <v>28.688746800886673</v>
      </c>
      <c r="BG22" s="20">
        <f t="shared" si="7"/>
        <v>236.80889001154432</v>
      </c>
      <c r="BH22" s="59">
        <f t="shared" si="8"/>
        <v>450.96098425456785</v>
      </c>
      <c r="BI22" s="59">
        <f ca="1">AVERAGE(OFFSET($BH$3,0,0,'Données projet'!$E$11+1,1))-AVERAGE(OFFSET($H$3,0,0,'Données projet'!$E$11+1,1))</f>
        <v>341.62910675299065</v>
      </c>
      <c r="BJ22" s="59">
        <f t="shared" si="38"/>
        <v>407.15938341104709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14.88</v>
      </c>
      <c r="N23" s="13">
        <f>IF('Données projet'!$A$36&gt;35,N22+M23-V22,IF(A23&lt;'Données projet'!$A$36,$K$205^A23,IF(A23='Données projet'!$A$36,'Données projet'!$B$36,N22+M23-V22)))</f>
        <v>113.8765632683271</v>
      </c>
      <c r="O23" s="13">
        <f>N23*VLOOKUP('Données projet'!$B$9,Paramètres!$A$1:$I$89,3,0)*VLOOKUP('Données projet'!$B$9,Paramètres!$A$1:$I$89,5,0)</f>
        <v>63.656998866994854</v>
      </c>
      <c r="P23" s="13">
        <f t="shared" si="33"/>
        <v>18.089665306848016</v>
      </c>
      <c r="Q23" s="20">
        <f t="shared" si="2"/>
        <v>142.37544010277634</v>
      </c>
      <c r="R23" s="59">
        <f t="shared" si="0"/>
        <v>358.89014298967209</v>
      </c>
      <c r="S23" s="59">
        <f ca="1">AVERAGE(OFFSET($R$3,0,0,'Données projet'!$E$9+1,1))-AVERAGE(OFFSET($H$3,0,0,'Données projet'!$E$9+1,1))</f>
        <v>507.66185230065889</v>
      </c>
      <c r="T23" s="59">
        <f t="shared" si="34"/>
        <v>640.14375617778342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143</v>
      </c>
      <c r="AG23" s="12">
        <f>VLOOKUP(A23,'Données projet'!$A$61:$I$81,9,0)</f>
        <v>7.15</v>
      </c>
      <c r="AH23" s="12">
        <f t="array" ref="AH23">INDEX(AG:AG,MIN(IF(ISNUMBER(AG23:AG219),ROW(AG23:AG219),"")))</f>
        <v>7.15</v>
      </c>
      <c r="AI23" s="13">
        <f>IF('Données projet'!$A$62&gt;35,AI22+AH23-AQ22,IF(A23&lt;'Données projet'!$A$62,$AF$205^A23,IF(A23='Données projet'!$A$62,'Données projet'!$B$62,AI22+AH23-AQ22)))</f>
        <v>143</v>
      </c>
      <c r="AJ23" s="13">
        <f>AI23*VLOOKUP('Données projet'!$B$10,Paramètres!$A$1:$I$89,3,0)*VLOOKUP('Données projet'!$B$10,Paramètres!$A$1:$I$89,5,0)</f>
        <v>66.923999999999992</v>
      </c>
      <c r="AK23" s="13">
        <f t="shared" si="35"/>
        <v>18.90759204786767</v>
      </c>
      <c r="AL23" s="20">
        <f t="shared" si="4"/>
        <v>149.49002281670283</v>
      </c>
      <c r="AM23" s="59">
        <f t="shared" si="5"/>
        <v>366.00472570359852</v>
      </c>
      <c r="AN23" s="59">
        <f ca="1">AVERAGE(OFFSET($AM$3,0,0,'Données projet'!$E$10+1,1))-AVERAGE(OFFSET($H$3,0,0,'Données projet'!$E$10+1,1))</f>
        <v>332.74717458063787</v>
      </c>
      <c r="AO23" s="59">
        <f t="shared" si="36"/>
        <v>408.69087885751878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137</v>
      </c>
      <c r="BB23" s="12">
        <f>VLOOKUP(A23,'Données projet'!$A$87:$I$107,9,0)</f>
        <v>14.2</v>
      </c>
      <c r="BC23" s="12">
        <f t="array" ref="BC23">INDEX(BB:BB,MIN(IF(ISNUMBER(BB23:BB219),ROW(BB23:BB219),"")))</f>
        <v>14.2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119.68320000000003</v>
      </c>
      <c r="BF23" s="13">
        <f t="shared" si="37"/>
        <v>31.601099532596194</v>
      </c>
      <c r="BG23" s="20">
        <f t="shared" si="7"/>
        <v>263.48682168593842</v>
      </c>
      <c r="BH23" s="59">
        <f t="shared" si="8"/>
        <v>480.00152457283411</v>
      </c>
      <c r="BI23" s="59">
        <f ca="1">AVERAGE(OFFSET($BH$3,0,0,'Données projet'!$E$11+1,1))-AVERAGE(OFFSET($H$3,0,0,'Données projet'!$E$11+1,1))</f>
        <v>341.62910675299065</v>
      </c>
      <c r="BJ23" s="59">
        <f t="shared" si="38"/>
        <v>407.15938341104709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14.88</v>
      </c>
      <c r="N24" s="13">
        <f>IF('Données projet'!$A$36&gt;35,N23+M24-V23,IF(A24&lt;'Données projet'!$A$36,$K$205^A24,IF(A24='Données projet'!$A$36,'Données projet'!$B$36,N23+M24-V23)))</f>
        <v>144.29659049240797</v>
      </c>
      <c r="O24" s="13">
        <f>N24*VLOOKUP('Données projet'!$B$9,Paramètres!$A$1:$I$89,3,0)*VLOOKUP('Données projet'!$B$9,Paramètres!$A$1:$I$89,5,0)</f>
        <v>80.661794085256062</v>
      </c>
      <c r="P24" s="13">
        <f t="shared" si="33"/>
        <v>22.29891855648512</v>
      </c>
      <c r="Q24" s="20">
        <f t="shared" si="2"/>
        <v>179.32324118436588</v>
      </c>
      <c r="R24" s="59">
        <f t="shared" si="0"/>
        <v>398.18076956024026</v>
      </c>
      <c r="S24" s="59">
        <f ca="1">AVERAGE(OFFSET($R$3,0,0,'Données projet'!$E$9+1,1))-AVERAGE(OFFSET($H$3,0,0,'Données projet'!$E$9+1,1))</f>
        <v>507.66185230065889</v>
      </c>
      <c r="T24" s="59">
        <f t="shared" si="34"/>
        <v>640.14375617778342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33</v>
      </c>
      <c r="AI24" s="13">
        <f>IF('Données projet'!$A$62&gt;35,AI23+AH24-AQ23,IF(A24&lt;'Données projet'!$A$62,$AF$205^A24,IF(A24='Données projet'!$A$62,'Données projet'!$B$62,AI23+AH24-AQ23)))</f>
        <v>128</v>
      </c>
      <c r="AJ24" s="13">
        <f>AI24*VLOOKUP('Données projet'!$B$10,Paramètres!$A$1:$I$89,3,0)*VLOOKUP('Données projet'!$B$10,Paramètres!$A$1:$I$89,5,0)</f>
        <v>59.903999999999996</v>
      </c>
      <c r="AK24" s="13">
        <f t="shared" si="35"/>
        <v>17.143994938960184</v>
      </c>
      <c r="AL24" s="20">
        <f t="shared" si="4"/>
        <v>134.19192451868898</v>
      </c>
      <c r="AM24" s="59">
        <f t="shared" si="5"/>
        <v>353.04945289456339</v>
      </c>
      <c r="AN24" s="59">
        <f ca="1">AVERAGE(OFFSET($AM$3,0,0,'Données projet'!$E$10+1,1))-AVERAGE(OFFSET($H$3,0,0,'Données projet'!$E$10+1,1))</f>
        <v>332.74717458063787</v>
      </c>
      <c r="AO24" s="59">
        <f t="shared" si="36"/>
        <v>408.69087885751878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13.8</v>
      </c>
      <c r="BD24" s="12">
        <f>IF('Données projet'!$A$88&gt;35,BD23+BC24-BL23,IF(A24&lt;'Données projet'!$A$88,$BA$205^A24,IF(A24='Données projet'!$A$88,'Données projet'!$B$88,BD23+BC24-BL23)))</f>
        <v>107.80000000000001</v>
      </c>
      <c r="BE24" s="13">
        <f>BD24*VLOOKUP('Données projet'!$B$11,Paramètres!$A$1:$I$89,3,0)*VLOOKUP('Données projet'!$B$11,Paramètres!$A$1:$I$89,5,0)</f>
        <v>94.174080000000018</v>
      </c>
      <c r="BF24" s="13">
        <f t="shared" si="37"/>
        <v>25.569241067746205</v>
      </c>
      <c r="BG24" s="20">
        <f t="shared" si="7"/>
        <v>208.55295085965801</v>
      </c>
      <c r="BH24" s="59">
        <f t="shared" si="8"/>
        <v>427.41047923553242</v>
      </c>
      <c r="BI24" s="59">
        <f ca="1">AVERAGE(OFFSET($BH$3,0,0,'Données projet'!$E$11+1,1))-AVERAGE(OFFSET($H$3,0,0,'Données projet'!$E$11+1,1))</f>
        <v>341.62910675299065</v>
      </c>
      <c r="BJ24" s="59">
        <f t="shared" si="38"/>
        <v>407.15938341104709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14.88</v>
      </c>
      <c r="N25" s="13">
        <f>IF('Données projet'!$A$36&gt;35,N24+M25-V24,IF(A25&lt;'Données projet'!$A$36,$K$205^A25,IF(A25='Données projet'!$A$36,'Données projet'!$B$36,N24+M25-V24)))</f>
        <v>182.84276790714176</v>
      </c>
      <c r="O25" s="13">
        <f>N25*VLOOKUP('Données projet'!$B$9,Paramètres!$A$1:$I$89,3,0)*VLOOKUP('Données projet'!$B$9,Paramètres!$A$1:$I$89,5,0)</f>
        <v>102.20910726009224</v>
      </c>
      <c r="P25" s="13">
        <f t="shared" si="33"/>
        <v>27.487615738281306</v>
      </c>
      <c r="Q25" s="20">
        <f t="shared" si="2"/>
        <v>225.88845922216728</v>
      </c>
      <c r="R25" s="59">
        <f t="shared" si="0"/>
        <v>447.06937312563571</v>
      </c>
      <c r="S25" s="59">
        <f ca="1">AVERAGE(OFFSET($R$3,0,0,'Données projet'!$E$9+1,1))-AVERAGE(OFFSET($H$3,0,0,'Données projet'!$E$9+1,1))</f>
        <v>507.66185230065889</v>
      </c>
      <c r="T25" s="59">
        <f t="shared" si="34"/>
        <v>640.14375617778342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33</v>
      </c>
      <c r="AI25" s="13">
        <f>IF('Données projet'!$A$62&gt;35,AI24+AH25-AQ24,IF(A25&lt;'Données projet'!$A$62,$AF$205^A25,IF(A25='Données projet'!$A$62,'Données projet'!$B$62,AI24+AH25-AQ24)))</f>
        <v>161</v>
      </c>
      <c r="AJ25" s="13">
        <f>AI25*VLOOKUP('Données projet'!$B$10,Paramètres!$A$1:$I$89,3,0)*VLOOKUP('Données projet'!$B$10,Paramètres!$A$1:$I$89,5,0)</f>
        <v>75.347999999999999</v>
      </c>
      <c r="AK25" s="13">
        <f t="shared" si="35"/>
        <v>20.99581051771704</v>
      </c>
      <c r="AL25" s="20">
        <f t="shared" si="4"/>
        <v>167.79880331835713</v>
      </c>
      <c r="AM25" s="59">
        <f t="shared" si="5"/>
        <v>388.97971722182552</v>
      </c>
      <c r="AN25" s="59">
        <f ca="1">AVERAGE(OFFSET($AM$3,0,0,'Données projet'!$E$10+1,1))-AVERAGE(OFFSET($H$3,0,0,'Données projet'!$E$10+1,1))</f>
        <v>332.74717458063787</v>
      </c>
      <c r="AO25" s="59">
        <f t="shared" si="36"/>
        <v>408.69087885751878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13.8</v>
      </c>
      <c r="BD25" s="12">
        <f>IF('Données projet'!$A$88&gt;35,BD24+BC25-BL24,IF(A25&lt;'Données projet'!$A$88,$BA$205^A25,IF(A25='Données projet'!$A$88,'Données projet'!$B$88,BD24+BC25-BL24)))</f>
        <v>121.60000000000001</v>
      </c>
      <c r="BE25" s="13">
        <f>BD25*VLOOKUP('Données projet'!$B$11,Paramètres!$A$1:$I$89,3,0)*VLOOKUP('Données projet'!$B$11,Paramètres!$A$1:$I$89,5,0)</f>
        <v>106.22976000000003</v>
      </c>
      <c r="BF25" s="13">
        <f t="shared" si="37"/>
        <v>28.440891625171492</v>
      </c>
      <c r="BG25" s="20">
        <f t="shared" si="7"/>
        <v>234.55138491384039</v>
      </c>
      <c r="BH25" s="59">
        <f t="shared" si="8"/>
        <v>455.73229881730879</v>
      </c>
      <c r="BI25" s="59">
        <f ca="1">AVERAGE(OFFSET($BH$3,0,0,'Données projet'!$E$11+1,1))-AVERAGE(OFFSET($H$3,0,0,'Données projet'!$E$11+1,1))</f>
        <v>341.62910675299065</v>
      </c>
      <c r="BJ25" s="59">
        <f t="shared" si="38"/>
        <v>407.15938341104709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14.88</v>
      </c>
      <c r="N26" s="13">
        <f>IF('Données projet'!$A$36&gt;35,N25+M26-V25,IF(A26&lt;'Données projet'!$A$36,$K$205^A26,IF(A26='Données projet'!$A$36,'Données projet'!$B$36,N25+M26-V25)))</f>
        <v>231.68584692029773</v>
      </c>
      <c r="O26" s="13">
        <f>N26*VLOOKUP('Données projet'!$B$9,Paramètres!$A$1:$I$89,3,0)*VLOOKUP('Données projet'!$B$9,Paramètres!$A$1:$I$89,5,0)</f>
        <v>129.51238842844643</v>
      </c>
      <c r="P26" s="13">
        <f t="shared" si="33"/>
        <v>33.88366198394273</v>
      </c>
      <c r="Q26" s="20">
        <f t="shared" si="2"/>
        <v>284.58145446824443</v>
      </c>
      <c r="R26" s="59">
        <f t="shared" si="0"/>
        <v>508.06665117779096</v>
      </c>
      <c r="S26" s="59">
        <f ca="1">AVERAGE(OFFSET($R$3,0,0,'Données projet'!$E$9+1,1))-AVERAGE(OFFSET($H$3,0,0,'Données projet'!$E$9+1,1))</f>
        <v>507.66185230065889</v>
      </c>
      <c r="T26" s="59">
        <f t="shared" si="34"/>
        <v>640.14375617778342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33</v>
      </c>
      <c r="AI26" s="13">
        <f>IF('Données projet'!$A$62&gt;35,AI25+AH26-AQ25,IF(A26&lt;'Données projet'!$A$62,$AF$205^A26,IF(A26='Données projet'!$A$62,'Données projet'!$B$62,AI25+AH26-AQ25)))</f>
        <v>194</v>
      </c>
      <c r="AJ26" s="13">
        <f>AI26*VLOOKUP('Données projet'!$B$10,Paramètres!$A$1:$I$89,3,0)*VLOOKUP('Données projet'!$B$10,Paramètres!$A$1:$I$89,5,0)</f>
        <v>90.792000000000002</v>
      </c>
      <c r="AK26" s="13">
        <f t="shared" si="35"/>
        <v>24.756138813110173</v>
      </c>
      <c r="AL26" s="20">
        <f t="shared" si="4"/>
        <v>201.24634176616689</v>
      </c>
      <c r="AM26" s="59">
        <f t="shared" si="5"/>
        <v>424.73153847571336</v>
      </c>
      <c r="AN26" s="59">
        <f ca="1">AVERAGE(OFFSET($AM$3,0,0,'Données projet'!$E$10+1,1))-AVERAGE(OFFSET($H$3,0,0,'Données projet'!$E$10+1,1))</f>
        <v>332.74717458063787</v>
      </c>
      <c r="AO26" s="59">
        <f t="shared" si="36"/>
        <v>408.69087885751878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13.8</v>
      </c>
      <c r="BD26" s="12">
        <f>IF('Données projet'!$A$88&gt;35,BD25+BC26-BL25,IF(A26&lt;'Données projet'!$A$88,$BA$205^A26,IF(A26='Données projet'!$A$88,'Données projet'!$B$88,BD25+BC26-BL25)))</f>
        <v>135.4</v>
      </c>
      <c r="BE26" s="13">
        <f>BD26*VLOOKUP('Données projet'!$B$11,Paramètres!$A$1:$I$89,3,0)*VLOOKUP('Données projet'!$B$11,Paramètres!$A$1:$I$89,5,0)</f>
        <v>118.28544000000002</v>
      </c>
      <c r="BF26" s="13">
        <f t="shared" si="37"/>
        <v>31.274772013169596</v>
      </c>
      <c r="BG26" s="20">
        <f t="shared" si="7"/>
        <v>260.48403592293715</v>
      </c>
      <c r="BH26" s="59">
        <f t="shared" si="8"/>
        <v>483.96923263248368</v>
      </c>
      <c r="BI26" s="59">
        <f ca="1">AVERAGE(OFFSET($BH$3,0,0,'Données projet'!$E$11+1,1))-AVERAGE(OFFSET($H$3,0,0,'Données projet'!$E$11+1,1))</f>
        <v>341.62910675299065</v>
      </c>
      <c r="BJ26" s="59">
        <f t="shared" si="38"/>
        <v>407.15938341104709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14.88</v>
      </c>
      <c r="N27" s="13">
        <f>IF('Données projet'!$A$36&gt;35,N26+M27-V26,IF(A27&lt;'Données projet'!$A$36,$K$205^A27,IF(A27='Données projet'!$A$36,'Données projet'!$B$36,N26+M27-V26)))</f>
        <v>293.57645521116052</v>
      </c>
      <c r="O27" s="13">
        <f>N27*VLOOKUP('Données projet'!$B$9,Paramètres!$A$1:$I$89,3,0)*VLOOKUP('Données projet'!$B$9,Paramètres!$A$1:$I$89,5,0)</f>
        <v>164.10923846303874</v>
      </c>
      <c r="P27" s="13">
        <f t="shared" si="33"/>
        <v>41.767993280084795</v>
      </c>
      <c r="Q27" s="20">
        <f t="shared" si="2"/>
        <v>358.56951195260677</v>
      </c>
      <c r="R27" s="59">
        <f t="shared" si="0"/>
        <v>584.34022013622655</v>
      </c>
      <c r="S27" s="59">
        <f ca="1">AVERAGE(OFFSET($R$3,0,0,'Données projet'!$E$9+1,1))-AVERAGE(OFFSET($H$3,0,0,'Données projet'!$E$9+1,1))</f>
        <v>507.66185230065889</v>
      </c>
      <c r="T27" s="59">
        <f t="shared" si="34"/>
        <v>640.14375617778342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227</v>
      </c>
      <c r="AG27" s="12">
        <f>VLOOKUP(A27,'Données projet'!$A$61:$I$81,9,0)</f>
        <v>33</v>
      </c>
      <c r="AH27" s="12">
        <f t="array" ref="AH27">INDEX(AG:AG,MIN(IF(ISNUMBER(AG27:AG223),ROW(AG27:AG223),"")))</f>
        <v>33</v>
      </c>
      <c r="AI27" s="13">
        <f>IF('Données projet'!$A$62&gt;35,AI26+AH27-AQ26,IF(A27&lt;'Données projet'!$A$62,$AF$205^A27,IF(A27='Données projet'!$A$62,'Données projet'!$B$62,AI26+AH27-AQ26)))</f>
        <v>227</v>
      </c>
      <c r="AJ27" s="13">
        <f>AI27*VLOOKUP('Données projet'!$B$10,Paramètres!$A$1:$I$89,3,0)*VLOOKUP('Données projet'!$B$10,Paramètres!$A$1:$I$89,5,0)</f>
        <v>106.236</v>
      </c>
      <c r="AK27" s="13">
        <f t="shared" si="35"/>
        <v>28.442367793282877</v>
      </c>
      <c r="AL27" s="20">
        <f t="shared" si="4"/>
        <v>234.56482390663436</v>
      </c>
      <c r="AM27" s="59">
        <f t="shared" si="5"/>
        <v>460.33553209025416</v>
      </c>
      <c r="AN27" s="59">
        <f ca="1">AVERAGE(OFFSET($AM$3,0,0,'Données projet'!$E$10+1,1))-AVERAGE(OFFSET($H$3,0,0,'Données projet'!$E$10+1,1))</f>
        <v>332.74717458063787</v>
      </c>
      <c r="AO27" s="59">
        <f t="shared" si="36"/>
        <v>408.69087885751878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58</v>
      </c>
      <c r="AR27" s="16">
        <f>IF(ISNA(VLOOKUP(A27,'Données projet'!$A$61:$I$81,5,0)),0%,VLOOKUP(A27,'Données projet'!$A$61:$I$81,5,0)*VLOOKUP('Données projet'!$B$10,Paramètres!$A$1:$I$89,7,0))</f>
        <v>0.11000000000000001</v>
      </c>
      <c r="AS27" s="16">
        <f>IF(ISNA(VLOOKUP(A27,'Données projet'!$A$61:$I$81,6,0)),0%,VLOOKUP(A27,'Données projet'!$A$61:$I$81,6,0)*VLOOKUP('Données projet'!$B$10,Paramètres!$A$1:$I$89,7,0))</f>
        <v>0.44000000000000006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3.9609092136295967</v>
      </c>
      <c r="AV27" s="21">
        <f>EXP(-LN(2)/25)*AV26+(1-EXP(-LN(2)/25))/(LN(2)/25)*Calculateur!AQ27*Calculateur!AS27*VLOOKUP('Données projet'!$B$10,Paramètres!$A$1:$I$89,3,0)*0.475*44/12</f>
        <v>15.781254419323224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19.742163632952821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13.8</v>
      </c>
      <c r="BD27" s="12">
        <f>IF('Données projet'!$A$88&gt;35,BD26+BC27-BL26,IF(A27&lt;'Données projet'!$A$88,$BA$205^A27,IF(A27='Données projet'!$A$88,'Données projet'!$B$88,BD26+BC27-BL26)))</f>
        <v>149.20000000000002</v>
      </c>
      <c r="BE27" s="13">
        <f>BD27*VLOOKUP('Données projet'!$B$11,Paramètres!$A$1:$I$89,3,0)*VLOOKUP('Données projet'!$B$11,Paramètres!$A$1:$I$89,5,0)</f>
        <v>130.34112000000005</v>
      </c>
      <c r="BF27" s="13">
        <f t="shared" si="37"/>
        <v>34.075170122989917</v>
      </c>
      <c r="BG27" s="20">
        <f t="shared" si="7"/>
        <v>286.35837196420749</v>
      </c>
      <c r="BH27" s="59">
        <f t="shared" si="8"/>
        <v>512.12908014782727</v>
      </c>
      <c r="BI27" s="59">
        <f ca="1">AVERAGE(OFFSET($BH$3,0,0,'Données projet'!$E$11+1,1))-AVERAGE(OFFSET($H$3,0,0,'Données projet'!$E$11+1,1))</f>
        <v>341.62910675299065</v>
      </c>
      <c r="BJ27" s="59">
        <f t="shared" si="38"/>
        <v>407.15938341104709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372</v>
      </c>
      <c r="L28" s="12">
        <f>VLOOKUP(A28,'Données projet'!$A$35:$I$55,9,0)</f>
        <v>14.88</v>
      </c>
      <c r="M28" s="12">
        <f t="array" ref="M28">INDEX(L:L,MIN(IF(ISNUMBER(L28:L224),ROW(L28:L224),"")))</f>
        <v>14.88</v>
      </c>
      <c r="N28" s="13">
        <f>IF('Données projet'!$A$36&gt;35,N27+M28-V27,IF(A28&lt;'Données projet'!$A$36,$K$205^A28,IF(A28='Données projet'!$A$36,'Données projet'!$B$36,N27+M28-V27)))</f>
        <v>372</v>
      </c>
      <c r="O28" s="13">
        <f>N28*VLOOKUP('Données projet'!$B$9,Paramètres!$A$1:$I$89,3,0)*VLOOKUP('Données projet'!$B$9,Paramètres!$A$1:$I$89,5,0)</f>
        <v>207.94800000000001</v>
      </c>
      <c r="P28" s="13">
        <f t="shared" si="33"/>
        <v>51.486916127068838</v>
      </c>
      <c r="Q28" s="20">
        <f t="shared" si="2"/>
        <v>451.84914558797823</v>
      </c>
      <c r="R28" s="59">
        <f t="shared" si="0"/>
        <v>679.88691955431034</v>
      </c>
      <c r="S28" s="59">
        <f ca="1">AVERAGE(OFFSET($R$3,0,0,'Données projet'!$E$9+1,1))-AVERAGE(OFFSET($H$3,0,0,'Données projet'!$E$9+1,1))</f>
        <v>507.66185230065889</v>
      </c>
      <c r="T28" s="59">
        <f t="shared" si="34"/>
        <v>640.14375617778342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21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0.27500000000000002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4.2655869075218122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4.2655869075218122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39.5</v>
      </c>
      <c r="AI28" s="13">
        <f>IF('Données projet'!$A$62&gt;35,AI27+AH28-AQ27,IF(A28&lt;'Données projet'!$A$62,$AF$205^A28,IF(A28='Données projet'!$A$62,'Données projet'!$B$62,AI27+AH28-AQ27)))</f>
        <v>208.5</v>
      </c>
      <c r="AJ28" s="13">
        <f>AI28*VLOOKUP('Données projet'!$B$10,Paramètres!$A$1:$I$89,3,0)*VLOOKUP('Données projet'!$B$10,Paramètres!$A$1:$I$89,5,0)</f>
        <v>97.578000000000003</v>
      </c>
      <c r="AK28" s="13">
        <f t="shared" si="35"/>
        <v>26.384168667795084</v>
      </c>
      <c r="AL28" s="20">
        <f t="shared" si="4"/>
        <v>215.90077709640977</v>
      </c>
      <c r="AM28" s="59">
        <f t="shared" si="5"/>
        <v>443.93855106274191</v>
      </c>
      <c r="AN28" s="59">
        <f ca="1">AVERAGE(OFFSET($AM$3,0,0,'Données projet'!$E$10+1,1))-AVERAGE(OFFSET($H$3,0,0,'Données projet'!$E$10+1,1))</f>
        <v>332.74717458063787</v>
      </c>
      <c r="AO28" s="59">
        <f t="shared" si="36"/>
        <v>408.69087885751878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3.8832381998663887</v>
      </c>
      <c r="AV28" s="21">
        <f>EXP(-LN(2)/25)*AV27+(1-EXP(-LN(2)/25))/(LN(2)/25)*Calculateur!AQ28*Calculateur!AS28*VLOOKUP('Données projet'!$B$10,Paramètres!$A$1:$I$89,3,0)*0.475*44/12</f>
        <v>15.349715187326728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19.232953387193117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163</v>
      </c>
      <c r="BB28" s="12">
        <f>VLOOKUP(A28,'Données projet'!$A$87:$I$107,9,0)</f>
        <v>13.8</v>
      </c>
      <c r="BC28" s="12">
        <f t="array" ref="BC28">INDEX(BB:BB,MIN(IF(ISNUMBER(BB28:BB224),ROW(BB28:BB224),"")))</f>
        <v>13.8</v>
      </c>
      <c r="BD28" s="12">
        <f>IF('Données projet'!$A$88&gt;35,BD27+BC28-BL27,IF(A28&lt;'Données projet'!$A$88,$BA$205^A28,IF(A28='Données projet'!$A$88,'Données projet'!$B$88,BD27+BC28-BL27)))</f>
        <v>163.00000000000003</v>
      </c>
      <c r="BE28" s="13">
        <f>BD28*VLOOKUP('Données projet'!$B$11,Paramètres!$A$1:$I$89,3,0)*VLOOKUP('Données projet'!$B$11,Paramètres!$A$1:$I$89,5,0)</f>
        <v>142.39680000000004</v>
      </c>
      <c r="BF28" s="13">
        <f t="shared" si="37"/>
        <v>36.845535084476985</v>
      </c>
      <c r="BG28" s="20">
        <f t="shared" si="7"/>
        <v>312.18040027213078</v>
      </c>
      <c r="BH28" s="59">
        <f t="shared" si="8"/>
        <v>540.21817423846289</v>
      </c>
      <c r="BI28" s="59">
        <f ca="1">AVERAGE(OFFSET($BH$3,0,0,'Données projet'!$E$11+1,1))-AVERAGE(OFFSET($H$3,0,0,'Données projet'!$E$11+1,1))</f>
        <v>341.62910675299065</v>
      </c>
      <c r="BJ28" s="59">
        <f t="shared" si="38"/>
        <v>407.15938341104709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44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26.6</v>
      </c>
      <c r="N29" s="13">
        <f>IF('Données projet'!$A$36&gt;35,N28+M29-V28,IF(A29&lt;'Données projet'!$A$36,$K$205^A29,IF(A29='Données projet'!$A$36,'Données projet'!$B$36,N28+M29-V28)))</f>
        <v>377.6</v>
      </c>
      <c r="O29" s="13">
        <f>N29*VLOOKUP('Données projet'!$B$9,Paramètres!$A$1:$I$89,3,0)*VLOOKUP('Données projet'!$B$9,Paramètres!$A$1:$I$89,5,0)</f>
        <v>211.07839999999999</v>
      </c>
      <c r="P29" s="13">
        <f t="shared" si="33"/>
        <v>52.171172933509965</v>
      </c>
      <c r="Q29" s="20">
        <f t="shared" si="2"/>
        <v>458.49300619252989</v>
      </c>
      <c r="R29" s="59">
        <f t="shared" si="0"/>
        <v>688.77972024172004</v>
      </c>
      <c r="S29" s="59">
        <f ca="1">AVERAGE(OFFSET($R$3,0,0,'Données projet'!$E$9+1,1))-AVERAGE(OFFSET($H$3,0,0,'Données projet'!$E$9+1,1))</f>
        <v>507.66185230065889</v>
      </c>
      <c r="T29" s="59">
        <f t="shared" si="34"/>
        <v>640.14375617778342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4.1489442092181621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4.1489442092181621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39.5</v>
      </c>
      <c r="AI29" s="13">
        <f>IF('Données projet'!$A$62&gt;35,AI28+AH29-AQ28,IF(A29&lt;'Données projet'!$A$62,$AF$205^A29,IF(A29='Données projet'!$A$62,'Données projet'!$B$62,AI28+AH29-AQ28)))</f>
        <v>248</v>
      </c>
      <c r="AJ29" s="13">
        <f>AI29*VLOOKUP('Données projet'!$B$10,Paramètres!$A$1:$I$89,3,0)*VLOOKUP('Données projet'!$B$10,Paramètres!$A$1:$I$89,5,0)</f>
        <v>116.06400000000001</v>
      </c>
      <c r="AK29" s="13">
        <f t="shared" si="35"/>
        <v>30.755217722036068</v>
      </c>
      <c r="AL29" s="20">
        <f t="shared" si="4"/>
        <v>255.71013753254616</v>
      </c>
      <c r="AM29" s="59">
        <f t="shared" si="5"/>
        <v>485.99685158173634</v>
      </c>
      <c r="AN29" s="59">
        <f ca="1">AVERAGE(OFFSET($AM$3,0,0,'Données projet'!$E$10+1,1))-AVERAGE(OFFSET($H$3,0,0,'Données projet'!$E$10+1,1))</f>
        <v>332.74717458063787</v>
      </c>
      <c r="AO29" s="59">
        <f t="shared" si="36"/>
        <v>408.69087885751878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3.8070902673084368</v>
      </c>
      <c r="AV29" s="21">
        <f>EXP(-LN(2)/25)*AV28+(1-EXP(-LN(2)/25))/(LN(2)/25)*Calculateur!AQ29*Calculateur!AS29*VLOOKUP('Données projet'!$B$10,Paramètres!$A$1:$I$89,3,0)*0.475*44/12</f>
        <v>14.929976418322839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18.737066685631277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</v>
      </c>
      <c r="BD29" s="12">
        <f>IF('Données projet'!$A$88&gt;35,BD28+BC29-BL28,IF(A29&lt;'Données projet'!$A$88,$BA$205^A29,IF(A29='Données projet'!$A$88,'Données projet'!$B$88,BD28+BC29-BL28)))</f>
        <v>132.00000000000003</v>
      </c>
      <c r="BE29" s="13">
        <f>BD29*VLOOKUP('Données projet'!$B$11,Paramètres!$A$1:$I$89,3,0)*VLOOKUP('Données projet'!$B$11,Paramètres!$A$1:$I$89,5,0)</f>
        <v>115.31520000000003</v>
      </c>
      <c r="BF29" s="13">
        <f t="shared" si="37"/>
        <v>30.579827148797317</v>
      </c>
      <c r="BG29" s="20">
        <f t="shared" si="7"/>
        <v>254.10050561748869</v>
      </c>
      <c r="BH29" s="59">
        <f t="shared" si="8"/>
        <v>484.3872196666789</v>
      </c>
      <c r="BI29" s="59">
        <f ca="1">AVERAGE(OFFSET($BH$3,0,0,'Données projet'!$E$11+1,1))-AVERAGE(OFFSET($H$3,0,0,'Données projet'!$E$11+1,1))</f>
        <v>341.62910675299065</v>
      </c>
      <c r="BJ29" s="59">
        <f t="shared" si="38"/>
        <v>407.15938341104709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26.6</v>
      </c>
      <c r="N30" s="13">
        <f>IF('Données projet'!$A$36&gt;35,N29+M30-V29,IF(A30&lt;'Données projet'!$A$36,$K$205^A30,IF(A30='Données projet'!$A$36,'Données projet'!$B$36,N29+M30-V29)))</f>
        <v>404.20000000000005</v>
      </c>
      <c r="O30" s="13">
        <f>N30*VLOOKUP('Données projet'!$B$9,Paramètres!$A$1:$I$89,3,0)*VLOOKUP('Données projet'!$B$9,Paramètres!$A$1:$I$89,5,0)</f>
        <v>225.94780000000003</v>
      </c>
      <c r="P30" s="13">
        <f t="shared" si="33"/>
        <v>55.405596784542439</v>
      </c>
      <c r="Q30" s="20">
        <f t="shared" si="2"/>
        <v>490.02383273307811</v>
      </c>
      <c r="R30" s="59">
        <f t="shared" si="0"/>
        <v>722.54167560564156</v>
      </c>
      <c r="S30" s="59">
        <f ca="1">AVERAGE(OFFSET($R$3,0,0,'Données projet'!$E$9+1,1))-AVERAGE(OFFSET($H$3,0,0,'Données projet'!$E$9+1,1))</f>
        <v>507.66185230065889</v>
      </c>
      <c r="T30" s="59">
        <f t="shared" si="34"/>
        <v>640.14375617778342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4.0354911116335979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4.0354911116335979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39.5</v>
      </c>
      <c r="AI30" s="13">
        <f>IF('Données projet'!$A$62&gt;35,AI29+AH30-AQ29,IF(A30&lt;'Données projet'!$A$62,$AF$205^A30,IF(A30='Données projet'!$A$62,'Données projet'!$B$62,AI29+AH30-AQ29)))</f>
        <v>287.5</v>
      </c>
      <c r="AJ30" s="13">
        <f>AI30*VLOOKUP('Données projet'!$B$10,Paramètres!$A$1:$I$89,3,0)*VLOOKUP('Données projet'!$B$10,Paramètres!$A$1:$I$89,5,0)</f>
        <v>134.55000000000001</v>
      </c>
      <c r="AK30" s="13">
        <f t="shared" si="35"/>
        <v>35.045616486142094</v>
      </c>
      <c r="AL30" s="20">
        <f t="shared" si="4"/>
        <v>295.37903204669743</v>
      </c>
      <c r="AM30" s="59">
        <f t="shared" si="5"/>
        <v>527.89687491926088</v>
      </c>
      <c r="AN30" s="59">
        <f ca="1">AVERAGE(OFFSET($AM$3,0,0,'Données projet'!$E$10+1,1))-AVERAGE(OFFSET($H$3,0,0,'Données projet'!$E$10+1,1))</f>
        <v>332.74717458063787</v>
      </c>
      <c r="AO30" s="59">
        <f t="shared" si="36"/>
        <v>408.69087885751878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3.7324355492622936</v>
      </c>
      <c r="AV30" s="21">
        <f>EXP(-LN(2)/25)*AV29+(1-EXP(-LN(2)/25))/(LN(2)/25)*Calculateur!AQ30*Calculateur!AS30*VLOOKUP('Données projet'!$B$10,Paramètres!$A$1:$I$89,3,0)*0.475*44/12</f>
        <v>14.521715428030465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18.25415097729276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</v>
      </c>
      <c r="BD30" s="12">
        <f>IF('Données projet'!$A$88&gt;35,BD29+BC30-BL29,IF(A30&lt;'Données projet'!$A$88,$BA$205^A30,IF(A30='Données projet'!$A$88,'Données projet'!$B$88,BD29+BC30-BL29)))</f>
        <v>145.00000000000003</v>
      </c>
      <c r="BE30" s="13">
        <f>BD30*VLOOKUP('Données projet'!$B$11,Paramètres!$A$1:$I$89,3,0)*VLOOKUP('Données projet'!$B$11,Paramètres!$A$1:$I$89,5,0)</f>
        <v>126.67200000000003</v>
      </c>
      <c r="BF30" s="13">
        <f t="shared" si="37"/>
        <v>33.226199426361347</v>
      </c>
      <c r="BG30" s="20">
        <f t="shared" si="7"/>
        <v>278.48936400091276</v>
      </c>
      <c r="BH30" s="59">
        <f t="shared" si="8"/>
        <v>511.00720687347626</v>
      </c>
      <c r="BI30" s="59">
        <f ca="1">AVERAGE(OFFSET($BH$3,0,0,'Données projet'!$E$11+1,1))-AVERAGE(OFFSET($H$3,0,0,'Données projet'!$E$11+1,1))</f>
        <v>341.62910675299065</v>
      </c>
      <c r="BJ30" s="59">
        <f t="shared" si="38"/>
        <v>407.15938341104709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26.6</v>
      </c>
      <c r="N31" s="13">
        <f>IF('Données projet'!$A$36&gt;35,N30+M31-V30,IF(A31&lt;'Données projet'!$A$36,$K$205^A31,IF(A31='Données projet'!$A$36,'Données projet'!$B$36,N30+M31-V30)))</f>
        <v>430.80000000000007</v>
      </c>
      <c r="O31" s="13">
        <f>N31*VLOOKUP('Données projet'!$B$9,Paramètres!$A$1:$I$89,3,0)*VLOOKUP('Données projet'!$B$9,Paramètres!$A$1:$I$89,5,0)</f>
        <v>240.81720000000004</v>
      </c>
      <c r="P31" s="13">
        <f t="shared" si="33"/>
        <v>58.615320243858108</v>
      </c>
      <c r="Q31" s="20">
        <f t="shared" si="2"/>
        <v>521.51163942471965</v>
      </c>
      <c r="R31" s="59">
        <f t="shared" si="0"/>
        <v>756.24310884670376</v>
      </c>
      <c r="S31" s="59">
        <f ca="1">AVERAGE(OFFSET($R$3,0,0,'Données projet'!$E$9+1,1))-AVERAGE(OFFSET($H$3,0,0,'Données projet'!$E$9+1,1))</f>
        <v>507.66185230065889</v>
      </c>
      <c r="T31" s="59">
        <f t="shared" si="34"/>
        <v>640.14375617778342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3.9251403949687229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3.9251403949687229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327</v>
      </c>
      <c r="AG31" s="12">
        <f>VLOOKUP(A31,'Données projet'!$A$61:$I$81,9,0)</f>
        <v>39.5</v>
      </c>
      <c r="AH31" s="12">
        <f t="array" ref="AH31">INDEX(AG:AG,MIN(IF(ISNUMBER(AG31:AG227),ROW(AG31:AG227),"")))</f>
        <v>39.5</v>
      </c>
      <c r="AI31" s="13">
        <f>IF('Données projet'!$A$62&gt;35,AI30+AH31-AQ30,IF(A31&lt;'Données projet'!$A$62,$AF$205^A31,IF(A31='Données projet'!$A$62,'Données projet'!$B$62,AI30+AH31-AQ30)))</f>
        <v>327</v>
      </c>
      <c r="AJ31" s="13">
        <f>AI31*VLOOKUP('Données projet'!$B$10,Paramètres!$A$1:$I$89,3,0)*VLOOKUP('Données projet'!$B$10,Paramètres!$A$1:$I$89,5,0)</f>
        <v>153.036</v>
      </c>
      <c r="AK31" s="13">
        <f t="shared" si="35"/>
        <v>39.26772084237529</v>
      </c>
      <c r="AL31" s="20">
        <f t="shared" si="4"/>
        <v>334.92898046713697</v>
      </c>
      <c r="AM31" s="59">
        <f t="shared" si="5"/>
        <v>569.66044988912108</v>
      </c>
      <c r="AN31" s="59">
        <f ca="1">AVERAGE(OFFSET($AM$3,0,0,'Données projet'!$E$10+1,1))-AVERAGE(OFFSET($H$3,0,0,'Données projet'!$E$10+1,1))</f>
        <v>332.74717458063787</v>
      </c>
      <c r="AO31" s="59">
        <f t="shared" si="36"/>
        <v>408.69087885751878</v>
      </c>
      <c r="AP31" s="15">
        <f>IF(ISNA(VLOOKUP(A31,'Données projet'!$A$61:$I$81,3,0)),0,VLOOKUP(A31,'Données projet'!$A$61:$I$81,3,0))</f>
        <v>3</v>
      </c>
      <c r="AQ31" s="15">
        <f>IF(ISNA(VLOOKUP(A31,'Données projet'!$A$61:$I$81,4,0)),0,VLOOKUP(A31,'Données projet'!$A$61:$I$81,4,0))</f>
        <v>66</v>
      </c>
      <c r="AR31" s="16">
        <f>IF(ISNA(VLOOKUP(A31,'Données projet'!$A$61:$I$81,5,0)),0%,VLOOKUP(A31,'Données projet'!$A$61:$I$81,5,0)*VLOOKUP('Données projet'!$B$10,Paramètres!$A$1:$I$89,7,0))</f>
        <v>0.11000000000000001</v>
      </c>
      <c r="AS31" s="16">
        <f>IF(ISNA(VLOOKUP(A31,'Données projet'!$A$61:$I$81,6,0)),0%,VLOOKUP(A31,'Données projet'!$A$61:$I$81,6,0)*VLOOKUP('Données projet'!$B$10,Paramètres!$A$1:$I$89,7,0))</f>
        <v>0.44000000000000006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8.166486283659971</v>
      </c>
      <c r="AV31" s="21">
        <f>EXP(-LN(2)/25)*AV30+(1-EXP(-LN(2)/25))/(LN(2)/25)*Calculateur!AQ31*Calculateur!AS31*VLOOKUP('Données projet'!$B$10,Paramètres!$A$1:$I$89,3,0)*0.475*44/12</f>
        <v>32.082597522803226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40.249083806463197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</v>
      </c>
      <c r="BD31" s="12">
        <f>IF('Données projet'!$A$88&gt;35,BD30+BC31-BL30,IF(A31&lt;'Données projet'!$A$88,$BA$205^A31,IF(A31='Données projet'!$A$88,'Données projet'!$B$88,BD30+BC31-BL30)))</f>
        <v>158.00000000000003</v>
      </c>
      <c r="BE31" s="13">
        <f>BD31*VLOOKUP('Données projet'!$B$11,Paramètres!$A$1:$I$89,3,0)*VLOOKUP('Données projet'!$B$11,Paramètres!$A$1:$I$89,5,0)</f>
        <v>138.02880000000005</v>
      </c>
      <c r="BF31" s="13">
        <f t="shared" si="37"/>
        <v>35.845059256813073</v>
      </c>
      <c r="BG31" s="20">
        <f t="shared" si="7"/>
        <v>302.83030487228285</v>
      </c>
      <c r="BH31" s="59">
        <f t="shared" si="8"/>
        <v>537.56177429426691</v>
      </c>
      <c r="BI31" s="59">
        <f ca="1">AVERAGE(OFFSET($BH$3,0,0,'Données projet'!$E$11+1,1))-AVERAGE(OFFSET($H$3,0,0,'Données projet'!$E$11+1,1))</f>
        <v>341.62910675299065</v>
      </c>
      <c r="BJ31" s="59">
        <f t="shared" si="38"/>
        <v>407.15938341104709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26.6</v>
      </c>
      <c r="N32" s="13">
        <f>IF('Données projet'!$A$36&gt;35,N31+M32-V31,IF(A32&lt;'Données projet'!$A$36,$K$205^A32,IF(A32='Données projet'!$A$36,'Données projet'!$B$36,N31+M32-V31)))</f>
        <v>457.40000000000009</v>
      </c>
      <c r="O32" s="13">
        <f>N32*VLOOKUP('Données projet'!$B$9,Paramètres!$A$1:$I$89,3,0)*VLOOKUP('Données projet'!$B$9,Paramètres!$A$1:$I$89,5,0)</f>
        <v>255.68660000000006</v>
      </c>
      <c r="P32" s="13">
        <f t="shared" si="33"/>
        <v>61.80204209851388</v>
      </c>
      <c r="Q32" s="20">
        <f t="shared" si="2"/>
        <v>552.95938498824512</v>
      </c>
      <c r="R32" s="59">
        <f t="shared" si="0"/>
        <v>789.88728231102095</v>
      </c>
      <c r="S32" s="59">
        <f ca="1">AVERAGE(OFFSET($R$3,0,0,'Données projet'!$E$9+1,1))-AVERAGE(OFFSET($H$3,0,0,'Données projet'!$E$9+1,1))</f>
        <v>507.66185230065889</v>
      </c>
      <c r="T32" s="59">
        <f t="shared" si="34"/>
        <v>640.14375617778342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3.8178072244541408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3.8178072244541408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42</v>
      </c>
      <c r="AI32" s="13">
        <f>IF('Données projet'!$A$62&gt;35,AI31+AH32-AQ31,IF(A32&lt;'Données projet'!$A$62,$AF$205^A32,IF(A32='Données projet'!$A$62,'Données projet'!$B$62,AI31+AH32-AQ31)))</f>
        <v>303</v>
      </c>
      <c r="AJ32" s="13">
        <f>AI32*VLOOKUP('Données projet'!$B$10,Paramètres!$A$1:$I$89,3,0)*VLOOKUP('Données projet'!$B$10,Paramètres!$A$1:$I$89,5,0)</f>
        <v>141.804</v>
      </c>
      <c r="AK32" s="13">
        <f t="shared" si="35"/>
        <v>36.709968106496248</v>
      </c>
      <c r="AL32" s="20">
        <f t="shared" si="4"/>
        <v>310.91182778548091</v>
      </c>
      <c r="AM32" s="59">
        <f t="shared" si="5"/>
        <v>547.83972510825674</v>
      </c>
      <c r="AN32" s="59">
        <f ca="1">AVERAGE(OFFSET($AM$3,0,0,'Données projet'!$E$10+1,1))-AVERAGE(OFFSET($H$3,0,0,'Données projet'!$E$10+1,1))</f>
        <v>332.74717458063787</v>
      </c>
      <c r="AO32" s="59">
        <f t="shared" si="36"/>
        <v>408.69087885751878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8.0063464687021924</v>
      </c>
      <c r="AV32" s="21">
        <f>EXP(-LN(2)/25)*AV31+(1-EXP(-LN(2)/25))/(LN(2)/25)*Calculateur!AQ32*Calculateur!AS32*VLOOKUP('Données projet'!$B$10,Paramètres!$A$1:$I$89,3,0)*0.475*44/12</f>
        <v>31.205297206391695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39.211643675093889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</v>
      </c>
      <c r="BD32" s="12">
        <f>IF('Données projet'!$A$88&gt;35,BD31+BC32-BL31,IF(A32&lt;'Données projet'!$A$88,$BA$205^A32,IF(A32='Données projet'!$A$88,'Données projet'!$B$88,BD31+BC32-BL31)))</f>
        <v>171.00000000000003</v>
      </c>
      <c r="BE32" s="13">
        <f>BD32*VLOOKUP('Données projet'!$B$11,Paramètres!$A$1:$I$89,3,0)*VLOOKUP('Données projet'!$B$11,Paramètres!$A$1:$I$89,5,0)</f>
        <v>149.38560000000004</v>
      </c>
      <c r="BF32" s="13">
        <f t="shared" si="37"/>
        <v>38.438927680599591</v>
      </c>
      <c r="BG32" s="20">
        <f t="shared" si="7"/>
        <v>327.12771904371101</v>
      </c>
      <c r="BH32" s="59">
        <f t="shared" si="8"/>
        <v>564.0556163664869</v>
      </c>
      <c r="BI32" s="59">
        <f ca="1">AVERAGE(OFFSET($BH$3,0,0,'Données projet'!$E$11+1,1))-AVERAGE(OFFSET($H$3,0,0,'Données projet'!$E$11+1,1))</f>
        <v>341.62910675299065</v>
      </c>
      <c r="BJ32" s="59">
        <f t="shared" si="38"/>
        <v>407.15938341104709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484</v>
      </c>
      <c r="L33" s="12">
        <f>VLOOKUP(A33,'Données projet'!$A$35:$I$55,9,0)</f>
        <v>26.6</v>
      </c>
      <c r="M33" s="12">
        <f t="array" ref="M33">INDEX(L:L,MIN(IF(ISNUMBER(L33:L229),ROW(L33:L229),"")))</f>
        <v>26.6</v>
      </c>
      <c r="N33" s="13">
        <f>IF('Données projet'!$A$36&gt;35,N32+M33-V32,IF(A33&lt;'Données projet'!$A$36,$K$205^A33,IF(A33='Données projet'!$A$36,'Données projet'!$B$36,N32+M33-V32)))</f>
        <v>484.00000000000011</v>
      </c>
      <c r="O33" s="13">
        <f>N33*VLOOKUP('Données projet'!$B$9,Paramètres!$A$1:$I$89,3,0)*VLOOKUP('Données projet'!$B$9,Paramètres!$A$1:$I$89,5,0)</f>
        <v>270.55600000000004</v>
      </c>
      <c r="P33" s="13">
        <f t="shared" si="33"/>
        <v>64.967252389325225</v>
      </c>
      <c r="Q33" s="20">
        <f t="shared" si="2"/>
        <v>584.36966457807478</v>
      </c>
      <c r="R33" s="59">
        <f t="shared" si="0"/>
        <v>823.47708951111679</v>
      </c>
      <c r="S33" s="59">
        <f ca="1">AVERAGE(OFFSET($R$3,0,0,'Données projet'!$E$9+1,1))-AVERAGE(OFFSET($H$3,0,0,'Données projet'!$E$9+1,1))</f>
        <v>507.66185230065889</v>
      </c>
      <c r="T33" s="59">
        <f t="shared" si="34"/>
        <v>640.14375617778342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0.27500000000000002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13.463322016610114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13.463322016610114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42</v>
      </c>
      <c r="AI33" s="13">
        <f>IF('Données projet'!$A$62&gt;35,AI32+AH33-AQ32,IF(A33&lt;'Données projet'!$A$62,$AF$205^A33,IF(A33='Données projet'!$A$62,'Données projet'!$B$62,AI32+AH33-AQ32)))</f>
        <v>345</v>
      </c>
      <c r="AJ33" s="13">
        <f>AI33*VLOOKUP('Données projet'!$B$10,Paramètres!$A$1:$I$89,3,0)*VLOOKUP('Données projet'!$B$10,Paramètres!$A$1:$I$89,5,0)</f>
        <v>161.45999999999998</v>
      </c>
      <c r="AK33" s="13">
        <f t="shared" si="35"/>
        <v>41.171648186302534</v>
      </c>
      <c r="AL33" s="20">
        <f t="shared" si="4"/>
        <v>352.9167872578102</v>
      </c>
      <c r="AM33" s="59">
        <f t="shared" si="5"/>
        <v>592.02421219085215</v>
      </c>
      <c r="AN33" s="59">
        <f ca="1">AVERAGE(OFFSET($AM$3,0,0,'Données projet'!$E$10+1,1))-AVERAGE(OFFSET($H$3,0,0,'Données projet'!$E$10+1,1))</f>
        <v>332.74717458063787</v>
      </c>
      <c r="AO33" s="59">
        <f t="shared" si="36"/>
        <v>408.69087885751878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7.8493468978400935</v>
      </c>
      <c r="AV33" s="21">
        <f>EXP(-LN(2)/25)*AV32+(1-EXP(-LN(2)/25))/(LN(2)/25)*Calculateur!AQ33*Calculateur!AS33*VLOOKUP('Données projet'!$B$10,Paramètres!$A$1:$I$89,3,0)*0.475*44/12</f>
        <v>30.351986713267653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38.201333611107749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184</v>
      </c>
      <c r="BB33" s="12">
        <f>VLOOKUP(A33,'Données projet'!$A$87:$I$107,9,0)</f>
        <v>13</v>
      </c>
      <c r="BC33" s="12">
        <f t="array" ref="BC33">INDEX(BB:BB,MIN(IF(ISNUMBER(BB33:BB229),ROW(BB33:BB229),"")))</f>
        <v>13</v>
      </c>
      <c r="BD33" s="12">
        <f>IF('Données projet'!$A$88&gt;35,BD32+BC33-BL32,IF(A33&lt;'Données projet'!$A$88,$BA$205^A33,IF(A33='Données projet'!$A$88,'Données projet'!$B$88,BD32+BC33-BL32)))</f>
        <v>184.00000000000003</v>
      </c>
      <c r="BE33" s="13">
        <f>BD33*VLOOKUP('Données projet'!$B$11,Paramètres!$A$1:$I$89,3,0)*VLOOKUP('Données projet'!$B$11,Paramètres!$A$1:$I$89,5,0)</f>
        <v>160.74240000000003</v>
      </c>
      <c r="BF33" s="13">
        <f t="shared" si="37"/>
        <v>41.009920657227809</v>
      </c>
      <c r="BG33" s="20">
        <f t="shared" si="7"/>
        <v>351.38529181133845</v>
      </c>
      <c r="BH33" s="59">
        <f t="shared" si="8"/>
        <v>590.49271674438046</v>
      </c>
      <c r="BI33" s="59">
        <f ca="1">AVERAGE(OFFSET($BH$3,0,0,'Données projet'!$E$11+1,1))-AVERAGE(OFFSET($H$3,0,0,'Données projet'!$E$11+1,1))</f>
        <v>341.62910675299065</v>
      </c>
      <c r="BJ33" s="59">
        <f t="shared" si="38"/>
        <v>407.15938341104709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44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460.60000000000014</v>
      </c>
      <c r="O34" s="13">
        <f>N34*VLOOKUP('Données projet'!$B$9,Paramètres!$A$1:$I$89,3,0)*VLOOKUP('Données projet'!$B$9,Paramètres!$A$1:$I$89,5,0)</f>
        <v>257.47540000000009</v>
      </c>
      <c r="P34" s="13">
        <f t="shared" si="33"/>
        <v>62.183930036702655</v>
      </c>
      <c r="Q34" s="20">
        <f t="shared" si="2"/>
        <v>556.73999981392387</v>
      </c>
      <c r="R34" s="59">
        <f t="shared" si="0"/>
        <v>796.78812302674146</v>
      </c>
      <c r="S34" s="59">
        <f ca="1">AVERAGE(OFFSET($R$3,0,0,'Données projet'!$E$9+1,1))-AVERAGE(OFFSET($H$3,0,0,'Données projet'!$E$9+1,1))</f>
        <v>507.66185230065889</v>
      </c>
      <c r="T34" s="59">
        <f t="shared" si="34"/>
        <v>640.14375617778342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13.095166768060576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13.095166768060576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42</v>
      </c>
      <c r="AI34" s="13">
        <f>IF('Données projet'!$A$62&gt;35,AI33+AH34-AQ33,IF(A34&lt;'Données projet'!$A$62,$AF$205^A34,IF(A34='Données projet'!$A$62,'Données projet'!$B$62,AI33+AH34-AQ33)))</f>
        <v>387</v>
      </c>
      <c r="AJ34" s="13">
        <f>AI34*VLOOKUP('Données projet'!$B$10,Paramètres!$A$1:$I$89,3,0)*VLOOKUP('Données projet'!$B$10,Paramètres!$A$1:$I$89,5,0)</f>
        <v>181.11599999999999</v>
      </c>
      <c r="AK34" s="13">
        <f t="shared" si="35"/>
        <v>45.570386218758216</v>
      </c>
      <c r="AL34" s="20">
        <f t="shared" si="4"/>
        <v>394.81212266433721</v>
      </c>
      <c r="AM34" s="59">
        <f t="shared" si="5"/>
        <v>634.86024587715474</v>
      </c>
      <c r="AN34" s="59">
        <f ca="1">AVERAGE(OFFSET($AM$3,0,0,'Données projet'!$E$10+1,1))-AVERAGE(OFFSET($H$3,0,0,'Données projet'!$E$10+1,1))</f>
        <v>332.74717458063787</v>
      </c>
      <c r="AO34" s="59">
        <f t="shared" si="36"/>
        <v>408.69087885751878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7.6954259928023179</v>
      </c>
      <c r="AV34" s="21">
        <f>EXP(-LN(2)/25)*AV33+(1-EXP(-LN(2)/25))/(LN(2)/25)*Calculateur!AQ34*Calculateur!AS34*VLOOKUP('Données projet'!$B$10,Paramètres!$A$1:$I$89,3,0)*0.475*44/12</f>
        <v>29.52201004045174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37.21743603325406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12.2</v>
      </c>
      <c r="BD34" s="12">
        <f>IF('Données projet'!$A$88&gt;35,BD33+BC34-BL33,IF(A34&lt;'Données projet'!$A$88,$BA$205^A34,IF(A34='Données projet'!$A$88,'Données projet'!$B$88,BD33+BC34-BL33)))</f>
        <v>152.20000000000002</v>
      </c>
      <c r="BE34" s="13">
        <f>BD34*VLOOKUP('Données projet'!$B$11,Paramètres!$A$1:$I$89,3,0)*VLOOKUP('Données projet'!$B$11,Paramètres!$A$1:$I$89,5,0)</f>
        <v>132.96192000000002</v>
      </c>
      <c r="BF34" s="13">
        <f t="shared" si="37"/>
        <v>34.679872132599144</v>
      </c>
      <c r="BG34" s="20">
        <f t="shared" si="7"/>
        <v>291.97612129761018</v>
      </c>
      <c r="BH34" s="59">
        <f t="shared" si="8"/>
        <v>532.02424451042771</v>
      </c>
      <c r="BI34" s="59">
        <f ca="1">AVERAGE(OFFSET($BH$3,0,0,'Données projet'!$E$11+1,1))-AVERAGE(OFFSET($H$3,0,0,'Données projet'!$E$11+1,1))</f>
        <v>341.62910675299065</v>
      </c>
      <c r="BJ34" s="59">
        <f t="shared" si="38"/>
        <v>407.15938341104709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485.20000000000016</v>
      </c>
      <c r="O35" s="13">
        <f>N35*VLOOKUP('Données projet'!$B$9,Paramètres!$A$1:$I$89,3,0)*VLOOKUP('Données projet'!$B$9,Paramètres!$A$1:$I$89,5,0)</f>
        <v>271.22680000000008</v>
      </c>
      <c r="P35" s="13">
        <f t="shared" si="33"/>
        <v>65.109558476355161</v>
      </c>
      <c r="Q35" s="20">
        <f t="shared" ref="Q35:Q66" si="53">(O35+P35)*0.475*44/12</f>
        <v>585.78582434631869</v>
      </c>
      <c r="R35" s="59">
        <f t="shared" si="0"/>
        <v>826.75832682684404</v>
      </c>
      <c r="S35" s="59">
        <f ca="1">AVERAGE(OFFSET($R$3,0,0,'Données projet'!$E$9+1,1))-AVERAGE(OFFSET($H$3,0,0,'Données projet'!$E$9+1,1))</f>
        <v>507.66185230065889</v>
      </c>
      <c r="T35" s="59">
        <f t="shared" si="34"/>
        <v>640.14375617778342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12.737078744143069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12.737078744143069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429</v>
      </c>
      <c r="AG35" s="12">
        <f>VLOOKUP(A35,'Données projet'!$A$61:$I$81,9,0)</f>
        <v>42</v>
      </c>
      <c r="AH35" s="12">
        <f t="array" ref="AH35">INDEX(AG:AG,MIN(IF(ISNUMBER(AG35:AG231),ROW(AG35:AG231),"")))</f>
        <v>42</v>
      </c>
      <c r="AI35" s="13">
        <f>IF('Données projet'!$A$62&gt;35,AI34+AH35-AQ34,IF(A35&lt;'Données projet'!$A$62,$AF$205^A35,IF(A35='Données projet'!$A$62,'Données projet'!$B$62,AI34+AH35-AQ34)))</f>
        <v>429</v>
      </c>
      <c r="AJ35" s="13">
        <f>AI35*VLOOKUP('Données projet'!$B$10,Paramètres!$A$1:$I$89,3,0)*VLOOKUP('Données projet'!$B$10,Paramètres!$A$1:$I$89,5,0)</f>
        <v>200.77199999999999</v>
      </c>
      <c r="AK35" s="13">
        <f t="shared" si="35"/>
        <v>49.913791898945412</v>
      </c>
      <c r="AL35" s="20">
        <f t="shared" si="4"/>
        <v>436.61108755732994</v>
      </c>
      <c r="AM35" s="59">
        <f t="shared" si="5"/>
        <v>677.58359003785529</v>
      </c>
      <c r="AN35" s="59">
        <f ca="1">AVERAGE(OFFSET($AM$3,0,0,'Données projet'!$E$10+1,1))-AVERAGE(OFFSET($H$3,0,0,'Données projet'!$E$10+1,1))</f>
        <v>332.74717458063787</v>
      </c>
      <c r="AO35" s="59">
        <f t="shared" si="36"/>
        <v>408.69087885751878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72</v>
      </c>
      <c r="AR35" s="16">
        <f>IF(ISNA(VLOOKUP(A35,'Données projet'!$A$61:$I$81,5,0)),0%,VLOOKUP(A35,'Données projet'!$A$61:$I$81,5,0)*VLOOKUP('Données projet'!$B$10,Paramètres!$A$1:$I$89,7,0))</f>
        <v>0.11000000000000001</v>
      </c>
      <c r="AS35" s="16">
        <f>IF(ISNA(VLOOKUP(A35,'Données projet'!$A$61:$I$81,6,0)),0%,VLOOKUP(A35,'Données projet'!$A$61:$I$81,6,0)*VLOOKUP('Données projet'!$B$10,Paramètres!$A$1:$I$89,7,0))</f>
        <v>0.44000000000000006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12.461514130783833</v>
      </c>
      <c r="AV35" s="21">
        <f>EXP(-LN(2)/25)*AV34+(1-EXP(-LN(2)/25))/(LN(2)/25)*Calculateur!AQ35*Calculateur!AS35*VLOOKUP('Données projet'!$B$10,Paramètres!$A$1:$I$89,3,0)*0.475*44/12</f>
        <v>48.305251850836278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60.766765981620111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12.2</v>
      </c>
      <c r="BD35" s="12">
        <f>IF('Données projet'!$A$88&gt;35,BD34+BC35-BL34,IF(A35&lt;'Données projet'!$A$88,$BA$205^A35,IF(A35='Données projet'!$A$88,'Données projet'!$B$88,BD34+BC35-BL34)))</f>
        <v>164.4</v>
      </c>
      <c r="BE35" s="13">
        <f>BD35*VLOOKUP('Données projet'!$B$11,Paramètres!$A$1:$I$89,3,0)*VLOOKUP('Données projet'!$B$11,Paramètres!$A$1:$I$89,5,0)</f>
        <v>143.61984000000001</v>
      </c>
      <c r="BF35" s="13">
        <f t="shared" si="37"/>
        <v>37.125023974706046</v>
      </c>
      <c r="BG35" s="20">
        <f t="shared" si="7"/>
        <v>314.79730475594641</v>
      </c>
      <c r="BH35" s="59">
        <f t="shared" si="8"/>
        <v>555.76980723647171</v>
      </c>
      <c r="BI35" s="59">
        <f ca="1">AVERAGE(OFFSET($BH$3,0,0,'Données projet'!$E$11+1,1))-AVERAGE(OFFSET($H$3,0,0,'Données projet'!$E$11+1,1))</f>
        <v>341.62910675299065</v>
      </c>
      <c r="BJ35" s="59">
        <f t="shared" si="38"/>
        <v>407.15938341104709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509.80000000000018</v>
      </c>
      <c r="O36" s="13">
        <f>N36*VLOOKUP('Données projet'!$B$9,Paramètres!$A$1:$I$89,3,0)*VLOOKUP('Données projet'!$B$9,Paramètres!$A$1:$I$89,5,0)</f>
        <v>284.97820000000013</v>
      </c>
      <c r="P36" s="13">
        <f t="shared" si="33"/>
        <v>68.017964183169582</v>
      </c>
      <c r="Q36" s="20">
        <f t="shared" si="53"/>
        <v>614.8016526190205</v>
      </c>
      <c r="R36" s="59">
        <f t="shared" si="0"/>
        <v>856.68249845356127</v>
      </c>
      <c r="S36" s="59">
        <f ca="1">AVERAGE(OFFSET($R$3,0,0,'Données projet'!$E$9+1,1))-AVERAGE(OFFSET($H$3,0,0,'Données projet'!$E$9+1,1))</f>
        <v>507.66185230065889</v>
      </c>
      <c r="T36" s="59">
        <f t="shared" si="34"/>
        <v>640.14375617778342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12.388782656070617</v>
      </c>
      <c r="AB36" s="21">
        <f>EXP(-LN(2)/2)*AB35+(1-EXP(-LN(2)/2))/(LN(2)/2)*V36*Y36*VLOOKUP('Données projet'!$B$9,Paramètres!$A$1:$I$89,3,0)*0.475*44/12</f>
        <v>0</v>
      </c>
      <c r="AC36" s="22">
        <f t="shared" si="3"/>
        <v>12.388782656070617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40.5</v>
      </c>
      <c r="AI36" s="13">
        <f>IF('Données projet'!$A$62&gt;35,AI35+AH36-AQ35,IF(A36&lt;'Données projet'!$A$62,$AF$205^A36,IF(A36='Données projet'!$A$62,'Données projet'!$B$62,AI35+AH36-AQ35)))</f>
        <v>397.5</v>
      </c>
      <c r="AJ36" s="13">
        <f>AI36*VLOOKUP('Données projet'!$B$10,Paramètres!$A$1:$I$89,3,0)*VLOOKUP('Données projet'!$B$10,Paramètres!$A$1:$I$89,5,0)</f>
        <v>186.03</v>
      </c>
      <c r="AK36" s="13">
        <f t="shared" si="35"/>
        <v>46.661166464968041</v>
      </c>
      <c r="AL36" s="20">
        <f t="shared" si="4"/>
        <v>405.27044825981937</v>
      </c>
      <c r="AM36" s="59">
        <f t="shared" si="5"/>
        <v>647.15129409436008</v>
      </c>
      <c r="AN36" s="59">
        <f ca="1">AVERAGE(OFFSET($AM$3,0,0,'Données projet'!$E$10+1,1))-AVERAGE(OFFSET($H$3,0,0,'Données projet'!$E$10+1,1))</f>
        <v>332.74717458063787</v>
      </c>
      <c r="AO36" s="59">
        <f t="shared" si="36"/>
        <v>408.69087885751878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12.217151439452268</v>
      </c>
      <c r="AV36" s="21">
        <f>EXP(-LN(2)/25)*AV35+(1-EXP(-LN(2)/25))/(LN(2)/25)*Calculateur!AQ36*Calculateur!AS36*VLOOKUP('Données projet'!$B$10,Paramètres!$A$1:$I$89,3,0)*0.475*44/12</f>
        <v>46.984342198712369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59.201493638164635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12.2</v>
      </c>
      <c r="BD36" s="12">
        <f>IF('Données projet'!$A$88&gt;35,BD35+BC36-BL35,IF(A36&lt;'Données projet'!$A$88,$BA$205^A36,IF(A36='Données projet'!$A$88,'Données projet'!$B$88,BD35+BC36-BL35)))</f>
        <v>176.6</v>
      </c>
      <c r="BE36" s="13">
        <f>BD36*VLOOKUP('Données projet'!$B$11,Paramètres!$A$1:$I$89,3,0)*VLOOKUP('Données projet'!$B$11,Paramètres!$A$1:$I$89,5,0)</f>
        <v>154.27776</v>
      </c>
      <c r="BF36" s="13">
        <f t="shared" si="37"/>
        <v>39.549125277353333</v>
      </c>
      <c r="BG36" s="20">
        <f t="shared" si="7"/>
        <v>337.58182519139035</v>
      </c>
      <c r="BH36" s="59">
        <f t="shared" si="8"/>
        <v>579.46267102593106</v>
      </c>
      <c r="BI36" s="59">
        <f ca="1">AVERAGE(OFFSET($BH$3,0,0,'Données projet'!$E$11+1,1))-AVERAGE(OFFSET($H$3,0,0,'Données projet'!$E$11+1,1))</f>
        <v>341.62910675299065</v>
      </c>
      <c r="BJ36" s="59">
        <f t="shared" si="38"/>
        <v>407.15938341104709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534.4000000000002</v>
      </c>
      <c r="O37" s="13">
        <f>N37*VLOOKUP('Données projet'!$B$9,Paramètres!$A$1:$I$89,3,0)*VLOOKUP('Données projet'!$B$9,Paramètres!$A$1:$I$89,5,0)</f>
        <v>298.72960000000012</v>
      </c>
      <c r="P37" s="13">
        <f t="shared" si="33"/>
        <v>70.910073097686976</v>
      </c>
      <c r="Q37" s="20">
        <f t="shared" si="53"/>
        <v>643.78909731180499</v>
      </c>
      <c r="R37" s="59">
        <f t="shared" si="0"/>
        <v>886.56252877392058</v>
      </c>
      <c r="S37" s="59">
        <f ca="1">AVERAGE(OFFSET($R$3,0,0,'Données projet'!$E$9+1,1))-AVERAGE(OFFSET($H$3,0,0,'Données projet'!$E$9+1,1))</f>
        <v>507.66185230065889</v>
      </c>
      <c r="T37" s="59">
        <f t="shared" si="34"/>
        <v>640.14375617778342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12.050010742842602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12.050010742842602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40.5</v>
      </c>
      <c r="AI37" s="13">
        <f>IF('Données projet'!$A$62&gt;35,AI36+AH37-AQ36,IF(A37&lt;'Données projet'!$A$62,$AF$205^A37,IF(A37='Données projet'!$A$62,'Données projet'!$B$62,AI36+AH37-AQ36)))</f>
        <v>438</v>
      </c>
      <c r="AJ37" s="13">
        <f>AI37*VLOOKUP('Données projet'!$B$10,Paramètres!$A$1:$I$89,3,0)*VLOOKUP('Données projet'!$B$10,Paramètres!$A$1:$I$89,5,0)</f>
        <v>204.98400000000001</v>
      </c>
      <c r="AK37" s="13">
        <f t="shared" si="35"/>
        <v>50.837926006791818</v>
      </c>
      <c r="AL37" s="20">
        <f t="shared" si="4"/>
        <v>445.55652112849572</v>
      </c>
      <c r="AM37" s="59">
        <f t="shared" si="5"/>
        <v>688.32995259061136</v>
      </c>
      <c r="AN37" s="59">
        <f ca="1">AVERAGE(OFFSET($AM$3,0,0,'Données projet'!$E$10+1,1))-AVERAGE(OFFSET($H$3,0,0,'Données projet'!$E$10+1,1))</f>
        <v>332.74717458063787</v>
      </c>
      <c r="AO37" s="59">
        <f t="shared" si="36"/>
        <v>408.69087885751878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11.97758055145119</v>
      </c>
      <c r="AV37" s="21">
        <f>EXP(-LN(2)/25)*AV36+(1-EXP(-LN(2)/25))/(LN(2)/25)*Calculateur!AQ37*Calculateur!AS37*VLOOKUP('Données projet'!$B$10,Paramètres!$A$1:$I$89,3,0)*0.475*44/12</f>
        <v>45.699552890489407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57.677133441940597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12.2</v>
      </c>
      <c r="BD37" s="12">
        <f>IF('Données projet'!$A$88&gt;35,BD36+BC37-BL36,IF(A37&lt;'Données projet'!$A$88,$BA$205^A37,IF(A37='Données projet'!$A$88,'Données projet'!$B$88,BD36+BC37-BL36)))</f>
        <v>188.79999999999998</v>
      </c>
      <c r="BE37" s="13">
        <f>BD37*VLOOKUP('Données projet'!$B$11,Paramètres!$A$1:$I$89,3,0)*VLOOKUP('Données projet'!$B$11,Paramètres!$A$1:$I$89,5,0)</f>
        <v>164.93567999999999</v>
      </c>
      <c r="BF37" s="13">
        <f t="shared" si="37"/>
        <v>41.953795695589498</v>
      </c>
      <c r="BG37" s="20">
        <f t="shared" si="7"/>
        <v>360.33250350315166</v>
      </c>
      <c r="BH37" s="59">
        <f t="shared" si="8"/>
        <v>603.10593496526724</v>
      </c>
      <c r="BI37" s="59">
        <f ca="1">AVERAGE(OFFSET($BH$3,0,0,'Données projet'!$E$11+1,1))-AVERAGE(OFFSET($H$3,0,0,'Données projet'!$E$11+1,1))</f>
        <v>341.62910675299065</v>
      </c>
      <c r="BJ37" s="59">
        <f t="shared" si="38"/>
        <v>407.15938341104709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559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559.00000000000023</v>
      </c>
      <c r="O38" s="13">
        <f>N38*VLOOKUP('Données projet'!$B$9,Paramètres!$A$1:$I$89,3,0)*VLOOKUP('Données projet'!$B$9,Paramètres!$A$1:$I$89,5,0)</f>
        <v>312.48100000000011</v>
      </c>
      <c r="P38" s="13">
        <f t="shared" si="33"/>
        <v>73.786721094721486</v>
      </c>
      <c r="Q38" s="20">
        <f t="shared" si="53"/>
        <v>672.74961423997343</v>
      </c>
      <c r="R38" s="59">
        <f t="shared" si="0"/>
        <v>916.40014696454796</v>
      </c>
      <c r="S38" s="59">
        <f ca="1">AVERAGE(OFFSET($R$3,0,0,'Données projet'!$E$9+1,1))-AVERAGE(OFFSET($H$3,0,0,'Données projet'!$E$9+1,1))</f>
        <v>507.66185230065889</v>
      </c>
      <c r="T38" s="59">
        <f t="shared" si="34"/>
        <v>640.14375617778342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0.27500000000000002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24.111016915817547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24.111016915817547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40.5</v>
      </c>
      <c r="AI38" s="13">
        <f>IF('Données projet'!$A$62&gt;35,AI37+AH38-AQ37,IF(A38&lt;'Données projet'!$A$62,$AF$205^A38,IF(A38='Données projet'!$A$62,'Données projet'!$B$62,AI37+AH38-AQ37)))</f>
        <v>478.5</v>
      </c>
      <c r="AJ38" s="13">
        <f>AI38*VLOOKUP('Données projet'!$B$10,Paramètres!$A$1:$I$89,3,0)*VLOOKUP('Données projet'!$B$10,Paramètres!$A$1:$I$89,5,0)</f>
        <v>223.93799999999999</v>
      </c>
      <c r="AK38" s="13">
        <f t="shared" si="35"/>
        <v>54.969904783066404</v>
      </c>
      <c r="AL38" s="20">
        <f t="shared" si="4"/>
        <v>485.76460083050716</v>
      </c>
      <c r="AM38" s="59">
        <f t="shared" si="5"/>
        <v>729.41513355508164</v>
      </c>
      <c r="AN38" s="59">
        <f ca="1">AVERAGE(OFFSET($AM$3,0,0,'Données projet'!$E$10+1,1))-AVERAGE(OFFSET($H$3,0,0,'Données projet'!$E$10+1,1))</f>
        <v>332.74717458063787</v>
      </c>
      <c r="AO38" s="59">
        <f t="shared" si="36"/>
        <v>408.69087885751878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11.74270750244</v>
      </c>
      <c r="AV38" s="21">
        <f>EXP(-LN(2)/25)*AV37+(1-EXP(-LN(2)/25))/(LN(2)/25)*Calculateur!AQ38*Calculateur!AS38*VLOOKUP('Données projet'!$B$10,Paramètres!$A$1:$I$89,3,0)*0.475*44/12</f>
        <v>44.449896213463937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56.192603715903935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</v>
      </c>
      <c r="BB38" s="12">
        <f>VLOOKUP(A38,'Données projet'!$A$87:$I$107,9,0)</f>
        <v>12.2</v>
      </c>
      <c r="BC38" s="12">
        <f t="array" ref="BC38">INDEX(BB:BB,MIN(IF(ISNUMBER(BB38:BB234),ROW(BB38:BB234),"")))</f>
        <v>12.2</v>
      </c>
      <c r="BD38" s="12">
        <f>IF('Données projet'!$A$88&gt;35,BD37+BC38-BL37,IF(A38&lt;'Données projet'!$A$88,$BA$205^A38,IF(A38='Données projet'!$A$88,'Données projet'!$B$88,BD37+BC38-BL37)))</f>
        <v>200.99999999999997</v>
      </c>
      <c r="BE38" s="13">
        <f>BD38*VLOOKUP('Données projet'!$B$11,Paramètres!$A$1:$I$89,3,0)*VLOOKUP('Données projet'!$B$11,Paramètres!$A$1:$I$89,5,0)</f>
        <v>175.59359999999998</v>
      </c>
      <c r="BF38" s="13">
        <f t="shared" si="37"/>
        <v>44.340433728638573</v>
      </c>
      <c r="BG38" s="20">
        <f t="shared" si="7"/>
        <v>383.05177541071208</v>
      </c>
      <c r="BH38" s="59">
        <f t="shared" si="8"/>
        <v>626.70230813528656</v>
      </c>
      <c r="BI38" s="59">
        <f ca="1">AVERAGE(OFFSET($BH$3,0,0,'Données projet'!$E$11+1,1))-AVERAGE(OFFSET($H$3,0,0,'Données projet'!$E$11+1,1))</f>
        <v>341.62910675299065</v>
      </c>
      <c r="BJ38" s="59">
        <f t="shared" si="38"/>
        <v>407.15938341104709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0.38700000000000001</v>
      </c>
      <c r="BO38" s="16">
        <f>IF(ISNA(VLOOKUP(A38,'Données projet'!$A$87:$I$107,7,0)),0%,VLOOKUP(A38,'Données projet'!$A$87:$I$107,7,0))</f>
        <v>0.1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15.635314919207223</v>
      </c>
      <c r="BR38" s="21">
        <f>EXP(-LN(2)/2)*BR37+(1-EXP(-LN(2)/2))/(LN(2)/2)*BL38*BO38*VLOOKUP('Données projet'!$B$11,Paramètres!$A$1:$I$89,3,0)*0.475*44/12</f>
        <v>3.4619134729169225</v>
      </c>
      <c r="BS38" s="22">
        <f t="shared" si="9"/>
        <v>19.097228392124144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520.00000000000023</v>
      </c>
      <c r="O39" s="13">
        <f>N39*VLOOKUP('Données projet'!$B$9,Paramètres!$A$1:$I$89,3,0)*VLOOKUP('Données projet'!$B$9,Paramètres!$A$1:$I$89,5,0)</f>
        <v>290.68000000000018</v>
      </c>
      <c r="P39" s="13">
        <f t="shared" si="33"/>
        <v>69.219059283896499</v>
      </c>
      <c r="Q39" s="20">
        <f t="shared" si="53"/>
        <v>626.82419491945336</v>
      </c>
      <c r="R39" s="59">
        <f t="shared" si="0"/>
        <v>871.33661316048779</v>
      </c>
      <c r="S39" s="59">
        <f ca="1">AVERAGE(OFFSET($R$3,0,0,'Données projet'!$E$9+1,1))-AVERAGE(OFFSET($H$3,0,0,'Données projet'!$E$9+1,1))</f>
        <v>507.66185230065889</v>
      </c>
      <c r="T39" s="59">
        <f t="shared" si="34"/>
        <v>640.14375617778342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23.451699890311243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23.451699890311243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519</v>
      </c>
      <c r="AG39" s="12">
        <f>VLOOKUP(A39,'Données projet'!$A$61:$I$81,9,0)</f>
        <v>40.5</v>
      </c>
      <c r="AH39" s="12">
        <f t="array" ref="AH39">INDEX(AG:AG,MIN(IF(ISNUMBER(AG39:AG235),ROW(AG39:AG235),"")))</f>
        <v>40.5</v>
      </c>
      <c r="AI39" s="13">
        <f>IF('Données projet'!$A$62&gt;35,AI38+AH39-AQ38,IF(A39&lt;'Données projet'!$A$62,$AF$205^A39,IF(A39='Données projet'!$A$62,'Données projet'!$B$62,AI38+AH39-AQ38)))</f>
        <v>519</v>
      </c>
      <c r="AJ39" s="13">
        <f>AI39*VLOOKUP('Données projet'!$B$10,Paramètres!$A$1:$I$89,3,0)*VLOOKUP('Données projet'!$B$10,Paramètres!$A$1:$I$89,5,0)</f>
        <v>242.89200000000002</v>
      </c>
      <c r="AK39" s="13">
        <f t="shared" si="35"/>
        <v>59.061323940051253</v>
      </c>
      <c r="AL39" s="20">
        <f t="shared" si="4"/>
        <v>525.90203919558928</v>
      </c>
      <c r="AM39" s="59">
        <f t="shared" si="5"/>
        <v>770.41445743662371</v>
      </c>
      <c r="AN39" s="59">
        <f ca="1">AVERAGE(OFFSET($AM$3,0,0,'Données projet'!$E$10+1,1))-AVERAGE(OFFSET($H$3,0,0,'Données projet'!$E$10+1,1))</f>
        <v>332.74717458063787</v>
      </c>
      <c r="AO39" s="59">
        <f t="shared" si="36"/>
        <v>408.69087885751878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59</v>
      </c>
      <c r="AR39" s="16">
        <f>IF(ISNA(VLOOKUP(A39,'Données projet'!$A$61:$I$81,5,0)),0%,VLOOKUP(A39,'Données projet'!$A$61:$I$81,5,0)*VLOOKUP('Données projet'!$B$10,Paramètres!$A$1:$I$89,7,0))</f>
        <v>0.44000000000000006</v>
      </c>
      <c r="AS39" s="16">
        <f>IF(ISNA(VLOOKUP(A39,'Données projet'!$A$61:$I$81,6,0)),0%,VLOOKUP(A39,'Données projet'!$A$61:$I$81,6,0)*VLOOKUP('Données projet'!$B$10,Paramètres!$A$1:$I$89,7,0))</f>
        <v>0.11000000000000001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27.629243177844003</v>
      </c>
      <c r="AV39" s="21">
        <f>EXP(-LN(2)/25)*AV38+(1-EXP(-LN(2)/25))/(LN(2)/25)*Calculateur!AQ39*Calculateur!AS39*VLOOKUP('Données projet'!$B$10,Paramètres!$A$1:$I$89,3,0)*0.475*44/12</f>
        <v>47.247747717178271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74.876990895022274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10.8</v>
      </c>
      <c r="BD39" s="12">
        <f>IF('Données projet'!$A$88&gt;35,BD38+BC39-BL38,IF(A39&lt;'Données projet'!$A$88,$BA$205^A39,IF(A39='Données projet'!$A$88,'Données projet'!$B$88,BD38+BC39-BL38)))</f>
        <v>169.79999999999998</v>
      </c>
      <c r="BE39" s="13">
        <f>BD39*VLOOKUP('Données projet'!$B$11,Paramètres!$A$1:$I$89,3,0)*VLOOKUP('Données projet'!$B$11,Paramètres!$A$1:$I$89,5,0)</f>
        <v>148.33727999999999</v>
      </c>
      <c r="BF39" s="13">
        <f t="shared" si="37"/>
        <v>38.200481752654802</v>
      </c>
      <c r="BG39" s="20">
        <f t="shared" si="7"/>
        <v>324.88660171920714</v>
      </c>
      <c r="BH39" s="59">
        <f t="shared" si="8"/>
        <v>569.3990199602415</v>
      </c>
      <c r="BI39" s="59">
        <f ca="1">AVERAGE(OFFSET($BH$3,0,0,'Données projet'!$E$11+1,1))-AVERAGE(OFFSET($H$3,0,0,'Données projet'!$E$11+1,1))</f>
        <v>341.62910675299065</v>
      </c>
      <c r="BJ39" s="59">
        <f t="shared" si="38"/>
        <v>407.15938341104709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15.207766410516026</v>
      </c>
      <c r="BR39" s="21">
        <f>EXP(-LN(2)/2)*BR38+(1-EXP(-LN(2)/2))/(LN(2)/2)*BL39*BO39*VLOOKUP('Données projet'!$B$11,Paramètres!$A$1:$I$89,3,0)*0.475*44/12</f>
        <v>2.4479424925806272</v>
      </c>
      <c r="BS39" s="22">
        <f t="shared" si="9"/>
        <v>17.655708903096652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542.00000000000023</v>
      </c>
      <c r="O40" s="13">
        <f>N40*VLOOKUP('Données projet'!$B$9,Paramètres!$A$1:$I$89,3,0)*VLOOKUP('Données projet'!$B$9,Paramètres!$A$1:$I$89,5,0)</f>
        <v>302.97800000000012</v>
      </c>
      <c r="P40" s="13">
        <f t="shared" si="33"/>
        <v>71.800407307414275</v>
      </c>
      <c r="Q40" s="20">
        <f t="shared" si="53"/>
        <v>652.73905939374674</v>
      </c>
      <c r="R40" s="59">
        <f t="shared" si="0"/>
        <v>898.09841136441787</v>
      </c>
      <c r="S40" s="59">
        <f ca="1">AVERAGE(OFFSET($R$3,0,0,'Données projet'!$E$9+1,1))-AVERAGE(OFFSET($H$3,0,0,'Données projet'!$E$9+1,1))</f>
        <v>507.66185230065889</v>
      </c>
      <c r="T40" s="59">
        <f t="shared" si="34"/>
        <v>640.14375617778342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22.810411923539384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22.810411923539384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36.75</v>
      </c>
      <c r="AI40" s="13">
        <f>IF('Données projet'!$A$62&gt;35,AI39+AH40-AQ39,IF(A40&lt;'Données projet'!$A$62,$AF$205^A40,IF(A40='Données projet'!$A$62,'Données projet'!$B$62,AI39+AH40-AQ39)))</f>
        <v>496.75</v>
      </c>
      <c r="AJ40" s="13">
        <f>AI40*VLOOKUP('Données projet'!$B$10,Paramètres!$A$1:$I$89,3,0)*VLOOKUP('Données projet'!$B$10,Paramètres!$A$1:$I$89,5,0)</f>
        <v>232.47899999999998</v>
      </c>
      <c r="AK40" s="13">
        <f t="shared" si="35"/>
        <v>56.818364390033999</v>
      </c>
      <c r="AL40" s="20">
        <f t="shared" si="4"/>
        <v>503.85957631264245</v>
      </c>
      <c r="AM40" s="59">
        <f t="shared" si="5"/>
        <v>749.21892828331352</v>
      </c>
      <c r="AN40" s="59">
        <f ca="1">AVERAGE(OFFSET($AM$3,0,0,'Données projet'!$E$10+1,1))-AVERAGE(OFFSET($H$3,0,0,'Données projet'!$E$10+1,1))</f>
        <v>332.74717458063787</v>
      </c>
      <c r="AO40" s="59">
        <f t="shared" si="36"/>
        <v>408.69087885751878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27.087450571300806</v>
      </c>
      <c r="AV40" s="21">
        <f>EXP(-LN(2)/25)*AV39+(1-EXP(-LN(2)/25))/(LN(2)/25)*Calculateur!AQ40*Calculateur!AS40*VLOOKUP('Données projet'!$B$10,Paramètres!$A$1:$I$89,3,0)*0.475*44/12</f>
        <v>45.955755571200967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73.043206142501774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10.8</v>
      </c>
      <c r="BD40" s="12">
        <f>IF('Données projet'!$A$88&gt;35,BD39+BC40-BL39,IF(A40&lt;'Données projet'!$A$88,$BA$205^A40,IF(A40='Données projet'!$A$88,'Données projet'!$B$88,BD39+BC40-BL39)))</f>
        <v>180.6</v>
      </c>
      <c r="BE40" s="13">
        <f>BD40*VLOOKUP('Données projet'!$B$11,Paramètres!$A$1:$I$89,3,0)*VLOOKUP('Données projet'!$B$11,Paramètres!$A$1:$I$89,5,0)</f>
        <v>157.77216000000001</v>
      </c>
      <c r="BF40" s="13">
        <f t="shared" si="37"/>
        <v>40.339610539653599</v>
      </c>
      <c r="BG40" s="20">
        <f t="shared" si="7"/>
        <v>345.04466702323003</v>
      </c>
      <c r="BH40" s="59">
        <f t="shared" si="8"/>
        <v>590.4040189939011</v>
      </c>
      <c r="BI40" s="59">
        <f ca="1">AVERAGE(OFFSET($BH$3,0,0,'Données projet'!$E$11+1,1))-AVERAGE(OFFSET($H$3,0,0,'Données projet'!$E$11+1,1))</f>
        <v>341.62910675299065</v>
      </c>
      <c r="BJ40" s="59">
        <f t="shared" si="38"/>
        <v>407.15938341104709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14.791909238278787</v>
      </c>
      <c r="BR40" s="21">
        <f>EXP(-LN(2)/2)*BR39+(1-EXP(-LN(2)/2))/(LN(2)/2)*BL40*BO40*VLOOKUP('Données projet'!$B$11,Paramètres!$A$1:$I$89,3,0)*0.475*44/12</f>
        <v>1.7309567364584615</v>
      </c>
      <c r="BS40" s="22">
        <f t="shared" si="9"/>
        <v>16.52286597473725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564.00000000000023</v>
      </c>
      <c r="O41" s="13">
        <f>N41*VLOOKUP('Données projet'!$B$9,Paramètres!$A$1:$I$89,3,0)*VLOOKUP('Données projet'!$B$9,Paramètres!$A$1:$I$89,5,0)</f>
        <v>315.27600000000012</v>
      </c>
      <c r="P41" s="13">
        <f t="shared" si="33"/>
        <v>74.36958441265493</v>
      </c>
      <c r="Q41" s="20">
        <f t="shared" si="53"/>
        <v>678.63272618537417</v>
      </c>
      <c r="R41" s="59">
        <f t="shared" si="0"/>
        <v>924.82431947893292</v>
      </c>
      <c r="S41" s="59">
        <f ca="1">AVERAGE(OFFSET($R$3,0,0,'Données projet'!$E$9+1,1))-AVERAGE(OFFSET($H$3,0,0,'Données projet'!$E$9+1,1))</f>
        <v>507.66185230065889</v>
      </c>
      <c r="T41" s="59">
        <f t="shared" si="34"/>
        <v>640.14375617778342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22.18666000994277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22.18666000994277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36.75</v>
      </c>
      <c r="AI41" s="13">
        <f>IF('Données projet'!$A$62&gt;35,AI40+AH41-AQ40,IF(A41&lt;'Données projet'!$A$62,$AF$205^A41,IF(A41='Données projet'!$A$62,'Données projet'!$B$62,AI40+AH41-AQ40)))</f>
        <v>533.5</v>
      </c>
      <c r="AJ41" s="13">
        <f>AI41*VLOOKUP('Données projet'!$B$10,Paramètres!$A$1:$I$89,3,0)*VLOOKUP('Données projet'!$B$10,Paramètres!$A$1:$I$89,5,0)</f>
        <v>249.678</v>
      </c>
      <c r="AK41" s="13">
        <f t="shared" si="35"/>
        <v>60.516984227464135</v>
      </c>
      <c r="AL41" s="20">
        <f t="shared" si="4"/>
        <v>540.25626419616674</v>
      </c>
      <c r="AM41" s="59">
        <f t="shared" si="5"/>
        <v>786.44785748972549</v>
      </c>
      <c r="AN41" s="59">
        <f ca="1">AVERAGE(OFFSET($AM$3,0,0,'Données projet'!$E$10+1,1))-AVERAGE(OFFSET($H$3,0,0,'Données projet'!$E$10+1,1))</f>
        <v>332.74717458063787</v>
      </c>
      <c r="AO41" s="59">
        <f t="shared" si="36"/>
        <v>408.69087885751878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26.556282187311062</v>
      </c>
      <c r="AV41" s="21">
        <f>EXP(-LN(2)/25)*AV40+(1-EXP(-LN(2)/25))/(LN(2)/25)*Calculateur!AQ41*Calculateur!AS41*VLOOKUP('Données projet'!$B$10,Paramètres!$A$1:$I$89,3,0)*0.475*44/12</f>
        <v>44.699093018398322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71.255375205709385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10.8</v>
      </c>
      <c r="BD41" s="12">
        <f>IF('Données projet'!$A$88&gt;35,BD40+BC41-BL40,IF(A41&lt;'Données projet'!$A$88,$BA$205^A41,IF(A41='Données projet'!$A$88,'Données projet'!$B$88,BD40+BC41-BL40)))</f>
        <v>191.4</v>
      </c>
      <c r="BE41" s="13">
        <f>BD41*VLOOKUP('Données projet'!$B$11,Paramètres!$A$1:$I$89,3,0)*VLOOKUP('Données projet'!$B$11,Paramètres!$A$1:$I$89,5,0)</f>
        <v>167.20704000000003</v>
      </c>
      <c r="BF41" s="13">
        <f t="shared" si="37"/>
        <v>42.463891647822834</v>
      </c>
      <c r="BG41" s="20">
        <f t="shared" si="7"/>
        <v>365.17687261995815</v>
      </c>
      <c r="BH41" s="59">
        <f t="shared" si="8"/>
        <v>611.36846591351684</v>
      </c>
      <c r="BI41" s="59">
        <f ca="1">AVERAGE(OFFSET($BH$3,0,0,'Données projet'!$E$11+1,1))-AVERAGE(OFFSET($H$3,0,0,'Données projet'!$E$11+1,1))</f>
        <v>341.62910675299065</v>
      </c>
      <c r="BJ41" s="59">
        <f t="shared" si="38"/>
        <v>407.15938341104709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14.387423702285355</v>
      </c>
      <c r="BR41" s="21">
        <f>EXP(-LN(2)/2)*BR40+(1-EXP(-LN(2)/2))/(LN(2)/2)*BL41*BO41*VLOOKUP('Données projet'!$B$11,Paramètres!$A$1:$I$89,3,0)*0.475*44/12</f>
        <v>1.2239712462903138</v>
      </c>
      <c r="BS41" s="22">
        <f t="shared" si="9"/>
        <v>15.611394948575668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586.00000000000023</v>
      </c>
      <c r="O42" s="13">
        <f>N42*VLOOKUP('Données projet'!$B$9,Paramètres!$A$1:$I$89,3,0)*VLOOKUP('Données projet'!$B$9,Paramètres!$A$1:$I$89,5,0)</f>
        <v>327.57400000000013</v>
      </c>
      <c r="P42" s="13">
        <f t="shared" si="33"/>
        <v>76.927119684760882</v>
      </c>
      <c r="Q42" s="20">
        <f t="shared" si="53"/>
        <v>704.5061167842922</v>
      </c>
      <c r="R42" s="59">
        <f t="shared" si="0"/>
        <v>951.51551387439929</v>
      </c>
      <c r="S42" s="59">
        <f ca="1">AVERAGE(OFFSET($R$3,0,0,'Données projet'!$E$9+1,1))-AVERAGE(OFFSET($H$3,0,0,'Données projet'!$E$9+1,1))</f>
        <v>507.66185230065889</v>
      </c>
      <c r="T42" s="59">
        <f t="shared" si="34"/>
        <v>640.14375617778342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21.579964625225145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21.579964625225145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36.75</v>
      </c>
      <c r="AI42" s="13">
        <f>IF('Données projet'!$A$62&gt;35,AI41+AH42-AQ41,IF(A42&lt;'Données projet'!$A$62,$AF$205^A42,IF(A42='Données projet'!$A$62,'Données projet'!$B$62,AI41+AH42-AQ41)))</f>
        <v>570.25</v>
      </c>
      <c r="AJ42" s="13">
        <f>AI42*VLOOKUP('Données projet'!$B$10,Paramètres!$A$1:$I$89,3,0)*VLOOKUP('Données projet'!$B$10,Paramètres!$A$1:$I$89,5,0)</f>
        <v>266.87700000000001</v>
      </c>
      <c r="AK42" s="13">
        <f t="shared" si="35"/>
        <v>64.186041766452092</v>
      </c>
      <c r="AL42" s="20">
        <f t="shared" si="4"/>
        <v>576.601464409904</v>
      </c>
      <c r="AM42" s="59">
        <f t="shared" si="5"/>
        <v>823.61086150001108</v>
      </c>
      <c r="AN42" s="59">
        <f ca="1">AVERAGE(OFFSET($AM$3,0,0,'Données projet'!$E$10+1,1))-AVERAGE(OFFSET($H$3,0,0,'Données projet'!$E$10+1,1))</f>
        <v>332.74717458063787</v>
      </c>
      <c r="AO42" s="59">
        <f t="shared" si="36"/>
        <v>408.69087885751878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26.035529691350632</v>
      </c>
      <c r="AV42" s="21">
        <f>EXP(-LN(2)/25)*AV41+(1-EXP(-LN(2)/25))/(LN(2)/25)*Calculateur!AQ42*Calculateur!AS42*VLOOKUP('Données projet'!$B$10,Paramètres!$A$1:$I$89,3,0)*0.475*44/12</f>
        <v>43.476793969187078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69.512323660537703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10.8</v>
      </c>
      <c r="BD42" s="12">
        <f>IF('Données projet'!$A$88&gt;35,BD41+BC42-BL41,IF(A42&lt;'Données projet'!$A$88,$BA$205^A42,IF(A42='Données projet'!$A$88,'Données projet'!$B$88,BD41+BC42-BL41)))</f>
        <v>202.20000000000002</v>
      </c>
      <c r="BE42" s="13">
        <f>BD42*VLOOKUP('Données projet'!$B$11,Paramètres!$A$1:$I$89,3,0)*VLOOKUP('Données projet'!$B$11,Paramètres!$A$1:$I$89,5,0)</f>
        <v>176.64192000000003</v>
      </c>
      <c r="BF42" s="13">
        <f t="shared" si="37"/>
        <v>44.574258350008236</v>
      </c>
      <c r="BG42" s="20">
        <f t="shared" si="7"/>
        <v>385.28484395959771</v>
      </c>
      <c r="BH42" s="59">
        <f t="shared" si="8"/>
        <v>632.29424104970485</v>
      </c>
      <c r="BI42" s="59">
        <f ca="1">AVERAGE(OFFSET($BH$3,0,0,'Données projet'!$E$11+1,1))-AVERAGE(OFFSET($H$3,0,0,'Données projet'!$E$11+1,1))</f>
        <v>341.62910675299065</v>
      </c>
      <c r="BJ42" s="59">
        <f t="shared" si="38"/>
        <v>407.15938341104709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13.993998844544633</v>
      </c>
      <c r="BR42" s="21">
        <f>EXP(-LN(2)/2)*BR41+(1-EXP(-LN(2)/2))/(LN(2)/2)*BL42*BO42*VLOOKUP('Données projet'!$B$11,Paramètres!$A$1:$I$89,3,0)*0.475*44/12</f>
        <v>0.86547836822923085</v>
      </c>
      <c r="BS42" s="22">
        <f t="shared" si="9"/>
        <v>14.859477212773864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608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608.00000000000023</v>
      </c>
      <c r="O43" s="13">
        <f>N43*VLOOKUP('Données projet'!$B$9,Paramètres!$A$1:$I$89,3,0)*VLOOKUP('Données projet'!$B$9,Paramètres!$A$1:$I$89,5,0)</f>
        <v>339.87200000000018</v>
      </c>
      <c r="P43" s="13">
        <f t="shared" si="33"/>
        <v>79.473500231862857</v>
      </c>
      <c r="Q43" s="20">
        <f t="shared" si="53"/>
        <v>730.3600795704948</v>
      </c>
      <c r="R43" s="59">
        <f t="shared" si="0"/>
        <v>978.17309338961559</v>
      </c>
      <c r="S43" s="59">
        <f ca="1">AVERAGE(OFFSET($R$3,0,0,'Données projet'!$E$9+1,1))-AVERAGE(OFFSET($H$3,0,0,'Données projet'!$E$9+1,1))</f>
        <v>507.66185230065889</v>
      </c>
      <c r="T43" s="59">
        <f t="shared" si="34"/>
        <v>640.14375617778342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65</v>
      </c>
      <c r="W43" s="16">
        <f>IF(ISNA(VLOOKUP(A43,'Données projet'!$A$35:$I$55,5,0)),0%,VLOOKUP(A43,'Données projet'!$A$35:$I$55,5,0)*VLOOKUP('Données projet'!$B$9,Paramètres!$A$1:$I$89,7,0))</f>
        <v>0.27500000000000002</v>
      </c>
      <c r="X43" s="16">
        <f>IF(ISNA(VLOOKUP(A43,'Données projet'!$A$35:$I$55,6,0)),0%,VLOOKUP(A43,'Données projet'!$A$35:$I$55,6,0)*VLOOKUP('Données projet'!$B$9,Paramètres!$A$1:$I$89,7,0))</f>
        <v>0.22000000000000003</v>
      </c>
      <c r="Y43" s="16">
        <f>IF(ISNA(VLOOKUP(A43,'Données projet'!$A$35:$I$55,7,0)),0%,VLOOKUP(A43,'Données projet'!$A$35:$I$55,7,0))</f>
        <v>0.1</v>
      </c>
      <c r="Z43" s="21">
        <f>EXP(-LN(2)/35)*Z42+(1-EXP(-LN(2)/35))/(LN(2)/35)*V43*W43*VLOOKUP('Données projet'!$B$9,Paramètres!$A$1:$I$89,3,0)*0.475*44/12</f>
        <v>13.255197859308817</v>
      </c>
      <c r="AA43" s="21">
        <f>EXP(-LN(2)/25)*AA42+(1-EXP(-LN(2)/25))/(LN(2)/25)*Calculateur!V43*Calculateur!X43*VLOOKUP('Données projet'!$B$9,Paramètres!$A$1:$I$89,3,0)*0.475*44/12</f>
        <v>31.552265033475642</v>
      </c>
      <c r="AB43" s="21">
        <f>EXP(-LN(2)/2)*AB42+(1-EXP(-LN(2)/2))/(LN(2)/2)*V43*Y43*VLOOKUP('Données projet'!$B$9,Paramètres!$A$1:$I$89,3,0)*0.475*44/12</f>
        <v>4.1139660530624136</v>
      </c>
      <c r="AC43" s="22">
        <f t="shared" si="3"/>
        <v>48.92142894584687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607</v>
      </c>
      <c r="AG43" s="12">
        <f>VLOOKUP(A43,'Données projet'!$A$61:$I$81,9,0)</f>
        <v>36.75</v>
      </c>
      <c r="AH43" s="12">
        <f t="array" ref="AH43">INDEX(AG:AG,MIN(IF(ISNUMBER(AG43:AG239),ROW(AG43:AG239),"")))</f>
        <v>36.75</v>
      </c>
      <c r="AI43" s="13">
        <f>IF('Données projet'!$A$62&gt;35,AI42+AH43-AQ42,IF(A43&lt;'Données projet'!$A$62,$AF$205^A43,IF(A43='Données projet'!$A$62,'Données projet'!$B$62,AI42+AH43-AQ42)))</f>
        <v>607</v>
      </c>
      <c r="AJ43" s="13">
        <f>AI43*VLOOKUP('Données projet'!$B$10,Paramètres!$A$1:$I$89,3,0)*VLOOKUP('Données projet'!$B$10,Paramètres!$A$1:$I$89,5,0)</f>
        <v>284.07599999999996</v>
      </c>
      <c r="AK43" s="13">
        <f t="shared" si="35"/>
        <v>67.827658995553833</v>
      </c>
      <c r="AL43" s="20">
        <f t="shared" si="4"/>
        <v>612.89887275058948</v>
      </c>
      <c r="AM43" s="59">
        <f t="shared" si="5"/>
        <v>860.71188656971026</v>
      </c>
      <c r="AN43" s="59">
        <f ca="1">AVERAGE(OFFSET($AM$3,0,0,'Données projet'!$E$10+1,1))-AVERAGE(OFFSET($H$3,0,0,'Données projet'!$E$10+1,1))</f>
        <v>332.74717458063787</v>
      </c>
      <c r="AO43" s="59">
        <f t="shared" si="36"/>
        <v>408.69087885751878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55</v>
      </c>
      <c r="AR43" s="16">
        <f>IF(ISNA(VLOOKUP(A43,'Données projet'!$A$61:$I$81,5,0)),0%,VLOOKUP(A43,'Données projet'!$A$61:$I$81,5,0)*VLOOKUP('Données projet'!$B$10,Paramètres!$A$1:$I$89,7,0))</f>
        <v>0.44000000000000006</v>
      </c>
      <c r="AS43" s="16">
        <f>IF(ISNA(VLOOKUP(A43,'Données projet'!$A$61:$I$81,6,0)),0%,VLOOKUP(A43,'Données projet'!$A$61:$I$81,6,0)*VLOOKUP('Données projet'!$B$10,Paramètres!$A$1:$I$89,7,0))</f>
        <v>0.11000000000000001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40.549127230734385</v>
      </c>
      <c r="AV43" s="21">
        <f>EXP(-LN(2)/25)*AV42+(1-EXP(-LN(2)/25))/(LN(2)/25)*Calculateur!AQ43*Calculateur!AS43*VLOOKUP('Données projet'!$B$10,Paramètres!$A$1:$I$89,3,0)*0.475*44/12</f>
        <v>46.029164411507786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86.578291642242164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213</v>
      </c>
      <c r="BB43" s="12">
        <f>VLOOKUP(A43,'Données projet'!$A$87:$I$107,9,0)</f>
        <v>10.8</v>
      </c>
      <c r="BC43" s="12">
        <f t="array" ref="BC43">INDEX(BB:BB,MIN(IF(ISNUMBER(BB43:BB239),ROW(BB43:BB239),"")))</f>
        <v>10.8</v>
      </c>
      <c r="BD43" s="12">
        <f>IF('Données projet'!$A$88&gt;35,BD42+BC43-BL42,IF(A43&lt;'Données projet'!$A$88,$BA$205^A43,IF(A43='Données projet'!$A$88,'Données projet'!$B$88,BD42+BC43-BL42)))</f>
        <v>213.00000000000003</v>
      </c>
      <c r="BE43" s="13">
        <f>BD43*VLOOKUP('Données projet'!$B$11,Paramètres!$A$1:$I$89,3,0)*VLOOKUP('Données projet'!$B$11,Paramètres!$A$1:$I$89,5,0)</f>
        <v>186.07680000000005</v>
      </c>
      <c r="BF43" s="13">
        <f t="shared" si="37"/>
        <v>46.671538591528673</v>
      </c>
      <c r="BG43" s="20">
        <f t="shared" si="7"/>
        <v>405.37002304691242</v>
      </c>
      <c r="BH43" s="59">
        <f t="shared" si="8"/>
        <v>653.18303686603326</v>
      </c>
      <c r="BI43" s="59">
        <f ca="1">AVERAGE(OFFSET($BH$3,0,0,'Données projet'!$E$11+1,1))-AVERAGE(OFFSET($H$3,0,0,'Données projet'!$E$11+1,1))</f>
        <v>341.62910675299065</v>
      </c>
      <c r="BJ43" s="59">
        <f t="shared" si="38"/>
        <v>407.15938341104709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0.38700000000000001</v>
      </c>
      <c r="BO43" s="16">
        <f>IF(ISNA(VLOOKUP(A43,'Données projet'!$A$87:$I$107,7,0)),0%,VLOOKUP(A43,'Données projet'!$A$87:$I$107,7,0))</f>
        <v>0.1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28.129838920920566</v>
      </c>
      <c r="BR43" s="21">
        <f>EXP(-LN(2)/2)*BR42+(1-EXP(-LN(2)/2))/(LN(2)/2)*BL43*BO43*VLOOKUP('Données projet'!$B$11,Paramètres!$A$1:$I$89,3,0)*0.475*44/12</f>
        <v>3.8266195622822994</v>
      </c>
      <c r="BS43" s="22">
        <f t="shared" si="9"/>
        <v>31.956458483202866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19.600000000000001</v>
      </c>
      <c r="N44" s="13">
        <f>IF('Données projet'!$A$36&gt;35,N43+M44-V43,IF(A44&lt;'Données projet'!$A$36,$K$205^A44,IF(A44='Données projet'!$A$36,'Données projet'!$B$36,N43+M44-V43)))</f>
        <v>562.60000000000025</v>
      </c>
      <c r="O44" s="13">
        <f>N44*VLOOKUP('Données projet'!$B$9,Paramètres!$A$1:$I$89,3,0)*VLOOKUP('Données projet'!$B$9,Paramètres!$A$1:$I$89,5,0)</f>
        <v>314.49340000000012</v>
      </c>
      <c r="P44" s="13">
        <f t="shared" si="33"/>
        <v>74.206443537137488</v>
      </c>
      <c r="Q44" s="20">
        <f t="shared" si="53"/>
        <v>676.9855608271813</v>
      </c>
      <c r="R44" s="59">
        <f t="shared" si="0"/>
        <v>925.5882504216853</v>
      </c>
      <c r="S44" s="59">
        <f ca="1">AVERAGE(OFFSET($R$3,0,0,'Données projet'!$E$9+1,1))-AVERAGE(OFFSET($H$3,0,0,'Données projet'!$E$9+1,1))</f>
        <v>507.66185230065889</v>
      </c>
      <c r="T44" s="59">
        <f t="shared" si="34"/>
        <v>640.14375617778342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12.99527151416015</v>
      </c>
      <c r="AA44" s="21">
        <f>EXP(-LN(2)/25)*AA43+(1-EXP(-LN(2)/25))/(LN(2)/25)*Calculateur!V44*Calculateur!X44*VLOOKUP('Données projet'!$B$9,Paramètres!$A$1:$I$89,3,0)*0.475*44/12</f>
        <v>30.689466686873747</v>
      </c>
      <c r="AB44" s="21">
        <f>EXP(-LN(2)/2)*AB43+(1-EXP(-LN(2)/2))/(LN(2)/2)*V44*Y44*VLOOKUP('Données projet'!$B$9,Paramètres!$A$1:$I$89,3,0)*0.475*44/12</f>
        <v>2.909013293691689</v>
      </c>
      <c r="AC44" s="22">
        <f t="shared" si="3"/>
        <v>46.593751494725581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31.8</v>
      </c>
      <c r="AI44" s="13">
        <f>IF('Données projet'!$A$62&gt;35,AI43+AH44-AQ43,IF(A44&lt;'Données projet'!$A$62,$AF$205^A44,IF(A44='Données projet'!$A$62,'Données projet'!$B$62,AI43+AH44-AQ43)))</f>
        <v>583.79999999999995</v>
      </c>
      <c r="AJ44" s="13">
        <f>AI44*VLOOKUP('Données projet'!$B$10,Paramètres!$A$1:$I$89,3,0)*VLOOKUP('Données projet'!$B$10,Paramètres!$A$1:$I$89,5,0)</f>
        <v>273.21839999999997</v>
      </c>
      <c r="AK44" s="13">
        <f t="shared" si="35"/>
        <v>65.531823238554821</v>
      </c>
      <c r="AL44" s="20">
        <f t="shared" si="4"/>
        <v>589.98997214048279</v>
      </c>
      <c r="AM44" s="59">
        <f t="shared" si="5"/>
        <v>838.59266173498679</v>
      </c>
      <c r="AN44" s="59">
        <f ca="1">AVERAGE(OFFSET($AM$3,0,0,'Données projet'!$E$10+1,1))-AVERAGE(OFFSET($H$3,0,0,'Données projet'!$E$10+1,1))</f>
        <v>332.74717458063787</v>
      </c>
      <c r="AO44" s="59">
        <f t="shared" si="36"/>
        <v>408.69087885751878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39.753983578265164</v>
      </c>
      <c r="AV44" s="21">
        <f>EXP(-LN(2)/25)*AV43+(1-EXP(-LN(2)/25))/(LN(2)/25)*Calculateur!AQ44*Calculateur!AS44*VLOOKUP('Données projet'!$B$10,Paramètres!$A$1:$I$89,3,0)*0.475*44/12</f>
        <v>44.77049449010655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84.524478068371707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183.80000000000004</v>
      </c>
      <c r="BE44" s="13">
        <f>BD44*VLOOKUP('Données projet'!$B$11,Paramètres!$A$1:$I$89,3,0)*VLOOKUP('Données projet'!$B$11,Paramètres!$A$1:$I$89,5,0)</f>
        <v>160.56768000000005</v>
      </c>
      <c r="BF44" s="13">
        <f t="shared" si="37"/>
        <v>40.970530810309882</v>
      </c>
      <c r="BG44" s="20">
        <f t="shared" si="7"/>
        <v>351.0123838279564</v>
      </c>
      <c r="BH44" s="59">
        <f t="shared" si="8"/>
        <v>599.61507342246034</v>
      </c>
      <c r="BI44" s="59">
        <f ca="1">AVERAGE(OFFSET($BH$3,0,0,'Données projet'!$E$11+1,1))-AVERAGE(OFFSET($H$3,0,0,'Données projet'!$E$11+1,1))</f>
        <v>341.62910675299065</v>
      </c>
      <c r="BJ44" s="59">
        <f t="shared" si="38"/>
        <v>407.15938341104709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27.360626996344056</v>
      </c>
      <c r="BR44" s="21">
        <f>EXP(-LN(2)/2)*BR43+(1-EXP(-LN(2)/2))/(LN(2)/2)*BL44*BO44*VLOOKUP('Données projet'!$B$11,Paramètres!$A$1:$I$89,3,0)*0.475*44/12</f>
        <v>2.7058286415109123</v>
      </c>
      <c r="BS44" s="22">
        <f t="shared" si="9"/>
        <v>30.066455637854968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19.600000000000001</v>
      </c>
      <c r="N45" s="13">
        <f>IF('Données projet'!$A$36&gt;35,N44+M45-V44,IF(A45&lt;'Données projet'!$A$36,$K$205^A45,IF(A45='Données projet'!$A$36,'Données projet'!$B$36,N44+M45-V44)))</f>
        <v>582.20000000000027</v>
      </c>
      <c r="O45" s="13">
        <f>N45*VLOOKUP('Données projet'!$B$9,Paramètres!$A$1:$I$89,3,0)*VLOOKUP('Données projet'!$B$9,Paramètres!$A$1:$I$89,5,0)</f>
        <v>325.44980000000015</v>
      </c>
      <c r="P45" s="13">
        <f t="shared" si="33"/>
        <v>76.486173660840848</v>
      </c>
      <c r="Q45" s="20">
        <f t="shared" si="53"/>
        <v>700.03848745929793</v>
      </c>
      <c r="R45" s="59">
        <f t="shared" si="0"/>
        <v>949.41715371993268</v>
      </c>
      <c r="S45" s="59">
        <f ca="1">AVERAGE(OFFSET($R$3,0,0,'Données projet'!$E$9+1,1))-AVERAGE(OFFSET($H$3,0,0,'Données projet'!$E$9+1,1))</f>
        <v>507.66185230065889</v>
      </c>
      <c r="T45" s="59">
        <f t="shared" si="34"/>
        <v>640.14375617778342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12.740442166100433</v>
      </c>
      <c r="AA45" s="21">
        <f>EXP(-LN(2)/25)*AA44+(1-EXP(-LN(2)/25))/(LN(2)/25)*Calculateur!V45*Calculateur!X45*VLOOKUP('Données projet'!$B$9,Paramètres!$A$1:$I$89,3,0)*0.475*44/12</f>
        <v>29.850261606432273</v>
      </c>
      <c r="AB45" s="21">
        <f>EXP(-LN(2)/2)*AB44+(1-EXP(-LN(2)/2))/(LN(2)/2)*V45*Y45*VLOOKUP('Données projet'!$B$9,Paramètres!$A$1:$I$89,3,0)*0.475*44/12</f>
        <v>2.0569830265312072</v>
      </c>
      <c r="AC45" s="22">
        <f t="shared" si="3"/>
        <v>44.647686799063912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31.8</v>
      </c>
      <c r="AI45" s="13">
        <f>IF('Données projet'!$A$62&gt;35,AI44+AH45-AQ44,IF(A45&lt;'Données projet'!$A$62,$AF$205^A45,IF(A45='Données projet'!$A$62,'Données projet'!$B$62,AI44+AH45-AQ44)))</f>
        <v>615.59999999999991</v>
      </c>
      <c r="AJ45" s="13">
        <f>AI45*VLOOKUP('Données projet'!$B$10,Paramètres!$A$1:$I$89,3,0)*VLOOKUP('Données projet'!$B$10,Paramètres!$A$1:$I$89,5,0)</f>
        <v>288.10079999999994</v>
      </c>
      <c r="AK45" s="13">
        <f t="shared" si="35"/>
        <v>68.67608879299398</v>
      </c>
      <c r="AL45" s="20">
        <f t="shared" si="4"/>
        <v>621.38641464779766</v>
      </c>
      <c r="AM45" s="59">
        <f t="shared" si="5"/>
        <v>870.76508090843242</v>
      </c>
      <c r="AN45" s="59">
        <f ca="1">AVERAGE(OFFSET($AM$3,0,0,'Données projet'!$E$10+1,1))-AVERAGE(OFFSET($H$3,0,0,'Données projet'!$E$10+1,1))</f>
        <v>332.74717458063787</v>
      </c>
      <c r="AO45" s="59">
        <f t="shared" si="36"/>
        <v>408.69087885751878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38.974432207831121</v>
      </c>
      <c r="AV45" s="21">
        <f>EXP(-LN(2)/25)*AV44+(1-EXP(-LN(2)/25))/(LN(2)/25)*Calculateur!AQ45*Calculateur!AS45*VLOOKUP('Données projet'!$B$10,Paramètres!$A$1:$I$89,3,0)*0.475*44/12</f>
        <v>43.546242963896603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82.520675171727731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193.60000000000005</v>
      </c>
      <c r="BE45" s="13">
        <f>BD45*VLOOKUP('Données projet'!$B$11,Paramètres!$A$1:$I$89,3,0)*VLOOKUP('Données projet'!$B$11,Paramètres!$A$1:$I$89,5,0)</f>
        <v>169.12896000000006</v>
      </c>
      <c r="BF45" s="13">
        <f t="shared" si="37"/>
        <v>42.894881315146776</v>
      </c>
      <c r="BG45" s="20">
        <f t="shared" si="7"/>
        <v>369.27485695721407</v>
      </c>
      <c r="BH45" s="59">
        <f t="shared" si="8"/>
        <v>618.65352321784883</v>
      </c>
      <c r="BI45" s="59">
        <f ca="1">AVERAGE(OFFSET($BH$3,0,0,'Données projet'!$E$11+1,1))-AVERAGE(OFFSET($H$3,0,0,'Données projet'!$E$11+1,1))</f>
        <v>341.62910675299065</v>
      </c>
      <c r="BJ45" s="59">
        <f t="shared" si="38"/>
        <v>407.15938341104709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26.612449212296188</v>
      </c>
      <c r="BR45" s="21">
        <f>EXP(-LN(2)/2)*BR44+(1-EXP(-LN(2)/2))/(LN(2)/2)*BL45*BO45*VLOOKUP('Données projet'!$B$11,Paramètres!$A$1:$I$89,3,0)*0.475*44/12</f>
        <v>1.9133097811411499</v>
      </c>
      <c r="BS45" s="22">
        <f t="shared" si="9"/>
        <v>28.525758993437336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19.600000000000001</v>
      </c>
      <c r="N46" s="13">
        <f>IF('Données projet'!$A$36&gt;35,N45+M46-V45,IF(A46&lt;'Données projet'!$A$36,$K$205^A46,IF(A46='Données projet'!$A$36,'Données projet'!$B$36,N45+M46-V45)))</f>
        <v>601.8000000000003</v>
      </c>
      <c r="O46" s="13">
        <f>N46*VLOOKUP('Données projet'!$B$9,Paramètres!$A$1:$I$89,3,0)*VLOOKUP('Données projet'!$B$9,Paramètres!$A$1:$I$89,5,0)</f>
        <v>336.40620000000018</v>
      </c>
      <c r="P46" s="13">
        <f t="shared" si="33"/>
        <v>78.756986013586456</v>
      </c>
      <c r="Q46" s="20">
        <f t="shared" si="53"/>
        <v>723.07588230699673</v>
      </c>
      <c r="R46" s="59">
        <f t="shared" si="0"/>
        <v>973.21706377342878</v>
      </c>
      <c r="S46" s="59">
        <f ca="1">AVERAGE(OFFSET($R$3,0,0,'Données projet'!$E$9+1,1))-AVERAGE(OFFSET($H$3,0,0,'Données projet'!$E$9+1,1))</f>
        <v>507.66185230065889</v>
      </c>
      <c r="T46" s="59">
        <f t="shared" si="34"/>
        <v>640.14375617778342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12.490609866125611</v>
      </c>
      <c r="AA46" s="21">
        <f>EXP(-LN(2)/25)*AA45+(1-EXP(-LN(2)/25))/(LN(2)/25)*Calculateur!V46*Calculateur!X46*VLOOKUP('Données projet'!$B$9,Paramètres!$A$1:$I$89,3,0)*0.475*44/12</f>
        <v>29.034004633047349</v>
      </c>
      <c r="AB46" s="21">
        <f>EXP(-LN(2)/2)*AB45+(1-EXP(-LN(2)/2))/(LN(2)/2)*V46*Y46*VLOOKUP('Données projet'!$B$9,Paramètres!$A$1:$I$89,3,0)*0.475*44/12</f>
        <v>1.4545066468458447</v>
      </c>
      <c r="AC46" s="22">
        <f t="shared" si="3"/>
        <v>42.979121146018805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31.8</v>
      </c>
      <c r="AI46" s="13">
        <f>IF('Données projet'!$A$62&gt;35,AI45+AH46-AQ45,IF(A46&lt;'Données projet'!$A$62,$AF$205^A46,IF(A46='Données projet'!$A$62,'Données projet'!$B$62,AI45+AH46-AQ45)))</f>
        <v>647.39999999999986</v>
      </c>
      <c r="AJ46" s="13">
        <f>AI46*VLOOKUP('Données projet'!$B$10,Paramètres!$A$1:$I$89,3,0)*VLOOKUP('Données projet'!$B$10,Paramètres!$A$1:$I$89,5,0)</f>
        <v>302.98319999999995</v>
      </c>
      <c r="AK46" s="13">
        <f t="shared" si="35"/>
        <v>71.801496173397709</v>
      </c>
      <c r="AL46" s="20">
        <f t="shared" si="4"/>
        <v>652.75001250200091</v>
      </c>
      <c r="AM46" s="59">
        <f t="shared" si="5"/>
        <v>902.89119396843296</v>
      </c>
      <c r="AN46" s="59">
        <f ca="1">AVERAGE(OFFSET($AM$3,0,0,'Données projet'!$E$10+1,1))-AVERAGE(OFFSET($H$3,0,0,'Données projet'!$E$10+1,1))</f>
        <v>332.74717458063787</v>
      </c>
      <c r="AO46" s="59">
        <f t="shared" si="36"/>
        <v>408.69087885751878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38.210167364291905</v>
      </c>
      <c r="AV46" s="21">
        <f>EXP(-LN(2)/25)*AV45+(1-EXP(-LN(2)/25))/(LN(2)/25)*Calculateur!AQ46*Calculateur!AS46*VLOOKUP('Données projet'!$B$10,Paramètres!$A$1:$I$89,3,0)*0.475*44/12</f>
        <v>42.355468660051457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80.565636024343362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203.40000000000006</v>
      </c>
      <c r="BE46" s="13">
        <f>BD46*VLOOKUP('Données projet'!$B$11,Paramètres!$A$1:$I$89,3,0)*VLOOKUP('Données projet'!$B$11,Paramètres!$A$1:$I$89,5,0)</f>
        <v>177.69024000000007</v>
      </c>
      <c r="BF46" s="13">
        <f t="shared" si="37"/>
        <v>44.807921499827692</v>
      </c>
      <c r="BG46" s="20">
        <f t="shared" si="7"/>
        <v>387.5176312788667</v>
      </c>
      <c r="BH46" s="59">
        <f t="shared" si="8"/>
        <v>637.65881274529875</v>
      </c>
      <c r="BI46" s="59">
        <f ca="1">AVERAGE(OFFSET($BH$3,0,0,'Données projet'!$E$11+1,1))-AVERAGE(OFFSET($H$3,0,0,'Données projet'!$E$11+1,1))</f>
        <v>341.62910675299065</v>
      </c>
      <c r="BJ46" s="59">
        <f t="shared" si="38"/>
        <v>407.15938341104709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25.884730389098067</v>
      </c>
      <c r="BR46" s="21">
        <f>EXP(-LN(2)/2)*BR45+(1-EXP(-LN(2)/2))/(LN(2)/2)*BL46*BO46*VLOOKUP('Données projet'!$B$11,Paramètres!$A$1:$I$89,3,0)*0.475*44/12</f>
        <v>1.3529143207554564</v>
      </c>
      <c r="BS46" s="22">
        <f t="shared" si="9"/>
        <v>27.237644709853523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19.600000000000001</v>
      </c>
      <c r="N47" s="13">
        <f>IF('Données projet'!$A$36&gt;35,N46+M47-V46,IF(A47&lt;'Données projet'!$A$36,$K$205^A47,IF(A47='Données projet'!$A$36,'Données projet'!$B$36,N46+M47-V46)))</f>
        <v>621.40000000000032</v>
      </c>
      <c r="O47" s="13">
        <f>N47*VLOOKUP('Données projet'!$B$9,Paramètres!$A$1:$I$89,3,0)*VLOOKUP('Données projet'!$B$9,Paramètres!$A$1:$I$89,5,0)</f>
        <v>347.36260000000016</v>
      </c>
      <c r="P47" s="13">
        <f t="shared" si="33"/>
        <v>81.019204347775585</v>
      </c>
      <c r="Q47" s="20">
        <f t="shared" si="53"/>
        <v>746.09830923904281</v>
      </c>
      <c r="R47" s="59">
        <f t="shared" si="0"/>
        <v>996.98877797718023</v>
      </c>
      <c r="S47" s="59">
        <f ca="1">AVERAGE(OFFSET($R$3,0,0,'Données projet'!$E$9+1,1))-AVERAGE(OFFSET($H$3,0,0,'Données projet'!$E$9+1,1))</f>
        <v>507.66185230065889</v>
      </c>
      <c r="T47" s="59">
        <f t="shared" si="34"/>
        <v>640.14375617778342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12.24567662517064</v>
      </c>
      <c r="AA47" s="21">
        <f>EXP(-LN(2)/25)*AA46+(1-EXP(-LN(2)/25))/(LN(2)/25)*Calculateur!V47*Calculateur!X47*VLOOKUP('Données projet'!$B$9,Paramètres!$A$1:$I$89,3,0)*0.475*44/12</f>
        <v>28.240068249524725</v>
      </c>
      <c r="AB47" s="21">
        <f>EXP(-LN(2)/2)*AB46+(1-EXP(-LN(2)/2))/(LN(2)/2)*V47*Y47*VLOOKUP('Données projet'!$B$9,Paramètres!$A$1:$I$89,3,0)*0.475*44/12</f>
        <v>1.0284915132656038</v>
      </c>
      <c r="AC47" s="22">
        <f t="shared" si="3"/>
        <v>41.51423638796097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31.8</v>
      </c>
      <c r="AI47" s="13">
        <f>IF('Données projet'!$A$62&gt;35,AI46+AH47-AQ46,IF(A47&lt;'Données projet'!$A$62,$AF$205^A47,IF(A47='Données projet'!$A$62,'Données projet'!$B$62,AI46+AH47-AQ46)))</f>
        <v>679.19999999999982</v>
      </c>
      <c r="AJ47" s="13">
        <f>AI47*VLOOKUP('Données projet'!$B$10,Paramètres!$A$1:$I$89,3,0)*VLOOKUP('Données projet'!$B$10,Paramètres!$A$1:$I$89,5,0)</f>
        <v>317.86559999999992</v>
      </c>
      <c r="AK47" s="13">
        <f t="shared" si="35"/>
        <v>74.909077405723679</v>
      </c>
      <c r="AL47" s="20">
        <f t="shared" si="4"/>
        <v>684.0825631483018</v>
      </c>
      <c r="AM47" s="59">
        <f t="shared" si="5"/>
        <v>934.97303188643923</v>
      </c>
      <c r="AN47" s="59">
        <f ca="1">AVERAGE(OFFSET($AM$3,0,0,'Données projet'!$E$10+1,1))-AVERAGE(OFFSET($H$3,0,0,'Données projet'!$E$10+1,1))</f>
        <v>332.74717458063787</v>
      </c>
      <c r="AO47" s="59">
        <f t="shared" si="36"/>
        <v>408.69087885751878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37.460889288178969</v>
      </c>
      <c r="AV47" s="21">
        <f>EXP(-LN(2)/25)*AV46+(1-EXP(-LN(2)/25))/(LN(2)/25)*Calculateur!AQ47*Calculateur!AS47*VLOOKUP('Données projet'!$B$10,Paramètres!$A$1:$I$89,3,0)*0.475*44/12</f>
        <v>41.19725614216506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78.658145430344035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213.20000000000007</v>
      </c>
      <c r="BE47" s="13">
        <f>BD47*VLOOKUP('Données projet'!$B$11,Paramètres!$A$1:$I$89,3,0)*VLOOKUP('Données projet'!$B$11,Paramètres!$A$1:$I$89,5,0)</f>
        <v>186.25152000000008</v>
      </c>
      <c r="BF47" s="13">
        <f t="shared" si="37"/>
        <v>46.71025851515671</v>
      </c>
      <c r="BG47" s="20">
        <f t="shared" si="7"/>
        <v>405.7417642472314</v>
      </c>
      <c r="BH47" s="59">
        <f t="shared" si="8"/>
        <v>656.63223298536877</v>
      </c>
      <c r="BI47" s="59">
        <f ca="1">AVERAGE(OFFSET($BH$3,0,0,'Données projet'!$E$11+1,1))-AVERAGE(OFFSET($H$3,0,0,'Données projet'!$E$11+1,1))</f>
        <v>341.62910675299065</v>
      </c>
      <c r="BJ47" s="59">
        <f t="shared" si="38"/>
        <v>407.15938341104709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25.17691107538937</v>
      </c>
      <c r="BR47" s="21">
        <f>EXP(-LN(2)/2)*BR46+(1-EXP(-LN(2)/2))/(LN(2)/2)*BL47*BO47*VLOOKUP('Données projet'!$B$11,Paramètres!$A$1:$I$89,3,0)*0.475*44/12</f>
        <v>0.95665489057057518</v>
      </c>
      <c r="BS47" s="22">
        <f t="shared" si="9"/>
        <v>26.133565965959946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641</v>
      </c>
      <c r="L48" s="12">
        <f>VLOOKUP(A48,'Données projet'!$A$35:$I$55,9,0)</f>
        <v>19.600000000000001</v>
      </c>
      <c r="M48" s="12">
        <f t="array" ref="M48">INDEX(L:L,MIN(IF(ISNUMBER(L48:L244),ROW(L48:L244),"")))</f>
        <v>19.600000000000001</v>
      </c>
      <c r="N48" s="13">
        <f>IF('Données projet'!$A$36&gt;35,N47+M48-V47,IF(A48&lt;'Données projet'!$A$36,$K$205^A48,IF(A48='Données projet'!$A$36,'Données projet'!$B$36,N47+M48-V47)))</f>
        <v>641.00000000000034</v>
      </c>
      <c r="O48" s="13">
        <f>N48*VLOOKUP('Données projet'!$B$9,Paramètres!$A$1:$I$89,3,0)*VLOOKUP('Données projet'!$B$9,Paramètres!$A$1:$I$89,5,0)</f>
        <v>358.31900000000024</v>
      </c>
      <c r="P48" s="13">
        <f t="shared" si="33"/>
        <v>83.27313083254208</v>
      </c>
      <c r="Q48" s="20">
        <f t="shared" si="53"/>
        <v>769.10629453334457</v>
      </c>
      <c r="R48" s="59">
        <f t="shared" si="0"/>
        <v>1020.7330520841787</v>
      </c>
      <c r="S48" s="59">
        <f ca="1">AVERAGE(OFFSET($R$3,0,0,'Données projet'!$E$9+1,1))-AVERAGE(OFFSET($H$3,0,0,'Données projet'!$E$9+1,1))</f>
        <v>507.66185230065889</v>
      </c>
      <c r="T48" s="59">
        <f t="shared" si="34"/>
        <v>640.14375617778342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69</v>
      </c>
      <c r="W48" s="16">
        <f>IF(ISNA(VLOOKUP(A48,'Données projet'!$A$35:$I$55,5,0)),0%,VLOOKUP(A48,'Données projet'!$A$35:$I$55,5,0)*VLOOKUP('Données projet'!$B$9,Paramètres!$A$1:$I$89,7,0))</f>
        <v>0.27500000000000002</v>
      </c>
      <c r="X48" s="16">
        <f>IF(ISNA(VLOOKUP(A48,'Données projet'!$A$35:$I$55,6,0)),0%,VLOOKUP(A48,'Données projet'!$A$35:$I$55,6,0)*VLOOKUP('Données projet'!$B$9,Paramètres!$A$1:$I$89,7,0))</f>
        <v>0.22000000000000003</v>
      </c>
      <c r="Y48" s="16">
        <f>IF(ISNA(VLOOKUP(A48,'Données projet'!$A$35:$I$55,7,0)),0%,VLOOKUP(A48,'Données projet'!$A$35:$I$55,7,0))</f>
        <v>0.1</v>
      </c>
      <c r="Z48" s="21">
        <f>EXP(-LN(2)/35)*Z47+(1-EXP(-LN(2)/35))/(LN(2)/35)*V48*W48*VLOOKUP('Données projet'!$B$9,Paramètres!$A$1:$I$89,3,0)*0.475*44/12</f>
        <v>26.076448718634861</v>
      </c>
      <c r="AA48" s="21">
        <f>EXP(-LN(2)/25)*AA47+(1-EXP(-LN(2)/25))/(LN(2)/25)*Calculateur!V48*Calculateur!X48*VLOOKUP('Données projet'!$B$9,Paramètres!$A$1:$I$89,3,0)*0.475*44/12</f>
        <v>38.68024196936102</v>
      </c>
      <c r="AB48" s="21">
        <f>EXP(-LN(2)/2)*AB47+(1-EXP(-LN(2)/2))/(LN(2)/2)*V48*Y48*VLOOKUP('Données projet'!$B$9,Paramètres!$A$1:$I$89,3,0)*0.475*44/12</f>
        <v>5.0943865182122536</v>
      </c>
      <c r="AC48" s="22">
        <f t="shared" si="3"/>
        <v>69.851077206208146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711</v>
      </c>
      <c r="AG48" s="12">
        <f>VLOOKUP(A48,'Données projet'!$A$61:$I$81,9,0)</f>
        <v>31.8</v>
      </c>
      <c r="AH48" s="12">
        <f t="array" ref="AH48">INDEX(AG:AG,MIN(IF(ISNUMBER(AG48:AG244),ROW(AG48:AG244),"")))</f>
        <v>31.8</v>
      </c>
      <c r="AI48" s="13">
        <f>IF('Données projet'!$A$62&gt;35,AI47+AH48-AQ47,IF(A48&lt;'Données projet'!$A$62,$AF$205^A48,IF(A48='Données projet'!$A$62,'Données projet'!$B$62,AI47+AH48-AQ47)))</f>
        <v>710.99999999999977</v>
      </c>
      <c r="AJ48" s="13">
        <f>AI48*VLOOKUP('Données projet'!$B$10,Paramètres!$A$1:$I$89,3,0)*VLOOKUP('Données projet'!$B$10,Paramètres!$A$1:$I$89,5,0)</f>
        <v>332.74799999999993</v>
      </c>
      <c r="AK48" s="13">
        <f t="shared" si="35"/>
        <v>77.999762416165765</v>
      </c>
      <c r="AL48" s="20">
        <f t="shared" si="4"/>
        <v>715.38568620815522</v>
      </c>
      <c r="AM48" s="59">
        <f t="shared" si="5"/>
        <v>967.01244375898932</v>
      </c>
      <c r="AN48" s="59">
        <f ca="1">AVERAGE(OFFSET($AM$3,0,0,'Données projet'!$E$10+1,1))-AVERAGE(OFFSET($H$3,0,0,'Données projet'!$E$10+1,1))</f>
        <v>332.74717458063787</v>
      </c>
      <c r="AO48" s="59">
        <f t="shared" si="36"/>
        <v>408.69087885751878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62</v>
      </c>
      <c r="AR48" s="16">
        <f>IF(ISNA(VLOOKUP(A48,'Données projet'!$A$61:$I$81,5,0)),0%,VLOOKUP(A48,'Données projet'!$A$61:$I$81,5,0)*VLOOKUP('Données projet'!$B$10,Paramètres!$A$1:$I$89,7,0))</f>
        <v>0.44000000000000006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53.662605563298932</v>
      </c>
      <c r="AV48" s="21">
        <f>EXP(-LN(2)/25)*AV47+(1-EXP(-LN(2)/25))/(LN(2)/25)*Calculateur!AQ48*Calculateur!AS48*VLOOKUP('Données projet'!$B$10,Paramètres!$A$1:$I$89,3,0)*0.475*44/12</f>
        <v>44.288119204755425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97.950724768054357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223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223.00000000000009</v>
      </c>
      <c r="BE48" s="13">
        <f>BD48*VLOOKUP('Données projet'!$B$11,Paramètres!$A$1:$I$89,3,0)*VLOOKUP('Données projet'!$B$11,Paramètres!$A$1:$I$89,5,0)</f>
        <v>194.81280000000012</v>
      </c>
      <c r="BF48" s="13">
        <f t="shared" si="37"/>
        <v>48.602440540253902</v>
      </c>
      <c r="BG48" s="20">
        <f t="shared" si="7"/>
        <v>423.9482106076091</v>
      </c>
      <c r="BH48" s="59">
        <f t="shared" si="8"/>
        <v>675.5749681584432</v>
      </c>
      <c r="BI48" s="59">
        <f ca="1">AVERAGE(OFFSET($BH$3,0,0,'Données projet'!$E$11+1,1))-AVERAGE(OFFSET($H$3,0,0,'Données projet'!$E$11+1,1))</f>
        <v>341.62910675299065</v>
      </c>
      <c r="BJ48" s="59">
        <f t="shared" si="38"/>
        <v>407.15938341104709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36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0.38700000000000001</v>
      </c>
      <c r="BO48" s="16">
        <f>IF(ISNA(VLOOKUP(A48,'Données projet'!$A$87:$I$107,7,0)),0%,VLOOKUP(A48,'Données projet'!$A$87:$I$107,7,0))</f>
        <v>0.1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37.890145620214255</v>
      </c>
      <c r="BR48" s="21">
        <f>EXP(-LN(2)/2)*BR47+(1-EXP(-LN(2)/2))/(LN(2)/2)*BL48*BO48*VLOOKUP('Données projet'!$B$11,Paramètres!$A$1:$I$89,3,0)*0.475*44/12</f>
        <v>3.6438115657350902</v>
      </c>
      <c r="BS48" s="22">
        <f t="shared" si="9"/>
        <v>41.533957185949347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18.2</v>
      </c>
      <c r="N49" s="13">
        <f>IF('Données projet'!$A$36&gt;35,N48+M49-V48,IF(A49&lt;'Données projet'!$A$36,$K$205^A49,IF(A49='Données projet'!$A$36,'Données projet'!$B$36,N48+M49-V48)))</f>
        <v>590.20000000000039</v>
      </c>
      <c r="O49" s="13">
        <f>N49*VLOOKUP('Données projet'!$B$9,Paramètres!$A$1:$I$89,3,0)*VLOOKUP('Données projet'!$B$9,Paramètres!$A$1:$I$89,5,0)</f>
        <v>329.92180000000025</v>
      </c>
      <c r="P49" s="13">
        <f t="shared" si="33"/>
        <v>77.414094093053677</v>
      </c>
      <c r="Q49" s="20">
        <f t="shared" si="53"/>
        <v>709.44334887873549</v>
      </c>
      <c r="R49" s="59">
        <f t="shared" si="0"/>
        <v>961.79362227746117</v>
      </c>
      <c r="S49" s="59">
        <f ca="1">AVERAGE(OFFSET($R$3,0,0,'Données projet'!$E$9+1,1))-AVERAGE(OFFSET($H$3,0,0,'Données projet'!$E$9+1,1))</f>
        <v>507.66185230065889</v>
      </c>
      <c r="T49" s="59">
        <f t="shared" si="34"/>
        <v>640.14375617778342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25.565105464325654</v>
      </c>
      <c r="AA49" s="21">
        <f>EXP(-LN(2)/25)*AA48+(1-EXP(-LN(2)/25))/(LN(2)/25)*Calculateur!V49*Calculateur!X49*VLOOKUP('Données projet'!$B$9,Paramètres!$A$1:$I$89,3,0)*0.475*44/12</f>
        <v>37.62252871860332</v>
      </c>
      <c r="AB49" s="21">
        <f>EXP(-LN(2)/2)*AB48+(1-EXP(-LN(2)/2))/(LN(2)/2)*V49*Y49*VLOOKUP('Données projet'!$B$9,Paramètres!$A$1:$I$89,3,0)*0.475*44/12</f>
        <v>3.6022752530132101</v>
      </c>
      <c r="AC49" s="22">
        <f t="shared" si="3"/>
        <v>66.789909435942178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26.4</v>
      </c>
      <c r="AI49" s="13">
        <f>IF('Données projet'!$A$62&gt;35,AI48+AH49-AQ48,IF(A49&lt;'Données projet'!$A$62,$AF$205^A49,IF(A49='Données projet'!$A$62,'Données projet'!$B$62,AI48+AH49-AQ48)))</f>
        <v>675.39999999999975</v>
      </c>
      <c r="AJ49" s="13">
        <f>AI49*VLOOKUP('Données projet'!$B$10,Paramètres!$A$1:$I$89,3,0)*VLOOKUP('Données projet'!$B$10,Paramètres!$A$1:$I$89,5,0)</f>
        <v>316.08719999999988</v>
      </c>
      <c r="AK49" s="13">
        <f t="shared" si="35"/>
        <v>74.538637503173462</v>
      </c>
      <c r="AL49" s="20">
        <f t="shared" si="4"/>
        <v>680.34000031802691</v>
      </c>
      <c r="AM49" s="59">
        <f t="shared" si="5"/>
        <v>932.69027371675259</v>
      </c>
      <c r="AN49" s="59">
        <f ca="1">AVERAGE(OFFSET($AM$3,0,0,'Données projet'!$E$10+1,1))-AVERAGE(OFFSET($H$3,0,0,'Données projet'!$E$10+1,1))</f>
        <v>332.74717458063787</v>
      </c>
      <c r="AO49" s="59">
        <f t="shared" si="36"/>
        <v>408.69087885751878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52.61031459916012</v>
      </c>
      <c r="AV49" s="21">
        <f>EXP(-LN(2)/25)*AV48+(1-EXP(-LN(2)/25))/(LN(2)/25)*Calculateur!AQ49*Calculateur!AS49*VLOOKUP('Données projet'!$B$10,Paramètres!$A$1:$I$89,3,0)*0.475*44/12</f>
        <v>43.077058256090417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95.687372855250544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8.8000000000000007</v>
      </c>
      <c r="BD49" s="12">
        <f>IF('Données projet'!$A$88&gt;35,BD48+BC49-BL48,IF(A49&lt;'Données projet'!$A$88,$BA$205^A49,IF(A49='Données projet'!$A$88,'Données projet'!$B$88,BD48+BC49-BL48)))</f>
        <v>195.8000000000001</v>
      </c>
      <c r="BE49" s="13">
        <f>BD49*VLOOKUP('Données projet'!$B$11,Paramètres!$A$1:$I$89,3,0)*VLOOKUP('Données projet'!$B$11,Paramètres!$A$1:$I$89,5,0)</f>
        <v>171.05088000000012</v>
      </c>
      <c r="BF49" s="13">
        <f t="shared" si="37"/>
        <v>43.325301264581704</v>
      </c>
      <c r="BG49" s="20">
        <f t="shared" si="7"/>
        <v>373.37184903581334</v>
      </c>
      <c r="BH49" s="59">
        <f t="shared" si="8"/>
        <v>625.72212243453896</v>
      </c>
      <c r="BI49" s="59">
        <f ca="1">AVERAGE(OFFSET($BH$3,0,0,'Données projet'!$E$11+1,1))-AVERAGE(OFFSET($H$3,0,0,'Données projet'!$E$11+1,1))</f>
        <v>341.62910675299065</v>
      </c>
      <c r="BJ49" s="59">
        <f t="shared" si="38"/>
        <v>407.15938341104709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36.85403759567334</v>
      </c>
      <c r="BR49" s="21">
        <f>EXP(-LN(2)/2)*BR48+(1-EXP(-LN(2)/2))/(LN(2)/2)*BL49*BO49*VLOOKUP('Données projet'!$B$11,Paramètres!$A$1:$I$89,3,0)*0.475*44/12</f>
        <v>2.5765638674972537</v>
      </c>
      <c r="BS49" s="22">
        <f t="shared" si="9"/>
        <v>39.430601463170596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18.2</v>
      </c>
      <c r="N50" s="13">
        <f>IF('Données projet'!$A$36&gt;35,N49+M50-V49,IF(A50&lt;'Données projet'!$A$36,$K$205^A50,IF(A50='Données projet'!$A$36,'Données projet'!$B$36,N49+M50-V49)))</f>
        <v>608.40000000000043</v>
      </c>
      <c r="O50" s="13">
        <f>N50*VLOOKUP('Données projet'!$B$9,Paramètres!$A$1:$I$89,3,0)*VLOOKUP('Données projet'!$B$9,Paramètres!$A$1:$I$89,5,0)</f>
        <v>340.09560000000027</v>
      </c>
      <c r="P50" s="13">
        <f t="shared" si="33"/>
        <v>79.519697663882255</v>
      </c>
      <c r="Q50" s="20">
        <f t="shared" si="53"/>
        <v>730.82997676459536</v>
      </c>
      <c r="R50" s="59">
        <f t="shared" si="0"/>
        <v>983.89121462879075</v>
      </c>
      <c r="S50" s="59">
        <f ca="1">AVERAGE(OFFSET($R$3,0,0,'Données projet'!$E$9+1,1))-AVERAGE(OFFSET($H$3,0,0,'Données projet'!$E$9+1,1))</f>
        <v>507.66185230065889</v>
      </c>
      <c r="T50" s="59">
        <f t="shared" si="34"/>
        <v>640.14375617778342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25.063789339344865</v>
      </c>
      <c r="AA50" s="21">
        <f>EXP(-LN(2)/25)*AA49+(1-EXP(-LN(2)/25))/(LN(2)/25)*Calculateur!V50*Calculateur!X50*VLOOKUP('Données projet'!$B$9,Paramètres!$A$1:$I$89,3,0)*0.475*44/12</f>
        <v>36.593738692310318</v>
      </c>
      <c r="AB50" s="21">
        <f>EXP(-LN(2)/2)*AB49+(1-EXP(-LN(2)/2))/(LN(2)/2)*V50*Y50*VLOOKUP('Données projet'!$B$9,Paramètres!$A$1:$I$89,3,0)*0.475*44/12</f>
        <v>2.5471932591061273</v>
      </c>
      <c r="AC50" s="22">
        <f t="shared" si="3"/>
        <v>64.204721290761313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26.4</v>
      </c>
      <c r="AI50" s="13">
        <f>IF('Données projet'!$A$62&gt;35,AI49+AH50-AQ49,IF(A50&lt;'Données projet'!$A$62,$AF$205^A50,IF(A50='Données projet'!$A$62,'Données projet'!$B$62,AI49+AH50-AQ49)))</f>
        <v>701.79999999999973</v>
      </c>
      <c r="AJ50" s="13">
        <f>AI50*VLOOKUP('Données projet'!$B$10,Paramètres!$A$1:$I$89,3,0)*VLOOKUP('Données projet'!$B$10,Paramètres!$A$1:$I$89,5,0)</f>
        <v>328.44239999999985</v>
      </c>
      <c r="AK50" s="13">
        <f t="shared" si="35"/>
        <v>77.107288085743335</v>
      </c>
      <c r="AL50" s="20">
        <f t="shared" si="4"/>
        <v>706.33237341600261</v>
      </c>
      <c r="AM50" s="59">
        <f t="shared" si="5"/>
        <v>959.393611280198</v>
      </c>
      <c r="AN50" s="59">
        <f ca="1">AVERAGE(OFFSET($AM$3,0,0,'Données projet'!$E$10+1,1))-AVERAGE(OFFSET($H$3,0,0,'Données projet'!$E$10+1,1))</f>
        <v>332.74717458063787</v>
      </c>
      <c r="AO50" s="59">
        <f t="shared" si="36"/>
        <v>408.69087885751878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51.57865841899396</v>
      </c>
      <c r="AV50" s="21">
        <f>EXP(-LN(2)/25)*AV49+(1-EXP(-LN(2)/25))/(LN(2)/25)*Calculateur!AQ50*Calculateur!AS50*VLOOKUP('Données projet'!$B$10,Paramètres!$A$1:$I$89,3,0)*0.475*44/12</f>
        <v>41.899113832753585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93.477772251747552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8.8000000000000007</v>
      </c>
      <c r="BD50" s="12">
        <f>IF('Données projet'!$A$88&gt;35,BD49+BC50-BL49,IF(A50&lt;'Données projet'!$A$88,$BA$205^A50,IF(A50='Données projet'!$A$88,'Données projet'!$B$88,BD49+BC50-BL49)))</f>
        <v>204.60000000000011</v>
      </c>
      <c r="BE50" s="13">
        <f>BD50*VLOOKUP('Données projet'!$B$11,Paramètres!$A$1:$I$89,3,0)*VLOOKUP('Données projet'!$B$11,Paramètres!$A$1:$I$89,5,0)</f>
        <v>178.73856000000012</v>
      </c>
      <c r="BF50" s="13">
        <f t="shared" si="37"/>
        <v>45.041424241265368</v>
      </c>
      <c r="BG50" s="20">
        <f t="shared" si="7"/>
        <v>389.75013922020406</v>
      </c>
      <c r="BH50" s="59">
        <f t="shared" si="8"/>
        <v>642.81137708439951</v>
      </c>
      <c r="BI50" s="59">
        <f ca="1">AVERAGE(OFFSET($BH$3,0,0,'Données projet'!$E$11+1,1))-AVERAGE(OFFSET($H$3,0,0,'Données projet'!$E$11+1,1))</f>
        <v>341.62910675299065</v>
      </c>
      <c r="BJ50" s="59">
        <f t="shared" si="38"/>
        <v>407.15938341104709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35.846261999550045</v>
      </c>
      <c r="BR50" s="21">
        <f>EXP(-LN(2)/2)*BR49+(1-EXP(-LN(2)/2))/(LN(2)/2)*BL50*BO50*VLOOKUP('Données projet'!$B$11,Paramètres!$A$1:$I$89,3,0)*0.475*44/12</f>
        <v>1.8219057828675453</v>
      </c>
      <c r="BS50" s="22">
        <f t="shared" si="9"/>
        <v>37.668167782417591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18.2</v>
      </c>
      <c r="N51" s="13">
        <f>IF('Données projet'!$A$36&gt;35,N50+M51-V50,IF(A51&lt;'Données projet'!$A$36,$K$205^A51,IF(A51='Données projet'!$A$36,'Données projet'!$B$36,N50+M51-V50)))</f>
        <v>626.60000000000048</v>
      </c>
      <c r="O51" s="13">
        <f>N51*VLOOKUP('Données projet'!$B$9,Paramètres!$A$1:$I$89,3,0)*VLOOKUP('Données projet'!$B$9,Paramètres!$A$1:$I$89,5,0)</f>
        <v>350.2694000000003</v>
      </c>
      <c r="P51" s="13">
        <f t="shared" si="33"/>
        <v>81.617981011612727</v>
      </c>
      <c r="Q51" s="20">
        <f t="shared" si="53"/>
        <v>752.20385526189273</v>
      </c>
      <c r="R51" s="59">
        <f t="shared" si="0"/>
        <v>1005.9637239475604</v>
      </c>
      <c r="S51" s="59">
        <f ca="1">AVERAGE(OFFSET($R$3,0,0,'Données projet'!$E$9+1,1))-AVERAGE(OFFSET($H$3,0,0,'Données projet'!$E$9+1,1))</f>
        <v>507.66185230065889</v>
      </c>
      <c r="T51" s="59">
        <f t="shared" si="34"/>
        <v>640.14375617778342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24.572303717802303</v>
      </c>
      <c r="AA51" s="21">
        <f>EXP(-LN(2)/25)*AA50+(1-EXP(-LN(2)/25))/(LN(2)/25)*Calculateur!V51*Calculateur!X51*VLOOKUP('Données projet'!$B$9,Paramètres!$A$1:$I$89,3,0)*0.475*44/12</f>
        <v>35.593080983388013</v>
      </c>
      <c r="AB51" s="21">
        <f>EXP(-LN(2)/2)*AB50+(1-EXP(-LN(2)/2))/(LN(2)/2)*V51*Y51*VLOOKUP('Données projet'!$B$9,Paramètres!$A$1:$I$89,3,0)*0.475*44/12</f>
        <v>1.8011376265066052</v>
      </c>
      <c r="AC51" s="22">
        <f t="shared" si="3"/>
        <v>61.966522327696921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26.4</v>
      </c>
      <c r="AI51" s="13">
        <f>IF('Données projet'!$A$62&gt;35,AI50+AH51-AQ50,IF(A51&lt;'Données projet'!$A$62,$AF$205^A51,IF(A51='Données projet'!$A$62,'Données projet'!$B$62,AI50+AH51-AQ50)))</f>
        <v>728.1999999999997</v>
      </c>
      <c r="AJ51" s="13">
        <f>AI51*VLOOKUP('Données projet'!$B$10,Paramètres!$A$1:$I$89,3,0)*VLOOKUP('Données projet'!$B$10,Paramètres!$A$1:$I$89,5,0)</f>
        <v>340.79759999999987</v>
      </c>
      <c r="AK51" s="13">
        <f t="shared" si="35"/>
        <v>79.664713152566151</v>
      </c>
      <c r="AL51" s="20">
        <f t="shared" si="4"/>
        <v>732.30519540738578</v>
      </c>
      <c r="AM51" s="59">
        <f t="shared" si="5"/>
        <v>986.06506409305348</v>
      </c>
      <c r="AN51" s="59">
        <f ca="1">AVERAGE(OFFSET($AM$3,0,0,'Données projet'!$E$10+1,1))-AVERAGE(OFFSET($H$3,0,0,'Données projet'!$E$10+1,1))</f>
        <v>332.74717458063787</v>
      </c>
      <c r="AO51" s="59">
        <f t="shared" si="36"/>
        <v>408.69087885751878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50.567232387272718</v>
      </c>
      <c r="AV51" s="21">
        <f>EXP(-LN(2)/25)*AV50+(1-EXP(-LN(2)/25))/(LN(2)/25)*Calculateur!AQ51*Calculateur!AS51*VLOOKUP('Données projet'!$B$10,Paramètres!$A$1:$I$89,3,0)*0.475*44/12</f>
        <v>40.753380361618305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91.320612748891023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8.8000000000000007</v>
      </c>
      <c r="BD51" s="12">
        <f>IF('Données projet'!$A$88&gt;35,BD50+BC51-BL50,IF(A51&lt;'Données projet'!$A$88,$BA$205^A51,IF(A51='Données projet'!$A$88,'Données projet'!$B$88,BD50+BC51-BL50)))</f>
        <v>213.40000000000012</v>
      </c>
      <c r="BE51" s="13">
        <f>BD51*VLOOKUP('Données projet'!$B$11,Paramètres!$A$1:$I$89,3,0)*VLOOKUP('Données projet'!$B$11,Paramètres!$A$1:$I$89,5,0)</f>
        <v>186.42624000000012</v>
      </c>
      <c r="BF51" s="13">
        <f t="shared" si="37"/>
        <v>46.748974211060826</v>
      </c>
      <c r="BG51" s="20">
        <f t="shared" si="7"/>
        <v>406.11349808426445</v>
      </c>
      <c r="BH51" s="59">
        <f t="shared" si="8"/>
        <v>659.87336676993209</v>
      </c>
      <c r="BI51" s="59">
        <f ca="1">AVERAGE(OFFSET($BH$3,0,0,'Données projet'!$E$11+1,1))-AVERAGE(OFFSET($H$3,0,0,'Données projet'!$E$11+1,1))</f>
        <v>341.62910675299065</v>
      </c>
      <c r="BJ51" s="59">
        <f t="shared" si="38"/>
        <v>407.15938341104709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34.866044080099357</v>
      </c>
      <c r="BR51" s="21">
        <f>EXP(-LN(2)/2)*BR50+(1-EXP(-LN(2)/2))/(LN(2)/2)*BL51*BO51*VLOOKUP('Données projet'!$B$11,Paramètres!$A$1:$I$89,3,0)*0.475*44/12</f>
        <v>1.2882819337486271</v>
      </c>
      <c r="BS51" s="22">
        <f t="shared" si="9"/>
        <v>36.154326013847985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18.2</v>
      </c>
      <c r="N52" s="13">
        <f>IF('Données projet'!$A$36&gt;35,N51+M52-V51,IF(A52&lt;'Données projet'!$A$36,$K$205^A52,IF(A52='Données projet'!$A$36,'Données projet'!$B$36,N51+M52-V51)))</f>
        <v>644.80000000000052</v>
      </c>
      <c r="O52" s="13">
        <f>N52*VLOOKUP('Données projet'!$B$9,Paramètres!$A$1:$I$89,3,0)*VLOOKUP('Données projet'!$B$9,Paramètres!$A$1:$I$89,5,0)</f>
        <v>360.44320000000033</v>
      </c>
      <c r="P52" s="13">
        <f t="shared" si="33"/>
        <v>83.709181172614507</v>
      </c>
      <c r="Q52" s="20">
        <f t="shared" si="53"/>
        <v>773.56539720897081</v>
      </c>
      <c r="R52" s="59">
        <f t="shared" si="0"/>
        <v>1028.0117770332627</v>
      </c>
      <c r="S52" s="59">
        <f ca="1">AVERAGE(OFFSET($R$3,0,0,'Données projet'!$E$9+1,1))-AVERAGE(OFFSET($H$3,0,0,'Données projet'!$E$9+1,1))</f>
        <v>507.66185230065889</v>
      </c>
      <c r="T52" s="59">
        <f t="shared" si="34"/>
        <v>640.14375617778342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24.090455829521563</v>
      </c>
      <c r="AA52" s="21">
        <f>EXP(-LN(2)/25)*AA51+(1-EXP(-LN(2)/25))/(LN(2)/25)*Calculateur!V52*Calculateur!X52*VLOOKUP('Données projet'!$B$9,Paramètres!$A$1:$I$89,3,0)*0.475*44/12</f>
        <v>34.619786312138487</v>
      </c>
      <c r="AB52" s="21">
        <f>EXP(-LN(2)/2)*AB51+(1-EXP(-LN(2)/2))/(LN(2)/2)*V52*Y52*VLOOKUP('Données projet'!$B$9,Paramètres!$A$1:$I$89,3,0)*0.475*44/12</f>
        <v>1.2735966295530639</v>
      </c>
      <c r="AC52" s="22">
        <f t="shared" si="3"/>
        <v>59.983838771213108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26.4</v>
      </c>
      <c r="AI52" s="13">
        <f>IF('Données projet'!$A$62&gt;35,AI51+AH52-AQ51,IF(A52&lt;'Données projet'!$A$62,$AF$205^A52,IF(A52='Données projet'!$A$62,'Données projet'!$B$62,AI51+AH52-AQ51)))</f>
        <v>754.59999999999968</v>
      </c>
      <c r="AJ52" s="13">
        <f>AI52*VLOOKUP('Données projet'!$B$10,Paramètres!$A$1:$I$89,3,0)*VLOOKUP('Données projet'!$B$10,Paramètres!$A$1:$I$89,5,0)</f>
        <v>353.1527999999999</v>
      </c>
      <c r="AK52" s="13">
        <f t="shared" si="35"/>
        <v>82.211366286790636</v>
      </c>
      <c r="AL52" s="20">
        <f t="shared" si="4"/>
        <v>758.25925628282687</v>
      </c>
      <c r="AM52" s="59">
        <f t="shared" si="5"/>
        <v>1012.7056361071188</v>
      </c>
      <c r="AN52" s="59">
        <f ca="1">AVERAGE(OFFSET($AM$3,0,0,'Données projet'!$E$10+1,1))-AVERAGE(OFFSET($H$3,0,0,'Données projet'!$E$10+1,1))</f>
        <v>332.74717458063787</v>
      </c>
      <c r="AO52" s="59">
        <f t="shared" si="36"/>
        <v>408.69087885751878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49.575639803124567</v>
      </c>
      <c r="AV52" s="21">
        <f>EXP(-LN(2)/25)*AV51+(1-EXP(-LN(2)/25))/(LN(2)/25)*Calculateur!AQ52*Calculateur!AS52*VLOOKUP('Données projet'!$B$10,Paramètres!$A$1:$I$89,3,0)*0.475*44/12</f>
        <v>39.638977032502723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89.214616835627282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8.8000000000000007</v>
      </c>
      <c r="BD52" s="12">
        <f>IF('Données projet'!$A$88&gt;35,BD51+BC52-BL51,IF(A52&lt;'Données projet'!$A$88,$BA$205^A52,IF(A52='Données projet'!$A$88,'Données projet'!$B$88,BD51+BC52-BL51)))</f>
        <v>222.20000000000013</v>
      </c>
      <c r="BE52" s="13">
        <f>BD52*VLOOKUP('Données projet'!$B$11,Paramètres!$A$1:$I$89,3,0)*VLOOKUP('Données projet'!$B$11,Paramètres!$A$1:$I$89,5,0)</f>
        <v>194.11392000000015</v>
      </c>
      <c r="BF52" s="13">
        <f t="shared" si="37"/>
        <v>48.448345132424009</v>
      </c>
      <c r="BG52" s="20">
        <f t="shared" si="7"/>
        <v>422.46261177230537</v>
      </c>
      <c r="BH52" s="59">
        <f t="shared" si="8"/>
        <v>676.90899159659739</v>
      </c>
      <c r="BI52" s="59">
        <f ca="1">AVERAGE(OFFSET($BH$3,0,0,'Données projet'!$E$11+1,1))-AVERAGE(OFFSET($H$3,0,0,'Données projet'!$E$11+1,1))</f>
        <v>341.62910675299065</v>
      </c>
      <c r="BJ52" s="59">
        <f t="shared" si="38"/>
        <v>407.15938341104709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33.912630271203469</v>
      </c>
      <c r="BR52" s="21">
        <f>EXP(-LN(2)/2)*BR51+(1-EXP(-LN(2)/2))/(LN(2)/2)*BL52*BO52*VLOOKUP('Données projet'!$B$11,Paramètres!$A$1:$I$89,3,0)*0.475*44/12</f>
        <v>0.91095289143377278</v>
      </c>
      <c r="BS52" s="22">
        <f t="shared" si="9"/>
        <v>34.823583162637242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663</v>
      </c>
      <c r="L53" s="12">
        <f>VLOOKUP(A53,'Données projet'!$A$35:$I$55,9,0)</f>
        <v>18.2</v>
      </c>
      <c r="M53" s="12">
        <f t="array" ref="M53">INDEX(L:L,MIN(IF(ISNUMBER(L53:L249),ROW(L53:L249),"")))</f>
        <v>18.2</v>
      </c>
      <c r="N53" s="13">
        <f>IF('Données projet'!$A$36&gt;35,N52+M53-V52,IF(A53&lt;'Données projet'!$A$36,$K$205^A53,IF(A53='Données projet'!$A$36,'Données projet'!$B$36,N52+M53-V52)))</f>
        <v>663.00000000000057</v>
      </c>
      <c r="O53" s="13">
        <f>N53*VLOOKUP('Données projet'!$B$9,Paramètres!$A$1:$I$89,3,0)*VLOOKUP('Données projet'!$B$9,Paramètres!$A$1:$I$89,5,0)</f>
        <v>370.61700000000036</v>
      </c>
      <c r="P53" s="13">
        <f t="shared" si="33"/>
        <v>85.793521040948534</v>
      </c>
      <c r="Q53" s="20">
        <f t="shared" si="53"/>
        <v>794.91499081298605</v>
      </c>
      <c r="R53" s="59">
        <f t="shared" si="0"/>
        <v>1050.0359723424563</v>
      </c>
      <c r="S53" s="59">
        <f ca="1">AVERAGE(OFFSET($R$3,0,0,'Données projet'!$E$9+1,1))-AVERAGE(OFFSET($H$3,0,0,'Données projet'!$E$9+1,1))</f>
        <v>507.66185230065889</v>
      </c>
      <c r="T53" s="59">
        <f t="shared" si="34"/>
        <v>640.14375617778342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73</v>
      </c>
      <c r="W53" s="16">
        <f>IF(ISNA(VLOOKUP(A53,'Données projet'!$A$35:$I$55,5,0)),0%,VLOOKUP(A53,'Données projet'!$A$35:$I$55,5,0)*VLOOKUP('Données projet'!$B$9,Paramètres!$A$1:$I$89,7,0))</f>
        <v>0.27500000000000002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38.504663511040178</v>
      </c>
      <c r="AA53" s="21">
        <f>EXP(-LN(2)/25)*AA52+(1-EXP(-LN(2)/25))/(LN(2)/25)*Calculateur!V53*Calculateur!X53*VLOOKUP('Données projet'!$B$9,Paramètres!$A$1:$I$89,3,0)*0.475*44/12</f>
        <v>33.673106434857623</v>
      </c>
      <c r="AB53" s="21">
        <f>EXP(-LN(2)/2)*AB52+(1-EXP(-LN(2)/2))/(LN(2)/2)*V53*Y53*VLOOKUP('Données projet'!$B$9,Paramètres!$A$1:$I$89,3,0)*0.475*44/12</f>
        <v>0.90056881325330285</v>
      </c>
      <c r="AC53" s="22">
        <f t="shared" si="3"/>
        <v>73.078338759151109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781</v>
      </c>
      <c r="AG53" s="12">
        <f>VLOOKUP(A53,'Données projet'!$A$61:$I$81,9,0)</f>
        <v>26.4</v>
      </c>
      <c r="AH53" s="12">
        <f t="array" ref="AH53">INDEX(AG:AG,MIN(IF(ISNUMBER(AG53:AG249),ROW(AG53:AG249),"")))</f>
        <v>26.4</v>
      </c>
      <c r="AI53" s="13">
        <f>IF('Données projet'!$A$62&gt;35,AI52+AH53-AQ52,IF(A53&lt;'Données projet'!$A$62,$AF$205^A53,IF(A53='Données projet'!$A$62,'Données projet'!$B$62,AI52+AH53-AQ52)))</f>
        <v>780.99999999999966</v>
      </c>
      <c r="AJ53" s="13">
        <f>AI53*VLOOKUP('Données projet'!$B$10,Paramètres!$A$1:$I$89,3,0)*VLOOKUP('Données projet'!$B$10,Paramètres!$A$1:$I$89,5,0)</f>
        <v>365.50799999999981</v>
      </c>
      <c r="AK53" s="13">
        <f t="shared" si="35"/>
        <v>84.747667534292106</v>
      </c>
      <c r="AL53" s="20">
        <f t="shared" si="4"/>
        <v>784.19528762222501</v>
      </c>
      <c r="AM53" s="59">
        <f t="shared" si="5"/>
        <v>1039.316269151695</v>
      </c>
      <c r="AN53" s="59">
        <f ca="1">AVERAGE(OFFSET($AM$3,0,0,'Données projet'!$E$10+1,1))-AVERAGE(OFFSET($H$3,0,0,'Données projet'!$E$10+1,1))</f>
        <v>332.74717458063787</v>
      </c>
      <c r="AO53" s="59">
        <f t="shared" si="36"/>
        <v>408.69087885751878</v>
      </c>
      <c r="AP53" s="15" t="str">
        <f>IF(ISNA(VLOOKUP(A53,'Données projet'!$A$61:$I$81,3,0)),0,VLOOKUP(A53,'Données projet'!$A$61:$I$81,3,0))</f>
        <v>CR</v>
      </c>
      <c r="AQ53" s="15">
        <f>IF(ISNA(VLOOKUP(A53,'Données projet'!$A$61:$I$81,4,0)),0,VLOOKUP(A53,'Données projet'!$A$61:$I$81,4,0))</f>
        <v>781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315.28194828307733</v>
      </c>
      <c r="AV53" s="21">
        <f>EXP(-LN(2)/25)*AV52+(1-EXP(-LN(2)/25))/(LN(2)/25)*Calculateur!AQ53*Calculateur!AS53*VLOOKUP('Données projet'!$B$10,Paramètres!$A$1:$I$89,3,0)*0.475*44/12</f>
        <v>38.55504712102573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353.83699540410305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8.8000000000000007</v>
      </c>
      <c r="BC53" s="12">
        <f t="array" ref="BC53">INDEX(BB:BB,MIN(IF(ISNUMBER(BB53:BB249),ROW(BB53:BB249),"")))</f>
        <v>8.8000000000000007</v>
      </c>
      <c r="BD53" s="12">
        <f>IF('Données projet'!$A$88&gt;35,BD52+BC53-BL52,IF(A53&lt;'Données projet'!$A$88,$BA$205^A53,IF(A53='Données projet'!$A$88,'Données projet'!$B$88,BD52+BC53-BL52)))</f>
        <v>231.00000000000014</v>
      </c>
      <c r="BE53" s="13">
        <f>BD53*VLOOKUP('Données projet'!$B$11,Paramètres!$A$1:$I$89,3,0)*VLOOKUP('Données projet'!$B$11,Paramètres!$A$1:$I$89,5,0)</f>
        <v>201.80160000000015</v>
      </c>
      <c r="BF53" s="13">
        <f t="shared" si="37"/>
        <v>50.139897992681711</v>
      </c>
      <c r="BG53" s="20">
        <f t="shared" si="7"/>
        <v>438.7981090039209</v>
      </c>
      <c r="BH53" s="59">
        <f t="shared" si="8"/>
        <v>693.919090533391</v>
      </c>
      <c r="BI53" s="59">
        <f ca="1">AVERAGE(OFFSET($BH$3,0,0,'Données projet'!$E$11+1,1))-AVERAGE(OFFSET($H$3,0,0,'Données projet'!$E$11+1,1))</f>
        <v>341.62910675299065</v>
      </c>
      <c r="BJ53" s="59">
        <f t="shared" si="38"/>
        <v>407.15938341104709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33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0.38700000000000001</v>
      </c>
      <c r="BO53" s="16">
        <f>IF(ISNA(VLOOKUP(A53,'Données projet'!$A$87:$I$107,7,0)),0%,VLOOKUP(A53,'Données projet'!$A$87:$I$107,7,0))</f>
        <v>0.1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45.270177906712512</v>
      </c>
      <c r="BR53" s="21">
        <f>EXP(-LN(2)/2)*BR52+(1-EXP(-LN(2)/2))/(LN(2)/2)*BL53*BO53*VLOOKUP('Données projet'!$B$11,Paramètres!$A$1:$I$89,3,0)*0.475*44/12</f>
        <v>3.3642158384518956</v>
      </c>
      <c r="BS53" s="22">
        <f t="shared" si="9"/>
        <v>48.634393745164409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17.2</v>
      </c>
      <c r="N54" s="13">
        <f>IF('Données projet'!$A$36&gt;35,N53+M54-V53,IF(A54&lt;'Données projet'!$A$36,$K$205^A54,IF(A54='Données projet'!$A$36,'Données projet'!$B$36,N53+M54-V53)))</f>
        <v>607.20000000000061</v>
      </c>
      <c r="O54" s="13">
        <f>N54*VLOOKUP('Données projet'!$B$9,Paramètres!$A$1:$I$89,3,0)*VLOOKUP('Données projet'!$B$9,Paramètres!$A$1:$I$89,5,0)</f>
        <v>339.4248000000004</v>
      </c>
      <c r="P54" s="13">
        <f t="shared" si="33"/>
        <v>79.381094751564561</v>
      </c>
      <c r="Q54" s="20">
        <f t="shared" si="53"/>
        <v>729.42026669230893</v>
      </c>
      <c r="R54" s="59">
        <f t="shared" si="0"/>
        <v>985.20414709555575</v>
      </c>
      <c r="S54" s="59">
        <f ca="1">AVERAGE(OFFSET($R$3,0,0,'Données projet'!$E$9+1,1))-AVERAGE(OFFSET($H$3,0,0,'Données projet'!$E$9+1,1))</f>
        <v>507.66185230065889</v>
      </c>
      <c r="T54" s="59">
        <f t="shared" si="34"/>
        <v>640.14375617778342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37.749610545114422</v>
      </c>
      <c r="AA54" s="21">
        <f>EXP(-LN(2)/25)*AA53+(1-EXP(-LN(2)/25))/(LN(2)/25)*Calculateur!V54*Calculateur!X54*VLOOKUP('Données projet'!$B$9,Paramètres!$A$1:$I$89,3,0)*0.475*44/12</f>
        <v>32.752313568604734</v>
      </c>
      <c r="AB54" s="21">
        <f>EXP(-LN(2)/2)*AB53+(1-EXP(-LN(2)/2))/(LN(2)/2)*V54*Y54*VLOOKUP('Données projet'!$B$9,Paramètres!$A$1:$I$89,3,0)*0.475*44/12</f>
        <v>0.63679831477653204</v>
      </c>
      <c r="AC54" s="22">
        <f t="shared" si="3"/>
        <v>71.138722428495683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-3.4106051316484809E-13</v>
      </c>
      <c r="AJ54" s="13">
        <f>AI54*VLOOKUP('Données projet'!$B$10,Paramètres!$A$1:$I$89,3,0)*VLOOKUP('Données projet'!$B$10,Paramètres!$A$1:$I$89,5,0)</f>
        <v>-1.5961632016114892E-13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332.74717458063787</v>
      </c>
      <c r="AO54" s="59">
        <f t="shared" si="36"/>
        <v>408.69087885751878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309.09946158024627</v>
      </c>
      <c r="AV54" s="21">
        <f>EXP(-LN(2)/25)*AV53+(1-EXP(-LN(2)/25))/(LN(2)/25)*Calculateur!AQ54*Calculateur!AS54*VLOOKUP('Données projet'!$B$10,Paramètres!$A$1:$I$89,3,0)*0.475*44/12</f>
        <v>37.500757329979471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346.60021891022575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205.80000000000015</v>
      </c>
      <c r="BE54" s="13">
        <f>BD54*VLOOKUP('Données projet'!$B$11,Paramètres!$A$1:$I$89,3,0)*VLOOKUP('Données projet'!$B$11,Paramètres!$A$1:$I$89,5,0)</f>
        <v>179.78688000000014</v>
      </c>
      <c r="BF54" s="13">
        <f t="shared" si="37"/>
        <v>45.274767624296977</v>
      </c>
      <c r="BG54" s="20">
        <f t="shared" si="7"/>
        <v>391.98236961231743</v>
      </c>
      <c r="BH54" s="59">
        <f t="shared" si="8"/>
        <v>647.76625001556431</v>
      </c>
      <c r="BI54" s="59">
        <f ca="1">AVERAGE(OFFSET($BH$3,0,0,'Données projet'!$E$11+1,1))-AVERAGE(OFFSET($H$3,0,0,'Données projet'!$E$11+1,1))</f>
        <v>341.62910675299065</v>
      </c>
      <c r="BJ54" s="59">
        <f t="shared" si="38"/>
        <v>407.15938341104709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44.032262511198269</v>
      </c>
      <c r="BR54" s="21">
        <f>EXP(-LN(2)/2)*BR53+(1-EXP(-LN(2)/2))/(LN(2)/2)*BL54*BO54*VLOOKUP('Données projet'!$B$11,Paramètres!$A$1:$I$89,3,0)*0.475*44/12</f>
        <v>2.3788598327445221</v>
      </c>
      <c r="BS54" s="22">
        <f t="shared" si="9"/>
        <v>46.411122343942793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17.2</v>
      </c>
      <c r="N55" s="13">
        <f>IF('Données projet'!$A$36&gt;35,N54+M55-V54,IF(A55&lt;'Données projet'!$A$36,$K$205^A55,IF(A55='Données projet'!$A$36,'Données projet'!$B$36,N54+M55-V54)))</f>
        <v>624.40000000000066</v>
      </c>
      <c r="O55" s="13">
        <f>N55*VLOOKUP('Données projet'!$B$9,Paramètres!$A$1:$I$89,3,0)*VLOOKUP('Données projet'!$B$9,Paramètres!$A$1:$I$89,5,0)</f>
        <v>349.03960000000041</v>
      </c>
      <c r="P55" s="13">
        <f t="shared" si="33"/>
        <v>81.364723289666273</v>
      </c>
      <c r="Q55" s="20">
        <f t="shared" si="53"/>
        <v>749.62086306283607</v>
      </c>
      <c r="R55" s="59">
        <f t="shared" si="0"/>
        <v>1006.0561425264194</v>
      </c>
      <c r="S55" s="59">
        <f ca="1">AVERAGE(OFFSET($R$3,0,0,'Données projet'!$E$9+1,1))-AVERAGE(OFFSET($H$3,0,0,'Données projet'!$E$9+1,1))</f>
        <v>507.66185230065889</v>
      </c>
      <c r="T55" s="59">
        <f t="shared" si="34"/>
        <v>640.14375617778342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37.009363707313632</v>
      </c>
      <c r="AA55" s="21">
        <f>EXP(-LN(2)/25)*AA54+(1-EXP(-LN(2)/25))/(LN(2)/25)*Calculateur!V55*Calculateur!X55*VLOOKUP('Données projet'!$B$9,Paramètres!$A$1:$I$89,3,0)*0.475*44/12</f>
        <v>31.856699831701924</v>
      </c>
      <c r="AB55" s="21">
        <f>EXP(-LN(2)/2)*AB54+(1-EXP(-LN(2)/2))/(LN(2)/2)*V55*Y55*VLOOKUP('Données projet'!$B$9,Paramètres!$A$1:$I$89,3,0)*0.475*44/12</f>
        <v>0.45028440662665148</v>
      </c>
      <c r="AC55" s="22">
        <f t="shared" si="3"/>
        <v>69.316347945642207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-3.4106051316484809E-13</v>
      </c>
      <c r="AJ55" s="13">
        <f>AI55*VLOOKUP('Données projet'!$B$10,Paramètres!$A$1:$I$89,3,0)*VLOOKUP('Données projet'!$B$10,Paramètres!$A$1:$I$89,5,0)</f>
        <v>-1.5961632016114892E-13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332.74717458063787</v>
      </c>
      <c r="AO55" s="59">
        <f t="shared" si="36"/>
        <v>408.69087885751878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303.03820967071323</v>
      </c>
      <c r="AV55" s="21">
        <f>EXP(-LN(2)/25)*AV54+(1-EXP(-LN(2)/25))/(LN(2)/25)*Calculateur!AQ55*Calculateur!AS55*VLOOKUP('Données projet'!$B$10,Paramètres!$A$1:$I$89,3,0)*0.475*44/12</f>
        <v>36.475297148712066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339.51350681942529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213.60000000000016</v>
      </c>
      <c r="BE55" s="13">
        <f>BD55*VLOOKUP('Données projet'!$B$11,Paramètres!$A$1:$I$89,3,0)*VLOOKUP('Données projet'!$B$11,Paramètres!$A$1:$I$89,5,0)</f>
        <v>186.60096000000016</v>
      </c>
      <c r="BF55" s="13">
        <f t="shared" si="37"/>
        <v>46.787685683664144</v>
      </c>
      <c r="BG55" s="20">
        <f t="shared" si="7"/>
        <v>406.48522456571527</v>
      </c>
      <c r="BH55" s="59">
        <f t="shared" si="8"/>
        <v>662.92050402929863</v>
      </c>
      <c r="BI55" s="59">
        <f ca="1">AVERAGE(OFFSET($BH$3,0,0,'Données projet'!$E$11+1,1))-AVERAGE(OFFSET($H$3,0,0,'Données projet'!$E$11+1,1))</f>
        <v>341.62910675299065</v>
      </c>
      <c r="BJ55" s="59">
        <f t="shared" si="38"/>
        <v>407.15938341104709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42.828197977273504</v>
      </c>
      <c r="BR55" s="21">
        <f>EXP(-LN(2)/2)*BR54+(1-EXP(-LN(2)/2))/(LN(2)/2)*BL55*BO55*VLOOKUP('Données projet'!$B$11,Paramètres!$A$1:$I$89,3,0)*0.475*44/12</f>
        <v>1.6821079192259478</v>
      </c>
      <c r="BS55" s="22">
        <f t="shared" si="9"/>
        <v>44.510305896499453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17.2</v>
      </c>
      <c r="N56" s="13">
        <f>IF('Données projet'!$A$36&gt;35,N55+M56-V55,IF(A56&lt;'Données projet'!$A$36,$K$205^A56,IF(A56='Données projet'!$A$36,'Données projet'!$B$36,N55+M56-V55)))</f>
        <v>641.6000000000007</v>
      </c>
      <c r="O56" s="13">
        <f>N56*VLOOKUP('Données projet'!$B$9,Paramètres!$A$1:$I$89,3,0)*VLOOKUP('Données projet'!$B$9,Paramètres!$A$1:$I$89,5,0)</f>
        <v>358.65440000000041</v>
      </c>
      <c r="P56" s="13">
        <f t="shared" si="33"/>
        <v>83.342000846282616</v>
      </c>
      <c r="Q56" s="20">
        <f t="shared" si="53"/>
        <v>769.81039814060966</v>
      </c>
      <c r="R56" s="59">
        <f t="shared" si="0"/>
        <v>1026.8857763471428</v>
      </c>
      <c r="S56" s="59">
        <f ca="1">AVERAGE(OFFSET($R$3,0,0,'Données projet'!$E$9+1,1))-AVERAGE(OFFSET($H$3,0,0,'Données projet'!$E$9+1,1))</f>
        <v>507.66185230065889</v>
      </c>
      <c r="T56" s="59">
        <f t="shared" si="34"/>
        <v>640.14375617778342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36.283632658496124</v>
      </c>
      <c r="AA56" s="21">
        <f>EXP(-LN(2)/25)*AA55+(1-EXP(-LN(2)/25))/(LN(2)/25)*Calculateur!V56*Calculateur!X56*VLOOKUP('Données projet'!$B$9,Paramètres!$A$1:$I$89,3,0)*0.475*44/12</f>
        <v>30.985576699532999</v>
      </c>
      <c r="AB56" s="21">
        <f>EXP(-LN(2)/2)*AB55+(1-EXP(-LN(2)/2))/(LN(2)/2)*V56*Y56*VLOOKUP('Données projet'!$B$9,Paramètres!$A$1:$I$89,3,0)*0.475*44/12</f>
        <v>0.31839915738826607</v>
      </c>
      <c r="AC56" s="22">
        <f t="shared" si="3"/>
        <v>67.587608515417386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-3.4106051316484809E-13</v>
      </c>
      <c r="AJ56" s="13">
        <f>AI56*VLOOKUP('Données projet'!$B$10,Paramètres!$A$1:$I$89,3,0)*VLOOKUP('Données projet'!$B$10,Paramètres!$A$1:$I$89,5,0)</f>
        <v>-1.5961632016114892E-13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332.74717458063787</v>
      </c>
      <c r="AO56" s="59">
        <f t="shared" si="36"/>
        <v>408.69087885751878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297.09581521412747</v>
      </c>
      <c r="AV56" s="21">
        <f>EXP(-LN(2)/25)*AV55+(1-EXP(-LN(2)/25))/(LN(2)/25)*Calculateur!AQ56*Calculateur!AS56*VLOOKUP('Données projet'!$B$10,Paramètres!$A$1:$I$89,3,0)*0.475*44/12</f>
        <v>35.477878230028026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332.57369344415548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221.40000000000018</v>
      </c>
      <c r="BE56" s="13">
        <f>BD56*VLOOKUP('Données projet'!$B$11,Paramètres!$A$1:$I$89,3,0)*VLOOKUP('Données projet'!$B$11,Paramètres!$A$1:$I$89,5,0)</f>
        <v>193.41504000000018</v>
      </c>
      <c r="BF56" s="13">
        <f t="shared" si="37"/>
        <v>48.294185132315114</v>
      </c>
      <c r="BG56" s="20">
        <f t="shared" si="7"/>
        <v>420.97690043878242</v>
      </c>
      <c r="BH56" s="59">
        <f t="shared" si="8"/>
        <v>678.05227864531571</v>
      </c>
      <c r="BI56" s="59">
        <f ca="1">AVERAGE(OFFSET($BH$3,0,0,'Données projet'!$E$11+1,1))-AVERAGE(OFFSET($H$3,0,0,'Données projet'!$E$11+1,1))</f>
        <v>341.62910675299065</v>
      </c>
      <c r="BJ56" s="59">
        <f t="shared" si="38"/>
        <v>407.15938341104709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41.657058651347917</v>
      </c>
      <c r="BR56" s="21">
        <f>EXP(-LN(2)/2)*BR55+(1-EXP(-LN(2)/2))/(LN(2)/2)*BL56*BO56*VLOOKUP('Données projet'!$B$11,Paramètres!$A$1:$I$89,3,0)*0.475*44/12</f>
        <v>1.189429916372261</v>
      </c>
      <c r="BS56" s="22">
        <f t="shared" si="9"/>
        <v>42.846488567720179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17.2</v>
      </c>
      <c r="N57" s="13">
        <f>IF('Données projet'!$A$36&gt;35,N56+M57-V56,IF(A57&lt;'Données projet'!$A$36,$K$205^A57,IF(A57='Données projet'!$A$36,'Données projet'!$B$36,N56+M57-V56)))</f>
        <v>658.80000000000075</v>
      </c>
      <c r="O57" s="13">
        <f>N57*VLOOKUP('Données projet'!$B$9,Paramètres!$A$1:$I$89,3,0)*VLOOKUP('Données projet'!$B$9,Paramètres!$A$1:$I$89,5,0)</f>
        <v>368.26920000000047</v>
      </c>
      <c r="P57" s="13">
        <f t="shared" si="33"/>
        <v>85.313117246096908</v>
      </c>
      <c r="Q57" s="20">
        <f t="shared" si="53"/>
        <v>789.9892025369528</v>
      </c>
      <c r="R57" s="59">
        <f t="shared" si="0"/>
        <v>1047.6935752042921</v>
      </c>
      <c r="S57" s="59">
        <f ca="1">AVERAGE(OFFSET($R$3,0,0,'Données projet'!$E$9+1,1))-AVERAGE(OFFSET($H$3,0,0,'Données projet'!$E$9+1,1))</f>
        <v>507.66185230065889</v>
      </c>
      <c r="T57" s="59">
        <f t="shared" si="34"/>
        <v>640.14375617778342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35.572132752893701</v>
      </c>
      <c r="AA57" s="21">
        <f>EXP(-LN(2)/25)*AA56+(1-EXP(-LN(2)/25))/(LN(2)/25)*Calculateur!V57*Calculateur!X57*VLOOKUP('Données projet'!$B$9,Paramètres!$A$1:$I$89,3,0)*0.475*44/12</f>
        <v>30.138274475223607</v>
      </c>
      <c r="AB57" s="21">
        <f>EXP(-LN(2)/2)*AB56+(1-EXP(-LN(2)/2))/(LN(2)/2)*V57*Y57*VLOOKUP('Données projet'!$B$9,Paramètres!$A$1:$I$89,3,0)*0.475*44/12</f>
        <v>0.22514220331332577</v>
      </c>
      <c r="AC57" s="22">
        <f t="shared" si="3"/>
        <v>65.93554943143063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-3.4106051316484809E-13</v>
      </c>
      <c r="AJ57" s="13">
        <f>AI57*VLOOKUP('Données projet'!$B$10,Paramètres!$A$1:$I$89,3,0)*VLOOKUP('Données projet'!$B$10,Paramètres!$A$1:$I$89,5,0)</f>
        <v>-1.5961632016114892E-13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332.74717458063787</v>
      </c>
      <c r="AO57" s="59">
        <f t="shared" si="36"/>
        <v>408.69087885751878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291.26994748833266</v>
      </c>
      <c r="AV57" s="21">
        <f>EXP(-LN(2)/25)*AV56+(1-EXP(-LN(2)/25))/(LN(2)/25)*Calculateur!AQ57*Calculateur!AS57*VLOOKUP('Données projet'!$B$10,Paramètres!$A$1:$I$89,3,0)*0.475*44/12</f>
        <v>34.507733784127382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325.77768127246003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229.20000000000019</v>
      </c>
      <c r="BE57" s="13">
        <f>BD57*VLOOKUP('Données projet'!$B$11,Paramètres!$A$1:$I$89,3,0)*VLOOKUP('Données projet'!$B$11,Paramètres!$A$1:$I$89,5,0)</f>
        <v>200.22912000000019</v>
      </c>
      <c r="BF57" s="13">
        <f t="shared" si="37"/>
        <v>49.794518010766396</v>
      </c>
      <c r="BG57" s="20">
        <f t="shared" si="7"/>
        <v>435.45783620208516</v>
      </c>
      <c r="BH57" s="59">
        <f t="shared" si="8"/>
        <v>693.16220886942449</v>
      </c>
      <c r="BI57" s="59">
        <f ca="1">AVERAGE(OFFSET($BH$3,0,0,'Données projet'!$E$11+1,1))-AVERAGE(OFFSET($H$3,0,0,'Données projet'!$E$11+1,1))</f>
        <v>341.62910675299065</v>
      </c>
      <c r="BJ57" s="59">
        <f t="shared" si="38"/>
        <v>407.15938341104709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40.517944191877305</v>
      </c>
      <c r="BR57" s="21">
        <f>EXP(-LN(2)/2)*BR56+(1-EXP(-LN(2)/2))/(LN(2)/2)*BL57*BO57*VLOOKUP('Données projet'!$B$11,Paramètres!$A$1:$I$89,3,0)*0.475*44/12</f>
        <v>0.84105395961297391</v>
      </c>
      <c r="BS57" s="22">
        <f t="shared" si="9"/>
        <v>41.358998151490276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676</v>
      </c>
      <c r="L58" s="12">
        <f>VLOOKUP(A58,'Données projet'!$A$35:$I$55,9,0)</f>
        <v>17.2</v>
      </c>
      <c r="M58" s="12">
        <f t="array" ref="M58">INDEX(L:L,MIN(IF(ISNUMBER(L58:L254),ROW(L58:L254),"")))</f>
        <v>17.2</v>
      </c>
      <c r="N58" s="13">
        <f>IF('Données projet'!$A$36&gt;35,N57+M58-V57,IF(A58&lt;'Données projet'!$A$36,$K$205^A58,IF(A58='Données projet'!$A$36,'Données projet'!$B$36,N57+M58-V57)))</f>
        <v>676.0000000000008</v>
      </c>
      <c r="O58" s="13">
        <f>N58*VLOOKUP('Données projet'!$B$9,Paramètres!$A$1:$I$89,3,0)*VLOOKUP('Données projet'!$B$9,Paramètres!$A$1:$I$89,5,0)</f>
        <v>377.88400000000047</v>
      </c>
      <c r="P58" s="13">
        <f t="shared" si="33"/>
        <v>87.278251837334267</v>
      </c>
      <c r="Q58" s="20">
        <f t="shared" si="53"/>
        <v>810.15758861669144</v>
      </c>
      <c r="R58" s="59">
        <f t="shared" si="0"/>
        <v>1068.4800440971628</v>
      </c>
      <c r="S58" s="59">
        <f ca="1">AVERAGE(OFFSET($R$3,0,0,'Données projet'!$E$9+1,1))-AVERAGE(OFFSET($H$3,0,0,'Données projet'!$E$9+1,1))</f>
        <v>507.66185230065889</v>
      </c>
      <c r="T58" s="59">
        <f t="shared" si="34"/>
        <v>640.14375617778342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68</v>
      </c>
      <c r="W58" s="16">
        <f>IF(ISNA(VLOOKUP(A58,'Données projet'!$A$35:$I$55,5,0)),0%,VLOOKUP(A58,'Données projet'!$A$35:$I$55,5,0)*VLOOKUP('Données projet'!$B$9,Paramètres!$A$1:$I$89,7,0))</f>
        <v>0.27500000000000002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48.741561148514194</v>
      </c>
      <c r="AA58" s="21">
        <f>EXP(-LN(2)/25)*AA57+(1-EXP(-LN(2)/25))/(LN(2)/25)*Calculateur!V58*Calculateur!X58*VLOOKUP('Données projet'!$B$9,Paramètres!$A$1:$I$89,3,0)*0.475*44/12</f>
        <v>29.314141774795644</v>
      </c>
      <c r="AB58" s="21">
        <f>EXP(-LN(2)/2)*AB57+(1-EXP(-LN(2)/2))/(LN(2)/2)*V58*Y58*VLOOKUP('Données projet'!$B$9,Paramètres!$A$1:$I$89,3,0)*0.475*44/12</f>
        <v>0.15919957869413304</v>
      </c>
      <c r="AC58" s="22">
        <f t="shared" si="3"/>
        <v>78.214902502003966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-3.4106051316484809E-13</v>
      </c>
      <c r="AJ58" s="13">
        <f>AI58*VLOOKUP('Données projet'!$B$10,Paramètres!$A$1:$I$89,3,0)*VLOOKUP('Données projet'!$B$10,Paramètres!$A$1:$I$89,5,0)</f>
        <v>-1.5961632016114892E-13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332.74717458063787</v>
      </c>
      <c r="AO58" s="59">
        <f t="shared" si="36"/>
        <v>408.69087885751878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285.55832147521227</v>
      </c>
      <c r="AV58" s="21">
        <f>EXP(-LN(2)/25)*AV57+(1-EXP(-LN(2)/25))/(LN(2)/25)*Calculateur!AQ58*Calculateur!AS58*VLOOKUP('Données projet'!$B$10,Paramètres!$A$1:$I$89,3,0)*0.475*44/12</f>
        <v>33.56411798911757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319.12243946432983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237</v>
      </c>
      <c r="BB58" s="12">
        <f>VLOOKUP(A58,'Données projet'!$A$87:$I$107,9,0)</f>
        <v>7.8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237.0000000000002</v>
      </c>
      <c r="BE58" s="13">
        <f>BD58*VLOOKUP('Données projet'!$B$11,Paramètres!$A$1:$I$89,3,0)*VLOOKUP('Données projet'!$B$11,Paramètres!$A$1:$I$89,5,0)</f>
        <v>207.04320000000018</v>
      </c>
      <c r="BF58" s="13">
        <f t="shared" si="37"/>
        <v>51.28891823180637</v>
      </c>
      <c r="BG58" s="20">
        <f t="shared" si="7"/>
        <v>449.92843925372966</v>
      </c>
      <c r="BH58" s="59">
        <f t="shared" si="8"/>
        <v>708.25089473420098</v>
      </c>
      <c r="BI58" s="59">
        <f ca="1">AVERAGE(OFFSET($BH$3,0,0,'Données projet'!$E$11+1,1))-AVERAGE(OFFSET($H$3,0,0,'Données projet'!$E$11+1,1))</f>
        <v>341.62910675299065</v>
      </c>
      <c r="BJ58" s="59">
        <f t="shared" si="38"/>
        <v>407.15938341104709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29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0.38700000000000001</v>
      </c>
      <c r="BO58" s="16">
        <f>IF(ISNA(VLOOKUP(A58,'Données projet'!$A$87:$I$107,7,0)),0%,VLOOKUP(A58,'Données projet'!$A$87:$I$107,7,0))</f>
        <v>0.1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50.20579155951409</v>
      </c>
      <c r="BR58" s="21">
        <f>EXP(-LN(2)/2)*BR57+(1-EXP(-LN(2)/2))/(LN(2)/2)*BL58*BO58*VLOOKUP('Données projet'!$B$11,Paramètres!$A$1:$I$89,3,0)*0.475*44/12</f>
        <v>2.9850837847240062</v>
      </c>
      <c r="BS58" s="22">
        <f t="shared" si="9"/>
        <v>53.190875344238094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15.8</v>
      </c>
      <c r="N59" s="13">
        <f>IF('Données projet'!$A$36&gt;35,N58+M59-V58,IF(A59&lt;'Données projet'!$A$36,$K$205^A59,IF(A59='Données projet'!$A$36,'Données projet'!$B$36,N58+M59-V58)))</f>
        <v>623.80000000000075</v>
      </c>
      <c r="O59" s="13">
        <f>N59*VLOOKUP('Données projet'!$B$9,Paramètres!$A$1:$I$89,3,0)*VLOOKUP('Données projet'!$B$9,Paramètres!$A$1:$I$89,5,0)</f>
        <v>348.70420000000041</v>
      </c>
      <c r="P59" s="13">
        <f t="shared" si="33"/>
        <v>81.29563498891217</v>
      </c>
      <c r="Q59" s="20">
        <f t="shared" si="53"/>
        <v>748.91637927235604</v>
      </c>
      <c r="R59" s="59">
        <f t="shared" si="0"/>
        <v>1007.8461952109778</v>
      </c>
      <c r="S59" s="59">
        <f ca="1">AVERAGE(OFFSET($R$3,0,0,'Données projet'!$E$9+1,1))-AVERAGE(OFFSET($H$3,0,0,'Données projet'!$E$9+1,1))</f>
        <v>507.66185230065889</v>
      </c>
      <c r="T59" s="59">
        <f t="shared" si="34"/>
        <v>640.14375617778342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47.785768863808592</v>
      </c>
      <c r="AA59" s="21">
        <f>EXP(-LN(2)/25)*AA58+(1-EXP(-LN(2)/25))/(LN(2)/25)*Calculateur!V59*Calculateur!X59*VLOOKUP('Données projet'!$B$9,Paramètres!$A$1:$I$89,3,0)*0.475*44/12</f>
        <v>28.51254502640014</v>
      </c>
      <c r="AB59" s="21">
        <f>EXP(-LN(2)/2)*AB58+(1-EXP(-LN(2)/2))/(LN(2)/2)*V59*Y59*VLOOKUP('Données projet'!$B$9,Paramètres!$A$1:$I$89,3,0)*0.475*44/12</f>
        <v>0.11257110165666288</v>
      </c>
      <c r="AC59" s="22">
        <f t="shared" si="3"/>
        <v>76.410884991865402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-3.4106051316484809E-13</v>
      </c>
      <c r="AJ59" s="13">
        <f>AI59*VLOOKUP('Données projet'!$B$10,Paramètres!$A$1:$I$89,3,0)*VLOOKUP('Données projet'!$B$10,Paramètres!$A$1:$I$89,5,0)</f>
        <v>-1.5961632016114892E-13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332.74717458063787</v>
      </c>
      <c r="AO59" s="59">
        <f t="shared" si="36"/>
        <v>408.69087885751878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279.95869696446124</v>
      </c>
      <c r="AV59" s="21">
        <f>EXP(-LN(2)/25)*AV58+(1-EXP(-LN(2)/25))/(LN(2)/25)*Calculateur!AQ59*Calculateur!AS59*VLOOKUP('Données projet'!$B$10,Paramètres!$A$1:$I$89,3,0)*0.475*44/12</f>
        <v>32.646305417644896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312.60500238210614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214.80000000000021</v>
      </c>
      <c r="BE59" s="13">
        <f>BD59*VLOOKUP('Données projet'!$B$11,Paramètres!$A$1:$I$89,3,0)*VLOOKUP('Données projet'!$B$11,Paramètres!$A$1:$I$89,5,0)</f>
        <v>187.6492800000002</v>
      </c>
      <c r="BF59" s="13">
        <f t="shared" si="37"/>
        <v>47.019866076567546</v>
      </c>
      <c r="BG59" s="20">
        <f t="shared" si="7"/>
        <v>408.71542941668878</v>
      </c>
      <c r="BH59" s="59">
        <f t="shared" si="8"/>
        <v>667.64524535531052</v>
      </c>
      <c r="BI59" s="59">
        <f ca="1">AVERAGE(OFFSET($BH$3,0,0,'Données projet'!$E$11+1,1))-AVERAGE(OFFSET($H$3,0,0,'Données projet'!$E$11+1,1))</f>
        <v>341.62910675299065</v>
      </c>
      <c r="BJ59" s="59">
        <f t="shared" si="38"/>
        <v>407.15938341104709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48.832911549111344</v>
      </c>
      <c r="BR59" s="21">
        <f>EXP(-LN(2)/2)*BR58+(1-EXP(-LN(2)/2))/(LN(2)/2)*BL59*BO59*VLOOKUP('Données projet'!$B$11,Paramètres!$A$1:$I$89,3,0)*0.475*44/12</f>
        <v>2.1107729865883491</v>
      </c>
      <c r="BS59" s="22">
        <f t="shared" si="9"/>
        <v>50.943684535699695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15.8</v>
      </c>
      <c r="N60" s="13">
        <f>IF('Données projet'!$A$36&gt;35,N59+M60-V59,IF(A60&lt;'Données projet'!$A$36,$K$205^A60,IF(A60='Données projet'!$A$36,'Données projet'!$B$36,N59+M60-V59)))</f>
        <v>639.6000000000007</v>
      </c>
      <c r="O60" s="13">
        <f>N60*VLOOKUP('Données projet'!$B$9,Paramètres!$A$1:$I$89,3,0)*VLOOKUP('Données projet'!$B$9,Paramètres!$A$1:$I$89,5,0)</f>
        <v>357.53640000000041</v>
      </c>
      <c r="P60" s="13">
        <f t="shared" si="33"/>
        <v>83.112404937534052</v>
      </c>
      <c r="Q60" s="20">
        <f t="shared" si="53"/>
        <v>767.46333526620583</v>
      </c>
      <c r="R60" s="59">
        <f t="shared" si="0"/>
        <v>1026.9899753168836</v>
      </c>
      <c r="S60" s="59">
        <f ca="1">AVERAGE(OFFSET($R$3,0,0,'Données projet'!$E$9+1,1))-AVERAGE(OFFSET($H$3,0,0,'Données projet'!$E$9+1,1))</f>
        <v>507.66185230065889</v>
      </c>
      <c r="T60" s="59">
        <f t="shared" si="34"/>
        <v>640.14375617778342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46.848719082830343</v>
      </c>
      <c r="AA60" s="21">
        <f>EXP(-LN(2)/25)*AA59+(1-EXP(-LN(2)/25))/(LN(2)/25)*Calculateur!V60*Calculateur!X60*VLOOKUP('Données projet'!$B$9,Paramètres!$A$1:$I$89,3,0)*0.475*44/12</f>
        <v>27.732867983243651</v>
      </c>
      <c r="AB60" s="21">
        <f>EXP(-LN(2)/2)*AB59+(1-EXP(-LN(2)/2))/(LN(2)/2)*V60*Y60*VLOOKUP('Données projet'!$B$9,Paramètres!$A$1:$I$89,3,0)*0.475*44/12</f>
        <v>7.9599789347066519E-2</v>
      </c>
      <c r="AC60" s="22">
        <f t="shared" si="3"/>
        <v>74.661186855421064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-3.4106051316484809E-13</v>
      </c>
      <c r="AJ60" s="13">
        <f>AI60*VLOOKUP('Données projet'!$B$10,Paramètres!$A$1:$I$89,3,0)*VLOOKUP('Données projet'!$B$10,Paramètres!$A$1:$I$89,5,0)</f>
        <v>-1.5961632016114892E-13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332.74717458063787</v>
      </c>
      <c r="AO60" s="59">
        <f t="shared" si="36"/>
        <v>408.69087885751878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274.46887767493234</v>
      </c>
      <c r="AV60" s="21">
        <f>EXP(-LN(2)/25)*AV59+(1-EXP(-LN(2)/25))/(LN(2)/25)*Calculateur!AQ60*Calculateur!AS60*VLOOKUP('Données projet'!$B$10,Paramètres!$A$1:$I$89,3,0)*0.475*44/12</f>
        <v>31.75359047920481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306.22246815413718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221.60000000000022</v>
      </c>
      <c r="BE60" s="13">
        <f>BD60*VLOOKUP('Données projet'!$B$11,Paramètres!$A$1:$I$89,3,0)*VLOOKUP('Données projet'!$B$11,Paramètres!$A$1:$I$89,5,0)</f>
        <v>193.58976000000021</v>
      </c>
      <c r="BF60" s="13">
        <f t="shared" si="37"/>
        <v>48.332731202087132</v>
      </c>
      <c r="BG60" s="20">
        <f t="shared" si="7"/>
        <v>421.34833884363542</v>
      </c>
      <c r="BH60" s="59">
        <f t="shared" si="8"/>
        <v>680.87497889431313</v>
      </c>
      <c r="BI60" s="59">
        <f ca="1">AVERAGE(OFFSET($BH$3,0,0,'Données projet'!$E$11+1,1))-AVERAGE(OFFSET($H$3,0,0,'Données projet'!$E$11+1,1))</f>
        <v>341.62910675299065</v>
      </c>
      <c r="BJ60" s="59">
        <f t="shared" si="38"/>
        <v>407.15938341104709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47.497573014789687</v>
      </c>
      <c r="BR60" s="21">
        <f>EXP(-LN(2)/2)*BR59+(1-EXP(-LN(2)/2))/(LN(2)/2)*BL60*BO60*VLOOKUP('Données projet'!$B$11,Paramètres!$A$1:$I$89,3,0)*0.475*44/12</f>
        <v>1.4925418923620033</v>
      </c>
      <c r="BS60" s="22">
        <f t="shared" si="9"/>
        <v>48.990114907151693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15.8</v>
      </c>
      <c r="N61" s="13">
        <f>IF('Données projet'!$A$36&gt;35,N60+M61-V60,IF(A61&lt;'Données projet'!$A$36,$K$205^A61,IF(A61='Données projet'!$A$36,'Données projet'!$B$36,N60+M61-V60)))</f>
        <v>655.40000000000066</v>
      </c>
      <c r="O61" s="13">
        <f>N61*VLOOKUP('Données projet'!$B$9,Paramètres!$A$1:$I$89,3,0)*VLOOKUP('Données projet'!$B$9,Paramètres!$A$1:$I$89,5,0)</f>
        <v>366.36860000000041</v>
      </c>
      <c r="P61" s="13">
        <f t="shared" si="33"/>
        <v>84.923957848244939</v>
      </c>
      <c r="Q61" s="20">
        <f t="shared" si="53"/>
        <v>786.00120491902726</v>
      </c>
      <c r="R61" s="59">
        <f t="shared" si="0"/>
        <v>1046.1143155177156</v>
      </c>
      <c r="S61" s="59">
        <f ca="1">AVERAGE(OFFSET($R$3,0,0,'Données projet'!$E$9+1,1))-AVERAGE(OFFSET($H$3,0,0,'Données projet'!$E$9+1,1))</f>
        <v>507.66185230065889</v>
      </c>
      <c r="T61" s="59">
        <f t="shared" si="34"/>
        <v>640.14375617778342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45.930044276513144</v>
      </c>
      <c r="AA61" s="21">
        <f>EXP(-LN(2)/25)*AA60+(1-EXP(-LN(2)/25))/(LN(2)/25)*Calculateur!V61*Calculateur!X61*VLOOKUP('Données projet'!$B$9,Paramètres!$A$1:$I$89,3,0)*0.475*44/12</f>
        <v>26.974511249833711</v>
      </c>
      <c r="AB61" s="21">
        <f>EXP(-LN(2)/2)*AB60+(1-EXP(-LN(2)/2))/(LN(2)/2)*V61*Y61*VLOOKUP('Données projet'!$B$9,Paramètres!$A$1:$I$89,3,0)*0.475*44/12</f>
        <v>5.6285550828331442E-2</v>
      </c>
      <c r="AC61" s="22">
        <f t="shared" si="3"/>
        <v>72.960841077175189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-3.4106051316484809E-13</v>
      </c>
      <c r="AJ61" s="13">
        <f>AI61*VLOOKUP('Données projet'!$B$10,Paramètres!$A$1:$I$89,3,0)*VLOOKUP('Données projet'!$B$10,Paramètres!$A$1:$I$89,5,0)</f>
        <v>-1.5961632016114892E-13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332.74717458063787</v>
      </c>
      <c r="AO61" s="59">
        <f t="shared" si="36"/>
        <v>408.69087885751878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269.086710393212</v>
      </c>
      <c r="AV61" s="21">
        <f>EXP(-LN(2)/25)*AV60+(1-EXP(-LN(2)/25))/(LN(2)/25)*Calculateur!AQ61*Calculateur!AS61*VLOOKUP('Données projet'!$B$10,Paramètres!$A$1:$I$89,3,0)*0.475*44/12</f>
        <v>30.885286877702207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299.97199727091419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228.40000000000023</v>
      </c>
      <c r="BE61" s="13">
        <f>BD61*VLOOKUP('Données projet'!$B$11,Paramètres!$A$1:$I$89,3,0)*VLOOKUP('Données projet'!$B$11,Paramètres!$A$1:$I$89,5,0)</f>
        <v>199.53024000000022</v>
      </c>
      <c r="BF61" s="13">
        <f t="shared" si="37"/>
        <v>49.640914570461312</v>
      </c>
      <c r="BG61" s="20">
        <f t="shared" si="7"/>
        <v>433.97309421022049</v>
      </c>
      <c r="BH61" s="59">
        <f t="shared" si="8"/>
        <v>694.08620480890886</v>
      </c>
      <c r="BI61" s="59">
        <f ca="1">AVERAGE(OFFSET($BH$3,0,0,'Données projet'!$E$11+1,1))-AVERAGE(OFFSET($H$3,0,0,'Données projet'!$E$11+1,1))</f>
        <v>341.62910675299065</v>
      </c>
      <c r="BJ61" s="59">
        <f t="shared" si="38"/>
        <v>407.15938341104709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46.198749382911458</v>
      </c>
      <c r="BR61" s="21">
        <f>EXP(-LN(2)/2)*BR60+(1-EXP(-LN(2)/2))/(LN(2)/2)*BL61*BO61*VLOOKUP('Données projet'!$B$11,Paramètres!$A$1:$I$89,3,0)*0.475*44/12</f>
        <v>1.0553864932941748</v>
      </c>
      <c r="BS61" s="22">
        <f t="shared" si="9"/>
        <v>47.25413587620563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15.8</v>
      </c>
      <c r="N62" s="13">
        <f>IF('Données projet'!$A$36&gt;35,N61+M62-V61,IF(A62&lt;'Données projet'!$A$36,$K$205^A62,IF(A62='Données projet'!$A$36,'Données projet'!$B$36,N61+M62-V61)))</f>
        <v>671.20000000000061</v>
      </c>
      <c r="O62" s="13">
        <f>N62*VLOOKUP('Données projet'!$B$9,Paramètres!$A$1:$I$89,3,0)*VLOOKUP('Données projet'!$B$9,Paramètres!$A$1:$I$89,5,0)</f>
        <v>375.20080000000036</v>
      </c>
      <c r="P62" s="13">
        <f t="shared" si="33"/>
        <v>86.730433960542967</v>
      </c>
      <c r="Q62" s="20">
        <f t="shared" si="53"/>
        <v>804.53023248127954</v>
      </c>
      <c r="R62" s="59">
        <f t="shared" si="0"/>
        <v>1065.2196396751224</v>
      </c>
      <c r="S62" s="59">
        <f ca="1">AVERAGE(OFFSET($R$3,0,0,'Données projet'!$E$9+1,1))-AVERAGE(OFFSET($H$3,0,0,'Données projet'!$E$9+1,1))</f>
        <v>507.66185230065889</v>
      </c>
      <c r="T62" s="59">
        <f t="shared" si="34"/>
        <v>640.14375617778342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45.029384122811521</v>
      </c>
      <c r="AA62" s="21">
        <f>EXP(-LN(2)/25)*AA61+(1-EXP(-LN(2)/25))/(LN(2)/25)*Calculateur!V62*Calculateur!X62*VLOOKUP('Données projet'!$B$9,Paramètres!$A$1:$I$89,3,0)*0.475*44/12</f>
        <v>26.236891821179114</v>
      </c>
      <c r="AB62" s="21">
        <f>EXP(-LN(2)/2)*AB61+(1-EXP(-LN(2)/2))/(LN(2)/2)*V62*Y62*VLOOKUP('Données projet'!$B$9,Paramètres!$A$1:$I$89,3,0)*0.475*44/12</f>
        <v>3.9799894673533259E-2</v>
      </c>
      <c r="AC62" s="22">
        <f t="shared" si="3"/>
        <v>71.306075838664171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-3.4106051316484809E-13</v>
      </c>
      <c r="AJ62" s="13">
        <f>AI62*VLOOKUP('Données projet'!$B$10,Paramètres!$A$1:$I$89,3,0)*VLOOKUP('Données projet'!$B$10,Paramètres!$A$1:$I$89,5,0)</f>
        <v>-1.5961632016114892E-13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332.74717458063787</v>
      </c>
      <c r="AO62" s="59">
        <f t="shared" si="36"/>
        <v>408.69087885751878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263.8100841290883</v>
      </c>
      <c r="AV62" s="21">
        <f>EXP(-LN(2)/25)*AV61+(1-EXP(-LN(2)/25))/(LN(2)/25)*Calculateur!AQ62*Calculateur!AS62*VLOOKUP('Données projet'!$B$10,Paramètres!$A$1:$I$89,3,0)*0.475*44/12</f>
        <v>30.040727083844793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293.85081121293308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235.20000000000024</v>
      </c>
      <c r="BE62" s="13">
        <f>BD62*VLOOKUP('Données projet'!$B$11,Paramètres!$A$1:$I$89,3,0)*VLOOKUP('Données projet'!$B$11,Paramètres!$A$1:$I$89,5,0)</f>
        <v>205.47072000000026</v>
      </c>
      <c r="BF62" s="13">
        <f t="shared" si="37"/>
        <v>50.944571570352757</v>
      </c>
      <c r="BG62" s="20">
        <f t="shared" si="7"/>
        <v>446.58996615169809</v>
      </c>
      <c r="BH62" s="59">
        <f t="shared" si="8"/>
        <v>707.27937334554088</v>
      </c>
      <c r="BI62" s="59">
        <f ca="1">AVERAGE(OFFSET($BH$3,0,0,'Données projet'!$E$11+1,1))-AVERAGE(OFFSET($H$3,0,0,'Données projet'!$E$11+1,1))</f>
        <v>341.62910675299065</v>
      </c>
      <c r="BJ62" s="59">
        <f t="shared" si="38"/>
        <v>407.15938341104709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44.935442151549104</v>
      </c>
      <c r="BR62" s="21">
        <f>EXP(-LN(2)/2)*BR61+(1-EXP(-LN(2)/2))/(LN(2)/2)*BL62*BO62*VLOOKUP('Données projet'!$B$11,Paramètres!$A$1:$I$89,3,0)*0.475*44/12</f>
        <v>0.74627094618100176</v>
      </c>
      <c r="BS62" s="22">
        <f t="shared" si="9"/>
        <v>45.681713097730103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687</v>
      </c>
      <c r="L63" s="12">
        <f>VLOOKUP(A63,'Données projet'!$A$35:$I$55,9,0)</f>
        <v>15.8</v>
      </c>
      <c r="M63" s="12">
        <f t="array" ref="M63">INDEX(L:L,MIN(IF(ISNUMBER(L63:L259),ROW(L63:L259),"")))</f>
        <v>15.8</v>
      </c>
      <c r="N63" s="13">
        <f>IF('Données projet'!$A$36&gt;35,N62+M63-V62,IF(A63&lt;'Données projet'!$A$36,$K$205^A63,IF(A63='Données projet'!$A$36,'Données projet'!$B$36,N62+M63-V62)))</f>
        <v>687.00000000000057</v>
      </c>
      <c r="O63" s="13">
        <f>N63*VLOOKUP('Données projet'!$B$9,Paramètres!$A$1:$I$89,3,0)*VLOOKUP('Données projet'!$B$9,Paramètres!$A$1:$I$89,5,0)</f>
        <v>384.03300000000036</v>
      </c>
      <c r="P63" s="13">
        <f t="shared" si="33"/>
        <v>88.531966534830573</v>
      </c>
      <c r="Q63" s="20">
        <f t="shared" si="53"/>
        <v>823.05065004816379</v>
      </c>
      <c r="R63" s="59">
        <f t="shared" si="0"/>
        <v>1084.3063563796413</v>
      </c>
      <c r="S63" s="59">
        <f ca="1">AVERAGE(OFFSET($R$3,0,0,'Données projet'!$E$9+1,1))-AVERAGE(OFFSET($H$3,0,0,'Données projet'!$E$9+1,1))</f>
        <v>507.66185230065889</v>
      </c>
      <c r="T63" s="59">
        <f t="shared" si="34"/>
        <v>640.14375617778342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61</v>
      </c>
      <c r="W63" s="16">
        <f>IF(ISNA(VLOOKUP(A63,'Données projet'!$A$35:$I$55,5,0)),0%,VLOOKUP(A63,'Données projet'!$A$35:$I$55,5,0)*VLOOKUP('Données projet'!$B$9,Paramètres!$A$1:$I$89,7,0))</f>
        <v>0.27500000000000002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56.585878741034584</v>
      </c>
      <c r="AA63" s="21">
        <f>EXP(-LN(2)/25)*AA62+(1-EXP(-LN(2)/25))/(LN(2)/25)*Calculateur!V63*Calculateur!X63*VLOOKUP('Données projet'!$B$9,Paramètres!$A$1:$I$89,3,0)*0.475*44/12</f>
        <v>25.519442634590796</v>
      </c>
      <c r="AB63" s="21">
        <f>EXP(-LN(2)/2)*AB62+(1-EXP(-LN(2)/2))/(LN(2)/2)*V63*Y63*VLOOKUP('Données projet'!$B$9,Paramètres!$A$1:$I$89,3,0)*0.475*44/12</f>
        <v>2.8142775414165721E-2</v>
      </c>
      <c r="AC63" s="22">
        <f t="shared" si="3"/>
        <v>82.133464151039547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-3.4106051316484809E-13</v>
      </c>
      <c r="AJ63" s="13">
        <f>AI63*VLOOKUP('Données projet'!$B$10,Paramètres!$A$1:$I$89,3,0)*VLOOKUP('Données projet'!$B$10,Paramètres!$A$1:$I$89,5,0)</f>
        <v>-1.5961632016114892E-13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332.74717458063787</v>
      </c>
      <c r="AO63" s="59">
        <f t="shared" si="36"/>
        <v>408.69087885751878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258.63692928757985</v>
      </c>
      <c r="AV63" s="21">
        <f>EXP(-LN(2)/25)*AV62+(1-EXP(-LN(2)/25))/(LN(2)/25)*Calculateur!AQ63*Calculateur!AS63*VLOOKUP('Données projet'!$B$10,Paramètres!$A$1:$I$89,3,0)*0.475*44/12</f>
        <v>29.21926182196388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287.85619110954372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242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242.00000000000026</v>
      </c>
      <c r="BE63" s="13">
        <f>BD63*VLOOKUP('Données projet'!$B$11,Paramètres!$A$1:$I$89,3,0)*VLOOKUP('Données projet'!$B$11,Paramètres!$A$1:$I$89,5,0)</f>
        <v>211.41120000000024</v>
      </c>
      <c r="BF63" s="13">
        <f t="shared" si="37"/>
        <v>52.243848094411206</v>
      </c>
      <c r="BG63" s="20">
        <f t="shared" si="7"/>
        <v>459.19920876443319</v>
      </c>
      <c r="BH63" s="59">
        <f t="shared" si="8"/>
        <v>720.45491509591068</v>
      </c>
      <c r="BI63" s="59">
        <f ca="1">AVERAGE(OFFSET($BH$3,0,0,'Données projet'!$E$11+1,1))-AVERAGE(OFFSET($H$3,0,0,'Données projet'!$E$11+1,1))</f>
        <v>341.62910675299065</v>
      </c>
      <c r="BJ63" s="59">
        <f t="shared" si="38"/>
        <v>407.15938341104709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26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0.38700000000000001</v>
      </c>
      <c r="BO63" s="16">
        <f>IF(ISNA(VLOOKUP(A63,'Données projet'!$A$87:$I$107,7,0)),0%,VLOOKUP(A63,'Données projet'!$A$87:$I$107,7,0))</f>
        <v>0.1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53.38568459665774</v>
      </c>
      <c r="BR63" s="21">
        <f>EXP(-LN(2)/2)*BR62+(1-EXP(-LN(2)/2))/(LN(2)/2)*BL63*BO63*VLOOKUP('Données projet'!$B$11,Paramètres!$A$1:$I$89,3,0)*0.475*44/12</f>
        <v>2.6707825394051818</v>
      </c>
      <c r="BS63" s="22">
        <f t="shared" si="9"/>
        <v>56.056467136062921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</v>
      </c>
      <c r="N64" s="13">
        <f>IF('Données projet'!$A$36&gt;35,N63+M64-V63,IF(A64&lt;'Données projet'!$A$36,$K$205^A64,IF(A64='Données projet'!$A$36,'Données projet'!$B$36,N63+M64-V63)))</f>
        <v>640.80000000000052</v>
      </c>
      <c r="O64" s="13">
        <f>N64*VLOOKUP('Données projet'!$B$9,Paramètres!$A$1:$I$89,3,0)*VLOOKUP('Données projet'!$B$9,Paramètres!$A$1:$I$89,5,0)</f>
        <v>358.20720000000028</v>
      </c>
      <c r="P64" s="13">
        <f t="shared" si="33"/>
        <v>83.250172494099061</v>
      </c>
      <c r="Q64" s="20">
        <f t="shared" si="53"/>
        <v>768.87159042722294</v>
      </c>
      <c r="R64" s="59">
        <f t="shared" si="0"/>
        <v>1030.6837718723523</v>
      </c>
      <c r="S64" s="59">
        <f ca="1">AVERAGE(OFFSET($R$3,0,0,'Données projet'!$E$9+1,1))-AVERAGE(OFFSET($H$3,0,0,'Données projet'!$E$9+1,1))</f>
        <v>507.66185230065889</v>
      </c>
      <c r="T64" s="59">
        <f t="shared" si="34"/>
        <v>640.14375617778342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55.476264172900954</v>
      </c>
      <c r="AA64" s="21">
        <f>EXP(-LN(2)/25)*AA63+(1-EXP(-LN(2)/25))/(LN(2)/25)*Calculateur!V64*Calculateur!X64*VLOOKUP('Données projet'!$B$9,Paramètres!$A$1:$I$89,3,0)*0.475*44/12</f>
        <v>24.821612133738746</v>
      </c>
      <c r="AB64" s="21">
        <f>EXP(-LN(2)/2)*AB63+(1-EXP(-LN(2)/2))/(LN(2)/2)*V64*Y64*VLOOKUP('Données projet'!$B$9,Paramètres!$A$1:$I$89,3,0)*0.475*44/12</f>
        <v>1.989994733676663E-2</v>
      </c>
      <c r="AC64" s="22">
        <f t="shared" si="3"/>
        <v>80.317776253976461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-3.4106051316484809E-13</v>
      </c>
      <c r="AJ64" s="13">
        <f>AI64*VLOOKUP('Données projet'!$B$10,Paramètres!$A$1:$I$89,3,0)*VLOOKUP('Données projet'!$B$10,Paramètres!$A$1:$I$89,5,0)</f>
        <v>-1.5961632016114892E-13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332.74717458063787</v>
      </c>
      <c r="AO64" s="59">
        <f t="shared" si="36"/>
        <v>408.69087885751878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253.56521685720045</v>
      </c>
      <c r="AV64" s="21">
        <f>EXP(-LN(2)/25)*AV63+(1-EXP(-LN(2)/25))/(LN(2)/25)*Calculateur!AQ64*Calculateur!AS64*VLOOKUP('Données projet'!$B$10,Paramètres!$A$1:$I$89,3,0)*0.475*44/12</f>
        <v>28.42025957086808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281.98547642806852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222.00000000000026</v>
      </c>
      <c r="BE64" s="13">
        <f>BD64*VLOOKUP('Données projet'!$B$11,Paramètres!$A$1:$I$89,3,0)*VLOOKUP('Données projet'!$B$11,Paramètres!$A$1:$I$89,5,0)</f>
        <v>193.93920000000023</v>
      </c>
      <c r="BF64" s="13">
        <f t="shared" si="37"/>
        <v>48.409811198069427</v>
      </c>
      <c r="BG64" s="20">
        <f t="shared" si="7"/>
        <v>422.09119450330468</v>
      </c>
      <c r="BH64" s="59">
        <f t="shared" si="8"/>
        <v>683.90337594843402</v>
      </c>
      <c r="BI64" s="59">
        <f ca="1">AVERAGE(OFFSET($BH$3,0,0,'Données projet'!$E$11+1,1))-AVERAGE(OFFSET($H$3,0,0,'Données projet'!$E$11+1,1))</f>
        <v>341.62910675299065</v>
      </c>
      <c r="BJ64" s="59">
        <f t="shared" si="38"/>
        <v>407.15938341104709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51.925850243930995</v>
      </c>
      <c r="BR64" s="21">
        <f>EXP(-LN(2)/2)*BR63+(1-EXP(-LN(2)/2))/(LN(2)/2)*BL64*BO64*VLOOKUP('Données projet'!$B$11,Paramètres!$A$1:$I$89,3,0)*0.475*44/12</f>
        <v>1.8885284446880317</v>
      </c>
      <c r="BS64" s="22">
        <f t="shared" si="9"/>
        <v>53.81437868861903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</v>
      </c>
      <c r="N65" s="13">
        <f>IF('Données projet'!$A$36&gt;35,N64+M65-V64,IF(A65&lt;'Données projet'!$A$36,$K$205^A65,IF(A65='Données projet'!$A$36,'Données projet'!$B$36,N64+M65-V64)))</f>
        <v>655.60000000000048</v>
      </c>
      <c r="O65" s="13">
        <f>N65*VLOOKUP('Données projet'!$B$9,Paramètres!$A$1:$I$89,3,0)*VLOOKUP('Données projet'!$B$9,Paramètres!$A$1:$I$89,5,0)</f>
        <v>366.48040000000026</v>
      </c>
      <c r="P65" s="13">
        <f t="shared" si="33"/>
        <v>84.946856071194489</v>
      </c>
      <c r="Q65" s="20">
        <f t="shared" si="53"/>
        <v>786.23580432399751</v>
      </c>
      <c r="R65" s="59">
        <f t="shared" si="0"/>
        <v>1048.5948072836488</v>
      </c>
      <c r="S65" s="59">
        <f ca="1">AVERAGE(OFFSET($R$3,0,0,'Données projet'!$E$9+1,1))-AVERAGE(OFFSET($H$3,0,0,'Données projet'!$E$9+1,1))</f>
        <v>507.66185230065889</v>
      </c>
      <c r="T65" s="59">
        <f t="shared" si="34"/>
        <v>640.14375617778342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54.388408469650365</v>
      </c>
      <c r="AA65" s="21">
        <f>EXP(-LN(2)/25)*AA64+(1-EXP(-LN(2)/25))/(LN(2)/25)*Calculateur!V65*Calculateur!X65*VLOOKUP('Données projet'!$B$9,Paramètres!$A$1:$I$89,3,0)*0.475*44/12</f>
        <v>24.142863844629808</v>
      </c>
      <c r="AB65" s="21">
        <f>EXP(-LN(2)/2)*AB64+(1-EXP(-LN(2)/2))/(LN(2)/2)*V65*Y65*VLOOKUP('Données projet'!$B$9,Paramètres!$A$1:$I$89,3,0)*0.475*44/12</f>
        <v>1.407138770708286E-2</v>
      </c>
      <c r="AC65" s="22">
        <f t="shared" si="3"/>
        <v>78.54534370198725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-3.4106051316484809E-13</v>
      </c>
      <c r="AJ65" s="13">
        <f>AI65*VLOOKUP('Données projet'!$B$10,Paramètres!$A$1:$I$89,3,0)*VLOOKUP('Données projet'!$B$10,Paramètres!$A$1:$I$89,5,0)</f>
        <v>-1.5961632016114892E-13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332.74717458063787</v>
      </c>
      <c r="AO65" s="59">
        <f t="shared" si="36"/>
        <v>408.69087885751878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248.59295761414168</v>
      </c>
      <c r="AV65" s="21">
        <f>EXP(-LN(2)/25)*AV64+(1-EXP(-LN(2)/25))/(LN(2)/25)*Calculateur!AQ65*Calculateur!AS65*VLOOKUP('Données projet'!$B$10,Paramètres!$A$1:$I$89,3,0)*0.475*44/12</f>
        <v>27.643106078346197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276.2360636924879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228.00000000000026</v>
      </c>
      <c r="BE65" s="13">
        <f>BD65*VLOOKUP('Données projet'!$B$11,Paramètres!$A$1:$I$89,3,0)*VLOOKUP('Données projet'!$B$11,Paramètres!$A$1:$I$89,5,0)</f>
        <v>199.18080000000023</v>
      </c>
      <c r="BF65" s="13">
        <f t="shared" si="37"/>
        <v>49.564089376413726</v>
      </c>
      <c r="BG65" s="20">
        <f t="shared" si="7"/>
        <v>433.23068233058763</v>
      </c>
      <c r="BH65" s="59">
        <f t="shared" si="8"/>
        <v>695.589685290239</v>
      </c>
      <c r="BI65" s="59">
        <f ca="1">AVERAGE(OFFSET($BH$3,0,0,'Données projet'!$E$11+1,1))-AVERAGE(OFFSET($H$3,0,0,'Données projet'!$E$11+1,1))</f>
        <v>341.62910675299065</v>
      </c>
      <c r="BJ65" s="59">
        <f t="shared" si="38"/>
        <v>407.15938341104709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50.505935138348917</v>
      </c>
      <c r="BR65" s="21">
        <f>EXP(-LN(2)/2)*BR64+(1-EXP(-LN(2)/2))/(LN(2)/2)*BL65*BO65*VLOOKUP('Données projet'!$B$11,Paramètres!$A$1:$I$89,3,0)*0.475*44/12</f>
        <v>1.3353912697025911</v>
      </c>
      <c r="BS65" s="22">
        <f t="shared" si="9"/>
        <v>51.841326408051508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14.8</v>
      </c>
      <c r="N66" s="13">
        <f>IF('Données projet'!$A$36&gt;35,N65+M66-V65,IF(A66&lt;'Données projet'!$A$36,$K$205^A66,IF(A66='Données projet'!$A$36,'Données projet'!$B$36,N65+M66-V65)))</f>
        <v>670.40000000000043</v>
      </c>
      <c r="O66" s="13">
        <f>N66*VLOOKUP('Données projet'!$B$9,Paramètres!$A$1:$I$89,3,0)*VLOOKUP('Données projet'!$B$9,Paramètres!$A$1:$I$89,5,0)</f>
        <v>374.75360000000023</v>
      </c>
      <c r="P66" s="13">
        <f t="shared" si="33"/>
        <v>86.639086725921956</v>
      </c>
      <c r="Q66" s="20">
        <f t="shared" si="53"/>
        <v>803.59226271431453</v>
      </c>
      <c r="R66" s="59">
        <f t="shared" si="0"/>
        <v>1066.4886010577206</v>
      </c>
      <c r="S66" s="59">
        <f ca="1">AVERAGE(OFFSET($R$3,0,0,'Données projet'!$E$9+1,1))-AVERAGE(OFFSET($H$3,0,0,'Données projet'!$E$9+1,1))</f>
        <v>507.66185230065889</v>
      </c>
      <c r="T66" s="59">
        <f t="shared" si="34"/>
        <v>640.14375617778342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53.32188495321406</v>
      </c>
      <c r="AA66" s="21">
        <f>EXP(-LN(2)/25)*AA65+(1-EXP(-LN(2)/25))/(LN(2)/25)*Calculateur!V66*Calculateur!X66*VLOOKUP('Données projet'!$B$9,Paramètres!$A$1:$I$89,3,0)*0.475*44/12</f>
        <v>23.482675963180377</v>
      </c>
      <c r="AB66" s="21">
        <f>EXP(-LN(2)/2)*AB65+(1-EXP(-LN(2)/2))/(LN(2)/2)*V66*Y66*VLOOKUP('Données projet'!$B$9,Paramètres!$A$1:$I$89,3,0)*0.475*44/12</f>
        <v>9.9499736683833148E-3</v>
      </c>
      <c r="AC66" s="22">
        <f t="shared" si="3"/>
        <v>76.81451089006282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-3.4106051316484809E-13</v>
      </c>
      <c r="AJ66" s="13">
        <f>AI66*VLOOKUP('Données projet'!$B$10,Paramètres!$A$1:$I$89,3,0)*VLOOKUP('Données projet'!$B$10,Paramètres!$A$1:$I$89,5,0)</f>
        <v>-1.5961632016114892E-13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332.74717458063787</v>
      </c>
      <c r="AO66" s="59">
        <f t="shared" si="36"/>
        <v>408.69087885751878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243.71820134206061</v>
      </c>
      <c r="AV66" s="21">
        <f>EXP(-LN(2)/25)*AV65+(1-EXP(-LN(2)/25))/(LN(2)/25)*Calculateur!AQ66*Calculateur!AS66*VLOOKUP('Données projet'!$B$10,Paramètres!$A$1:$I$89,3,0)*0.475*44/12</f>
        <v>26.887203888946051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270.60540523100667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234.00000000000026</v>
      </c>
      <c r="BE66" s="13">
        <f>BD66*VLOOKUP('Données projet'!$B$11,Paramètres!$A$1:$I$89,3,0)*VLOOKUP('Données projet'!$B$11,Paramètres!$A$1:$I$89,5,0)</f>
        <v>204.42240000000027</v>
      </c>
      <c r="BF66" s="13">
        <f t="shared" si="37"/>
        <v>50.714836797527354</v>
      </c>
      <c r="BG66" s="20">
        <f t="shared" si="7"/>
        <v>444.36402075569396</v>
      </c>
      <c r="BH66" s="59">
        <f t="shared" si="8"/>
        <v>707.26035909910001</v>
      </c>
      <c r="BI66" s="59">
        <f ca="1">AVERAGE(OFFSET($BH$3,0,0,'Données projet'!$E$11+1,1))-AVERAGE(OFFSET($H$3,0,0,'Données projet'!$E$11+1,1))</f>
        <v>341.62910675299065</v>
      </c>
      <c r="BJ66" s="59">
        <f t="shared" si="38"/>
        <v>407.15938341104709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49.124847685999072</v>
      </c>
      <c r="BR66" s="21">
        <f>EXP(-LN(2)/2)*BR65+(1-EXP(-LN(2)/2))/(LN(2)/2)*BL66*BO66*VLOOKUP('Données projet'!$B$11,Paramètres!$A$1:$I$89,3,0)*0.475*44/12</f>
        <v>0.94426422234401608</v>
      </c>
      <c r="BS66" s="22">
        <f t="shared" si="9"/>
        <v>50.069111908343089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14.8</v>
      </c>
      <c r="N67" s="13">
        <f>IF('Données projet'!$A$36&gt;35,N66+M67-V66,IF(A67&lt;'Données projet'!$A$36,$K$205^A67,IF(A67='Données projet'!$A$36,'Données projet'!$B$36,N66+M67-V66)))</f>
        <v>685.20000000000039</v>
      </c>
      <c r="O67" s="13">
        <f>N67*VLOOKUP('Données projet'!$B$9,Paramètres!$A$1:$I$89,3,0)*VLOOKUP('Données projet'!$B$9,Paramètres!$A$1:$I$89,5,0)</f>
        <v>383.02680000000021</v>
      </c>
      <c r="P67" s="13">
        <f t="shared" si="33"/>
        <v>88.326974082384154</v>
      </c>
      <c r="Q67" s="20">
        <f t="shared" ref="Q67:Q98" si="54">(O67+P67)*0.475*44/12</f>
        <v>820.94115652681933</v>
      </c>
      <c r="R67" s="59">
        <f t="shared" ref="R67:R130" si="55">Q67+(I67+J67)*44/12</f>
        <v>1084.3655086863741</v>
      </c>
      <c r="S67" s="59">
        <f ca="1">AVERAGE(OFFSET($R$3,0,0,'Données projet'!$E$9+1,1))-AVERAGE(OFFSET($H$3,0,0,'Données projet'!$E$9+1,1))</f>
        <v>507.66185230065889</v>
      </c>
      <c r="T67" s="59">
        <f t="shared" si="34"/>
        <v>640.14375617778342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52.276275312419962</v>
      </c>
      <c r="AA67" s="21">
        <f>EXP(-LN(2)/25)*AA66+(1-EXP(-LN(2)/25))/(LN(2)/25)*Calculateur!V67*Calculateur!X67*VLOOKUP('Données projet'!$B$9,Paramètres!$A$1:$I$89,3,0)*0.475*44/12</f>
        <v>22.840540954066952</v>
      </c>
      <c r="AB67" s="21">
        <f>EXP(-LN(2)/2)*AB66+(1-EXP(-LN(2)/2))/(LN(2)/2)*V67*Y67*VLOOKUP('Données projet'!$B$9,Paramètres!$A$1:$I$89,3,0)*0.475*44/12</f>
        <v>7.0356938535414302E-3</v>
      </c>
      <c r="AC67" s="22">
        <f t="shared" si="3"/>
        <v>75.12385196034046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-3.4106051316484809E-13</v>
      </c>
      <c r="AJ67" s="13">
        <f>AI67*VLOOKUP('Données projet'!$B$10,Paramètres!$A$1:$I$89,3,0)*VLOOKUP('Données projet'!$B$10,Paramètres!$A$1:$I$89,5,0)</f>
        <v>-1.5961632016114892E-13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332.74717458063787</v>
      </c>
      <c r="AO67" s="59">
        <f t="shared" si="36"/>
        <v>408.69087885751878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238.93903606716731</v>
      </c>
      <c r="AV67" s="21">
        <f>EXP(-LN(2)/25)*AV66+(1-EXP(-LN(2)/25))/(LN(2)/25)*Calculateur!AQ67*Calculateur!AS67*VLOOKUP('Données projet'!$B$10,Paramètres!$A$1:$I$89,3,0)*0.475*44/12</f>
        <v>26.151971884666221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265.09100795183355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240.00000000000026</v>
      </c>
      <c r="BE67" s="13">
        <f>BD67*VLOOKUP('Données projet'!$B$11,Paramètres!$A$1:$I$89,3,0)*VLOOKUP('Données projet'!$B$11,Paramètres!$A$1:$I$89,5,0)</f>
        <v>209.66400000000024</v>
      </c>
      <c r="BF67" s="13">
        <f t="shared" si="37"/>
        <v>51.862154403304579</v>
      </c>
      <c r="BG67" s="20">
        <f t="shared" si="7"/>
        <v>455.49138558575584</v>
      </c>
      <c r="BH67" s="59">
        <f t="shared" si="8"/>
        <v>718.91573774531059</v>
      </c>
      <c r="BI67" s="59">
        <f ca="1">AVERAGE(OFFSET($BH$3,0,0,'Données projet'!$E$11+1,1))-AVERAGE(OFFSET($H$3,0,0,'Données projet'!$E$11+1,1))</f>
        <v>341.62910675299065</v>
      </c>
      <c r="BJ67" s="59">
        <f t="shared" si="38"/>
        <v>407.15938341104709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47.781526142661967</v>
      </c>
      <c r="BR67" s="21">
        <f>EXP(-LN(2)/2)*BR66+(1-EXP(-LN(2)/2))/(LN(2)/2)*BL67*BO67*VLOOKUP('Données projet'!$B$11,Paramètres!$A$1:$I$89,3,0)*0.475*44/12</f>
        <v>0.66769563485129568</v>
      </c>
      <c r="BS67" s="22">
        <f t="shared" si="9"/>
        <v>48.449221777513266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700</v>
      </c>
      <c r="L68" s="12">
        <f>VLOOKUP(A68,'Données projet'!$A$35:$I$55,9,0)</f>
        <v>14.8</v>
      </c>
      <c r="M68" s="12">
        <f t="array" ref="M68">INDEX(L:L,MIN(IF(ISNUMBER(L68:L264),ROW(L68:L264),"")))</f>
        <v>14.8</v>
      </c>
      <c r="N68" s="13">
        <f>IF('Données projet'!$A$36&gt;35,N67+M68-V67,IF(A68&lt;'Données projet'!$A$36,$K$205^A68,IF(A68='Données projet'!$A$36,'Données projet'!$B$36,N67+M68-V67)))</f>
        <v>700.00000000000034</v>
      </c>
      <c r="O68" s="13">
        <f>N68*VLOOKUP('Données projet'!$B$9,Paramètres!$A$1:$I$89,3,0)*VLOOKUP('Données projet'!$B$9,Paramètres!$A$1:$I$89,5,0)</f>
        <v>391.30000000000018</v>
      </c>
      <c r="P68" s="13">
        <f t="shared" si="33"/>
        <v>90.01062275853478</v>
      </c>
      <c r="Q68" s="20">
        <f t="shared" si="54"/>
        <v>838.28266797111507</v>
      </c>
      <c r="R68" s="59">
        <f t="shared" si="55"/>
        <v>1102.2258740875702</v>
      </c>
      <c r="S68" s="59">
        <f ca="1">AVERAGE(OFFSET($R$3,0,0,'Données projet'!$E$9+1,1))-AVERAGE(OFFSET($H$3,0,0,'Données projet'!$E$9+1,1))</f>
        <v>507.66185230065889</v>
      </c>
      <c r="T68" s="59">
        <f t="shared" si="34"/>
        <v>640.14375617778342</v>
      </c>
      <c r="U68" s="15" t="str">
        <f>IF(ISNA(VLOOKUP(A68,'Données projet'!$A$35:$I$55,3,0)),0,VLOOKUP(A68,'Données projet'!$A$35:$I$55,3,0))</f>
        <v>CR</v>
      </c>
      <c r="V68" s="15">
        <f>IF(ISNA(VLOOKUP(A68,'Données projet'!$A$35:$I$55,4,0)),0,VLOOKUP(A68,'Données projet'!$A$35:$I$55,4,0))</f>
        <v>700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336.74773871634363</v>
      </c>
      <c r="AA68" s="21">
        <f>EXP(-LN(2)/25)*AA67+(1-EXP(-LN(2)/25))/(LN(2)/25)*Calculateur!V68*Calculateur!X68*VLOOKUP('Données projet'!$B$9,Paramètres!$A$1:$I$89,3,0)*0.475*44/12</f>
        <v>22.215965160546144</v>
      </c>
      <c r="AB68" s="21">
        <f>EXP(-LN(2)/2)*AB67+(1-EXP(-LN(2)/2))/(LN(2)/2)*V68*Y68*VLOOKUP('Données projet'!$B$9,Paramètres!$A$1:$I$89,3,0)*0.475*44/12</f>
        <v>4.9749868341916574E-3</v>
      </c>
      <c r="AC68" s="22">
        <f t="shared" ref="AC68:AC131" si="57">SUM(Z68:AB68)</f>
        <v>358.96867886372399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-3.4106051316484809E-13</v>
      </c>
      <c r="AJ68" s="13">
        <f>AI68*VLOOKUP('Données projet'!$B$10,Paramètres!$A$1:$I$89,3,0)*VLOOKUP('Données projet'!$B$10,Paramètres!$A$1:$I$89,5,0)</f>
        <v>-1.5961632016114892E-13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332.74717458063787</v>
      </c>
      <c r="AO68" s="59">
        <f t="shared" si="36"/>
        <v>408.69087885751878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234.25358730831169</v>
      </c>
      <c r="AV68" s="21">
        <f>EXP(-LN(2)/25)*AV67+(1-EXP(-LN(2)/25))/(LN(2)/25)*Calculateur!AQ68*Calculateur!AS68*VLOOKUP('Données projet'!$B$10,Paramètres!$A$1:$I$89,3,0)*0.475*44/12</f>
        <v>25.436844838207591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259.6904321465193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246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246.00000000000026</v>
      </c>
      <c r="BE68" s="13">
        <f>BD68*VLOOKUP('Données projet'!$B$11,Paramètres!$A$1:$I$89,3,0)*VLOOKUP('Données projet'!$B$11,Paramètres!$A$1:$I$89,5,0)</f>
        <v>214.90560000000025</v>
      </c>
      <c r="BF68" s="13">
        <f t="shared" si="37"/>
        <v>53.006137800892375</v>
      </c>
      <c r="BG68" s="20">
        <f t="shared" ref="BG68:BG131" si="61">(BE68+BF68)*0.475*44/12</f>
        <v>466.61294333655468</v>
      </c>
      <c r="BH68" s="59">
        <f t="shared" ref="BH68:BH131" si="62">BG68+(AY68+AZ68)*44/12</f>
        <v>730.55614945300988</v>
      </c>
      <c r="BI68" s="59">
        <f ca="1">AVERAGE(OFFSET($BH$3,0,0,'Données projet'!$E$11+1,1))-AVERAGE(OFFSET($H$3,0,0,'Données projet'!$E$11+1,1))</f>
        <v>341.62910675299065</v>
      </c>
      <c r="BJ68" s="59">
        <f t="shared" si="38"/>
        <v>407.15938341104709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23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0.38700000000000001</v>
      </c>
      <c r="BO68" s="16">
        <f>IF(ISNA(VLOOKUP(A68,'Données projet'!$A$87:$I$107,7,0)),0%,VLOOKUP(A68,'Données projet'!$A$87:$I$107,7,0))</f>
        <v>0.1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55.037134062849773</v>
      </c>
      <c r="BR68" s="21">
        <f>EXP(-LN(2)/2)*BR67+(1-EXP(-LN(2)/2))/(LN(2)/2)*BL68*BO68*VLOOKUP('Données projet'!$B$11,Paramètres!$A$1:$I$89,3,0)*0.475*44/12</f>
        <v>2.367941870150323</v>
      </c>
      <c r="BS68" s="22">
        <f t="shared" ref="BS68:BS131" si="63">SUM(BP68:BR68)</f>
        <v>57.405075933000099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1.9065282685915009E-13</v>
      </c>
      <c r="P69" s="13">
        <f t="shared" ref="P69:P132" si="87">EXP(-1.0587+0.8836*LN(O69)+0.284)</f>
        <v>2.6568987209435707E-12</v>
      </c>
      <c r="Q69" s="20">
        <f t="shared" si="54"/>
        <v>4.959485612423072E-12</v>
      </c>
      <c r="R69" s="59">
        <f t="shared" si="55"/>
        <v>264.45305911719203</v>
      </c>
      <c r="S69" s="59">
        <f ca="1">AVERAGE(OFFSET($R$3,0,0,'Données projet'!$E$9+1,1))-AVERAGE(OFFSET($H$3,0,0,'Données projet'!$E$9+1,1))</f>
        <v>507.66185230065889</v>
      </c>
      <c r="T69" s="59">
        <f t="shared" ref="T69:T132" si="88">$T$3</f>
        <v>640.14375617778342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330.14432095595561</v>
      </c>
      <c r="AA69" s="21">
        <f>EXP(-LN(2)/25)*AA68+(1-EXP(-LN(2)/25))/(LN(2)/25)*Calculateur!V69*Calculateur!X69*VLOOKUP('Données projet'!$B$9,Paramètres!$A$1:$I$89,3,0)*0.475*44/12</f>
        <v>21.608468424944178</v>
      </c>
      <c r="AB69" s="21">
        <f>EXP(-LN(2)/2)*AB68+(1-EXP(-LN(2)/2))/(LN(2)/2)*V69*Y69*VLOOKUP('Données projet'!$B$9,Paramètres!$A$1:$I$89,3,0)*0.475*44/12</f>
        <v>3.5178469267707151E-3</v>
      </c>
      <c r="AC69" s="22">
        <f t="shared" si="57"/>
        <v>351.7563072278266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-3.4106051316484809E-13</v>
      </c>
      <c r="AJ69" s="13">
        <f>AI69*VLOOKUP('Données projet'!$B$10,Paramètres!$A$1:$I$89,3,0)*VLOOKUP('Données projet'!$B$10,Paramètres!$A$1:$I$89,5,0)</f>
        <v>-1.5961632016114892E-13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332.74717458063787</v>
      </c>
      <c r="AO69" s="59">
        <f t="shared" ref="AO69:AO132" si="90">$AO$3</f>
        <v>408.69087885751878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229.66001734177567</v>
      </c>
      <c r="AV69" s="21">
        <f>EXP(-LN(2)/25)*AV68+(1-EXP(-LN(2)/25))/(LN(2)/25)*Calculateur!AQ69*Calculateur!AS69*VLOOKUP('Données projet'!$B$10,Paramètres!$A$1:$I$89,3,0)*0.475*44/12</f>
        <v>24.74127297844127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254.40129032021693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228.20000000000024</v>
      </c>
      <c r="BE69" s="13">
        <f>BD69*VLOOKUP('Données projet'!$B$11,Paramètres!$A$1:$I$89,3,0)*VLOOKUP('Données projet'!$B$11,Paramètres!$A$1:$I$89,5,0)</f>
        <v>199.35552000000024</v>
      </c>
      <c r="BF69" s="13">
        <f t="shared" ref="BF69:BF132" si="91">EXP(-1.0587+0.8836*LN(BE69)+0.284)</f>
        <v>49.602503932783272</v>
      </c>
      <c r="BG69" s="20">
        <f t="shared" si="61"/>
        <v>433.60189168293124</v>
      </c>
      <c r="BH69" s="59">
        <f t="shared" si="62"/>
        <v>698.05495080011838</v>
      </c>
      <c r="BI69" s="59">
        <f ca="1">AVERAGE(OFFSET($BH$3,0,0,'Données projet'!$E$11+1,1))-AVERAGE(OFFSET($H$3,0,0,'Données projet'!$E$11+1,1))</f>
        <v>341.62910675299065</v>
      </c>
      <c r="BJ69" s="59">
        <f t="shared" ref="BJ69:BJ132" si="92">$BJ$3</f>
        <v>407.15938341104709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53.532140737624054</v>
      </c>
      <c r="BR69" s="21">
        <f>EXP(-LN(2)/2)*BR68+(1-EXP(-LN(2)/2))/(LN(2)/2)*BL69*BO69*VLOOKUP('Données projet'!$B$11,Paramètres!$A$1:$I$89,3,0)*0.475*44/12</f>
        <v>1.6743877538388487</v>
      </c>
      <c r="BS69" s="22">
        <f t="shared" si="63"/>
        <v>55.206528491462905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1.9065282685915009E-13</v>
      </c>
      <c r="P70" s="13">
        <f t="shared" si="87"/>
        <v>2.6568987209435707E-12</v>
      </c>
      <c r="Q70" s="20">
        <f t="shared" si="54"/>
        <v>4.959485612423072E-12</v>
      </c>
      <c r="R70" s="59">
        <f t="shared" si="55"/>
        <v>264.95406730822185</v>
      </c>
      <c r="S70" s="59">
        <f ca="1">AVERAGE(OFFSET($R$3,0,0,'Données projet'!$E$9+1,1))-AVERAGE(OFFSET($H$3,0,0,'Données projet'!$E$9+1,1))</f>
        <v>507.66185230065889</v>
      </c>
      <c r="T70" s="59">
        <f t="shared" si="88"/>
        <v>640.14375617778342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323.67039219016164</v>
      </c>
      <c r="AA70" s="21">
        <f>EXP(-LN(2)/25)*AA69+(1-EXP(-LN(2)/25))/(LN(2)/25)*Calculateur!V70*Calculateur!X70*VLOOKUP('Données projet'!$B$9,Paramètres!$A$1:$I$89,3,0)*0.475*44/12</f>
        <v>21.017583719524112</v>
      </c>
      <c r="AB70" s="21">
        <f>EXP(-LN(2)/2)*AB69+(1-EXP(-LN(2)/2))/(LN(2)/2)*V70*Y70*VLOOKUP('Données projet'!$B$9,Paramètres!$A$1:$I$89,3,0)*0.475*44/12</f>
        <v>2.4874934170958287E-3</v>
      </c>
      <c r="AC70" s="22">
        <f t="shared" si="57"/>
        <v>344.69046340310285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-3.4106051316484809E-13</v>
      </c>
      <c r="AJ70" s="13">
        <f>AI70*VLOOKUP('Données projet'!$B$10,Paramètres!$A$1:$I$89,3,0)*VLOOKUP('Données projet'!$B$10,Paramètres!$A$1:$I$89,5,0)</f>
        <v>-1.5961632016114892E-13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332.74717458063787</v>
      </c>
      <c r="AO70" s="59">
        <f t="shared" si="90"/>
        <v>408.69087885751878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225.1565244804824</v>
      </c>
      <c r="AV70" s="21">
        <f>EXP(-LN(2)/25)*AV69+(1-EXP(-LN(2)/25))/(LN(2)/25)*Calculateur!AQ70*Calculateur!AS70*VLOOKUP('Données projet'!$B$10,Paramètres!$A$1:$I$89,3,0)*0.475*44/12</f>
        <v>24.064721567758795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249.2212460482412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233.40000000000023</v>
      </c>
      <c r="BE70" s="13">
        <f>BD70*VLOOKUP('Données projet'!$B$11,Paramètres!$A$1:$I$89,3,0)*VLOOKUP('Données projet'!$B$11,Paramètres!$A$1:$I$89,5,0)</f>
        <v>203.89824000000024</v>
      </c>
      <c r="BF70" s="13">
        <f t="shared" si="91"/>
        <v>50.599918019430255</v>
      </c>
      <c r="BG70" s="20">
        <f t="shared" si="61"/>
        <v>443.25095855050807</v>
      </c>
      <c r="BH70" s="59">
        <f t="shared" si="62"/>
        <v>708.20502585872498</v>
      </c>
      <c r="BI70" s="59">
        <f ca="1">AVERAGE(OFFSET($BH$3,0,0,'Données projet'!$E$11+1,1))-AVERAGE(OFFSET($H$3,0,0,'Données projet'!$E$11+1,1))</f>
        <v>341.62910675299065</v>
      </c>
      <c r="BJ70" s="59">
        <f t="shared" si="92"/>
        <v>407.15938341104709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52.06830153402079</v>
      </c>
      <c r="BR70" s="21">
        <f>EXP(-LN(2)/2)*BR69+(1-EXP(-LN(2)/2))/(LN(2)/2)*BL70*BO70*VLOOKUP('Données projet'!$B$11,Paramètres!$A$1:$I$89,3,0)*0.475*44/12</f>
        <v>1.1839709350751617</v>
      </c>
      <c r="BS70" s="22">
        <f t="shared" si="63"/>
        <v>53.252272469095949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1.9065282685915009E-13</v>
      </c>
      <c r="P71" s="13">
        <f t="shared" si="87"/>
        <v>2.6568987209435707E-12</v>
      </c>
      <c r="Q71" s="20">
        <f t="shared" si="54"/>
        <v>4.959485612423072E-12</v>
      </c>
      <c r="R71" s="59">
        <f t="shared" si="55"/>
        <v>265.44638412722378</v>
      </c>
      <c r="S71" s="59">
        <f ca="1">AVERAGE(OFFSET($R$3,0,0,'Données projet'!$E$9+1,1))-AVERAGE(OFFSET($H$3,0,0,'Données projet'!$E$9+1,1))</f>
        <v>507.66185230065889</v>
      </c>
      <c r="T71" s="59">
        <f t="shared" si="88"/>
        <v>640.14375617778342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317.32341321875828</v>
      </c>
      <c r="AA71" s="21">
        <f>EXP(-LN(2)/25)*AA70+(1-EXP(-LN(2)/25))/(LN(2)/25)*Calculateur!V71*Calculateur!X71*VLOOKUP('Données projet'!$B$9,Paramètres!$A$1:$I$89,3,0)*0.475*44/12</f>
        <v>20.442856787447035</v>
      </c>
      <c r="AB71" s="21">
        <f>EXP(-LN(2)/2)*AB70+(1-EXP(-LN(2)/2))/(LN(2)/2)*V71*Y71*VLOOKUP('Données projet'!$B$9,Paramètres!$A$1:$I$89,3,0)*0.475*44/12</f>
        <v>1.7589234633853576E-3</v>
      </c>
      <c r="AC71" s="22">
        <f t="shared" si="57"/>
        <v>337.76802892966873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-3.4106051316484809E-13</v>
      </c>
      <c r="AJ71" s="13">
        <f>AI71*VLOOKUP('Données projet'!$B$10,Paramètres!$A$1:$I$89,3,0)*VLOOKUP('Données projet'!$B$10,Paramètres!$A$1:$I$89,5,0)</f>
        <v>-1.5961632016114892E-13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332.74717458063787</v>
      </c>
      <c r="AO71" s="59">
        <f t="shared" si="90"/>
        <v>408.69087885751878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220.74134236733968</v>
      </c>
      <c r="AV71" s="21">
        <f>EXP(-LN(2)/25)*AV70+(1-EXP(-LN(2)/25))/(LN(2)/25)*Calculateur!AQ71*Calculateur!AS71*VLOOKUP('Données projet'!$B$10,Paramètres!$A$1:$I$89,3,0)*0.475*44/12</f>
        <v>23.406670490979725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244.14801285831942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238.60000000000022</v>
      </c>
      <c r="BE71" s="13">
        <f>BD71*VLOOKUP('Données projet'!$B$11,Paramètres!$A$1:$I$89,3,0)*VLOOKUP('Données projet'!$B$11,Paramètres!$A$1:$I$89,5,0)</f>
        <v>208.44096000000022</v>
      </c>
      <c r="BF71" s="13">
        <f t="shared" si="91"/>
        <v>51.594748621124261</v>
      </c>
      <c r="BG71" s="20">
        <f t="shared" si="61"/>
        <v>452.89552584845842</v>
      </c>
      <c r="BH71" s="59">
        <f t="shared" si="62"/>
        <v>718.34190997567725</v>
      </c>
      <c r="BI71" s="59">
        <f ca="1">AVERAGE(OFFSET($BH$3,0,0,'Données projet'!$E$11+1,1))-AVERAGE(OFFSET($H$3,0,0,'Données projet'!$E$11+1,1))</f>
        <v>341.62910675299065</v>
      </c>
      <c r="BJ71" s="59">
        <f t="shared" si="92"/>
        <v>407.15938341104709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50.644491090420019</v>
      </c>
      <c r="BR71" s="21">
        <f>EXP(-LN(2)/2)*BR70+(1-EXP(-LN(2)/2))/(LN(2)/2)*BL71*BO71*VLOOKUP('Données projet'!$B$11,Paramètres!$A$1:$I$89,3,0)*0.475*44/12</f>
        <v>0.83719387691942448</v>
      </c>
      <c r="BS71" s="22">
        <f t="shared" si="63"/>
        <v>51.48168496733944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1.9065282685915009E-13</v>
      </c>
      <c r="P72" s="13">
        <f t="shared" si="87"/>
        <v>2.6568987209435707E-12</v>
      </c>
      <c r="Q72" s="20">
        <f t="shared" si="54"/>
        <v>4.959485612423072E-12</v>
      </c>
      <c r="R72" s="59">
        <f t="shared" si="55"/>
        <v>265.9301603500715</v>
      </c>
      <c r="S72" s="59">
        <f ca="1">AVERAGE(OFFSET($R$3,0,0,'Données projet'!$E$9+1,1))-AVERAGE(OFFSET($H$3,0,0,'Données projet'!$E$9+1,1))</f>
        <v>507.66185230065889</v>
      </c>
      <c r="T72" s="59">
        <f t="shared" si="88"/>
        <v>640.14375617778342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311.10089463370917</v>
      </c>
      <c r="AA72" s="21">
        <f>EXP(-LN(2)/25)*AA71+(1-EXP(-LN(2)/25))/(LN(2)/25)*Calculateur!V72*Calculateur!X72*VLOOKUP('Données projet'!$B$9,Paramètres!$A$1:$I$89,3,0)*0.475*44/12</f>
        <v>19.883845793551181</v>
      </c>
      <c r="AB72" s="21">
        <f>EXP(-LN(2)/2)*AB71+(1-EXP(-LN(2)/2))/(LN(2)/2)*V72*Y72*VLOOKUP('Données projet'!$B$9,Paramètres!$A$1:$I$89,3,0)*0.475*44/12</f>
        <v>1.2437467085479144E-3</v>
      </c>
      <c r="AC72" s="22">
        <f t="shared" si="57"/>
        <v>330.98598417396892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-3.4106051316484809E-13</v>
      </c>
      <c r="AJ72" s="13">
        <f>AI72*VLOOKUP('Données projet'!$B$10,Paramètres!$A$1:$I$89,3,0)*VLOOKUP('Données projet'!$B$10,Paramètres!$A$1:$I$89,5,0)</f>
        <v>-1.5961632016114892E-13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332.74717458063787</v>
      </c>
      <c r="AO72" s="59">
        <f t="shared" si="90"/>
        <v>408.69087885751878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216.4127392824405</v>
      </c>
      <c r="AV72" s="21">
        <f>EXP(-LN(2)/25)*AV71+(1-EXP(-LN(2)/25))/(LN(2)/25)*Calculateur!AQ72*Calculateur!AS72*VLOOKUP('Données projet'!$B$10,Paramètres!$A$1:$I$89,3,0)*0.475*44/12</f>
        <v>22.76661385550058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239.17935313794106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243.80000000000021</v>
      </c>
      <c r="BE72" s="13">
        <f>BD72*VLOOKUP('Données projet'!$B$11,Paramètres!$A$1:$I$89,3,0)*VLOOKUP('Données projet'!$B$11,Paramètres!$A$1:$I$89,5,0)</f>
        <v>212.98368000000022</v>
      </c>
      <c r="BF72" s="13">
        <f t="shared" si="91"/>
        <v>52.587058525970413</v>
      </c>
      <c r="BG72" s="20">
        <f t="shared" si="61"/>
        <v>462.53570293273214</v>
      </c>
      <c r="BH72" s="59">
        <f t="shared" si="62"/>
        <v>728.46586328279864</v>
      </c>
      <c r="BI72" s="59">
        <f ca="1">AVERAGE(OFFSET($BH$3,0,0,'Données projet'!$E$11+1,1))-AVERAGE(OFFSET($H$3,0,0,'Données projet'!$E$11+1,1))</f>
        <v>341.62910675299065</v>
      </c>
      <c r="BJ72" s="59">
        <f t="shared" si="92"/>
        <v>407.15938341104709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49.259614818274443</v>
      </c>
      <c r="BR72" s="21">
        <f>EXP(-LN(2)/2)*BR71+(1-EXP(-LN(2)/2))/(LN(2)/2)*BL72*BO72*VLOOKUP('Données projet'!$B$11,Paramètres!$A$1:$I$89,3,0)*0.475*44/12</f>
        <v>0.59198546753758097</v>
      </c>
      <c r="BS72" s="22">
        <f t="shared" si="63"/>
        <v>49.851600285812026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1.9065282685915009E-13</v>
      </c>
      <c r="P73" s="13">
        <f t="shared" si="87"/>
        <v>2.6568987209435707E-12</v>
      </c>
      <c r="Q73" s="20">
        <f t="shared" si="54"/>
        <v>4.959485612423072E-12</v>
      </c>
      <c r="R73" s="59">
        <f t="shared" si="55"/>
        <v>266.40554413701443</v>
      </c>
      <c r="S73" s="59">
        <f ca="1">AVERAGE(OFFSET($R$3,0,0,'Données projet'!$E$9+1,1))-AVERAGE(OFFSET($H$3,0,0,'Données projet'!$E$9+1,1))</f>
        <v>507.66185230065889</v>
      </c>
      <c r="T73" s="59">
        <f t="shared" si="88"/>
        <v>640.14375617778342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305.00039584275135</v>
      </c>
      <c r="AA73" s="21">
        <f>EXP(-LN(2)/25)*AA72+(1-EXP(-LN(2)/25))/(LN(2)/25)*Calculateur!V73*Calculateur!X73*VLOOKUP('Données projet'!$B$9,Paramètres!$A$1:$I$89,3,0)*0.475*44/12</f>
        <v>19.340120984680517</v>
      </c>
      <c r="AB73" s="21">
        <f>EXP(-LN(2)/2)*AB72+(1-EXP(-LN(2)/2))/(LN(2)/2)*V73*Y73*VLOOKUP('Données projet'!$B$9,Paramètres!$A$1:$I$89,3,0)*0.475*44/12</f>
        <v>8.7946173169267878E-4</v>
      </c>
      <c r="AC73" s="22">
        <f t="shared" si="57"/>
        <v>324.34139628916358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-3.4106051316484809E-13</v>
      </c>
      <c r="AJ73" s="13">
        <f>AI73*VLOOKUP('Données projet'!$B$10,Paramètres!$A$1:$I$89,3,0)*VLOOKUP('Données projet'!$B$10,Paramètres!$A$1:$I$89,5,0)</f>
        <v>-1.5961632016114892E-13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332.74717458063787</v>
      </c>
      <c r="AO73" s="59">
        <f t="shared" si="90"/>
        <v>408.69087885751878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212.169017463849</v>
      </c>
      <c r="AV73" s="21">
        <f>EXP(-LN(2)/25)*AV72+(1-EXP(-LN(2)/25))/(LN(2)/25)*Calculateur!AQ73*Calculateur!AS73*VLOOKUP('Données projet'!$B$10,Paramètres!$A$1:$I$89,3,0)*0.475*44/12</f>
        <v>22.144059602377727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234.31307706622673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249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249.0000000000002</v>
      </c>
      <c r="BE73" s="13">
        <f>BD73*VLOOKUP('Données projet'!$B$11,Paramètres!$A$1:$I$89,3,0)*VLOOKUP('Données projet'!$B$11,Paramètres!$A$1:$I$89,5,0)</f>
        <v>217.52640000000019</v>
      </c>
      <c r="BF73" s="13">
        <f t="shared" si="91"/>
        <v>53.576907690651304</v>
      </c>
      <c r="BG73" s="20">
        <f t="shared" si="61"/>
        <v>472.17159422788467</v>
      </c>
      <c r="BH73" s="59">
        <f t="shared" si="62"/>
        <v>738.57713836489415</v>
      </c>
      <c r="BI73" s="59">
        <f ca="1">AVERAGE(OFFSET($BH$3,0,0,'Données projet'!$E$11+1,1))-AVERAGE(OFFSET($H$3,0,0,'Données projet'!$E$11+1,1))</f>
        <v>341.62910675299065</v>
      </c>
      <c r="BJ73" s="59">
        <f t="shared" si="92"/>
        <v>407.15938341104709</v>
      </c>
      <c r="BK73" s="15" t="str">
        <f>IF(ISNA(VLOOKUP(A73,'Données projet'!$A$87:$I$107,3,0)),0,VLOOKUP(A73,'Données projet'!$A$87:$I$107,3,0))</f>
        <v>CR</v>
      </c>
      <c r="BL73" s="15">
        <f>IF(ISNA(VLOOKUP(A73,'Données projet'!$A$87:$I$107,4,0)),0,VLOOKUP(A73,'Données projet'!$A$87:$I$107,4,0))</f>
        <v>249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103.40166654556764</v>
      </c>
      <c r="BQ73" s="21">
        <f>EXP(-LN(2)/25)*BQ72+(1-EXP(-LN(2)/25))/(LN(2)/25)*Calculateur!BL73*Calculateur!BN73*VLOOKUP('Données projet'!$B$11,Paramètres!$A$1:$I$89,3,0)*0.475*44/12</f>
        <v>47.912608060618169</v>
      </c>
      <c r="BR73" s="21">
        <f>EXP(-LN(2)/2)*BR72+(1-EXP(-LN(2)/2))/(LN(2)/2)*BL73*BO73*VLOOKUP('Données projet'!$B$11,Paramètres!$A$1:$I$89,3,0)*0.475*44/12</f>
        <v>0.41859693845971235</v>
      </c>
      <c r="BS73" s="22">
        <f t="shared" si="63"/>
        <v>151.73287154464549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1.9065282685915009E-13</v>
      </c>
      <c r="P74" s="13">
        <f t="shared" si="87"/>
        <v>2.6568987209435707E-12</v>
      </c>
      <c r="Q74" s="20">
        <f t="shared" si="54"/>
        <v>4.959485612423072E-12</v>
      </c>
      <c r="R74" s="59">
        <f t="shared" si="55"/>
        <v>266.87268107805289</v>
      </c>
      <c r="S74" s="59">
        <f ca="1">AVERAGE(OFFSET($R$3,0,0,'Données projet'!$E$9+1,1))-AVERAGE(OFFSET($H$3,0,0,'Données projet'!$E$9+1,1))</f>
        <v>507.66185230065889</v>
      </c>
      <c r="T74" s="59">
        <f t="shared" si="88"/>
        <v>640.14375617778342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299.01952411214734</v>
      </c>
      <c r="AA74" s="21">
        <f>EXP(-LN(2)/25)*AA73+(1-EXP(-LN(2)/25))/(LN(2)/25)*Calculateur!V74*Calculateur!X74*VLOOKUP('Données projet'!$B$9,Paramètres!$A$1:$I$89,3,0)*0.475*44/12</f>
        <v>18.811264359301667</v>
      </c>
      <c r="AB74" s="21">
        <f>EXP(-LN(2)/2)*AB73+(1-EXP(-LN(2)/2))/(LN(2)/2)*V74*Y74*VLOOKUP('Données projet'!$B$9,Paramètres!$A$1:$I$89,3,0)*0.475*44/12</f>
        <v>6.2187335427395718E-4</v>
      </c>
      <c r="AC74" s="22">
        <f t="shared" si="57"/>
        <v>317.83141034480326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-3.4106051316484809E-13</v>
      </c>
      <c r="AJ74" s="13">
        <f>AI74*VLOOKUP('Données projet'!$B$10,Paramètres!$A$1:$I$89,3,0)*VLOOKUP('Données projet'!$B$10,Paramètres!$A$1:$I$89,5,0)</f>
        <v>-1.5961632016114892E-13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332.74717458063787</v>
      </c>
      <c r="AO74" s="59">
        <f t="shared" si="90"/>
        <v>408.69087885751878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208.00851244170536</v>
      </c>
      <c r="AV74" s="21">
        <f>EXP(-LN(2)/25)*AV73+(1-EXP(-LN(2)/25))/(LN(2)/25)*Calculateur!AQ74*Calculateur!AS74*VLOOKUP('Données projet'!$B$10,Paramètres!$A$1:$I$89,3,0)*0.475*44/12</f>
        <v>21.538529128045223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229.54704156975058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1.9895196601282805E-13</v>
      </c>
      <c r="BE74" s="13">
        <f>BD74*VLOOKUP('Données projet'!$B$11,Paramètres!$A$1:$I$89,3,0)*VLOOKUP('Données projet'!$B$11,Paramètres!$A$1:$I$89,5,0)</f>
        <v>1.738044375088066E-13</v>
      </c>
      <c r="BF74" s="13">
        <f t="shared" si="91"/>
        <v>2.4483293633950478E-12</v>
      </c>
      <c r="BG74" s="20">
        <f t="shared" si="61"/>
        <v>4.566883036574213E-12</v>
      </c>
      <c r="BH74" s="59">
        <f t="shared" si="62"/>
        <v>266.87268107805249</v>
      </c>
      <c r="BI74" s="59">
        <f ca="1">AVERAGE(OFFSET($BH$3,0,0,'Données projet'!$E$11+1,1))-AVERAGE(OFFSET($H$3,0,0,'Données projet'!$E$11+1,1))</f>
        <v>341.62910675299065</v>
      </c>
      <c r="BJ74" s="59">
        <f t="shared" si="92"/>
        <v>407.15938341104709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101.37402293339812</v>
      </c>
      <c r="BQ74" s="21">
        <f>EXP(-LN(2)/25)*BQ73+(1-EXP(-LN(2)/25))/(LN(2)/25)*Calculateur!BL74*Calculateur!BN74*VLOOKUP('Données projet'!$B$11,Paramètres!$A$1:$I$89,3,0)*0.475*44/12</f>
        <v>46.602435273586011</v>
      </c>
      <c r="BR74" s="21">
        <f>EXP(-LN(2)/2)*BR73+(1-EXP(-LN(2)/2))/(LN(2)/2)*BL74*BO74*VLOOKUP('Données projet'!$B$11,Paramètres!$A$1:$I$89,3,0)*0.475*44/12</f>
        <v>0.29599273376879054</v>
      </c>
      <c r="BS74" s="22">
        <f t="shared" si="63"/>
        <v>148.27245094075295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1.9065282685915009E-13</v>
      </c>
      <c r="P75" s="13">
        <f t="shared" si="87"/>
        <v>2.6568987209435707E-12</v>
      </c>
      <c r="Q75" s="20">
        <f t="shared" si="54"/>
        <v>4.959485612423072E-12</v>
      </c>
      <c r="R75" s="59">
        <f t="shared" si="55"/>
        <v>267.33171423752606</v>
      </c>
      <c r="S75" s="59">
        <f ca="1">AVERAGE(OFFSET($R$3,0,0,'Données projet'!$E$9+1,1))-AVERAGE(OFFSET($H$3,0,0,'Données projet'!$E$9+1,1))</f>
        <v>507.66185230065889</v>
      </c>
      <c r="T75" s="59">
        <f t="shared" si="88"/>
        <v>640.14375617778342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293.15593362820891</v>
      </c>
      <c r="AA75" s="21">
        <f>EXP(-LN(2)/25)*AA74+(1-EXP(-LN(2)/25))/(LN(2)/25)*Calculateur!V75*Calculateur!X75*VLOOKUP('Données projet'!$B$9,Paramètres!$A$1:$I$89,3,0)*0.475*44/12</f>
        <v>18.296869346155162</v>
      </c>
      <c r="AB75" s="21">
        <f>EXP(-LN(2)/2)*AB74+(1-EXP(-LN(2)/2))/(LN(2)/2)*V75*Y75*VLOOKUP('Données projet'!$B$9,Paramètres!$A$1:$I$89,3,0)*0.475*44/12</f>
        <v>4.3973086584633939E-4</v>
      </c>
      <c r="AC75" s="22">
        <f t="shared" si="57"/>
        <v>311.45324270522991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-3.4106051316484809E-13</v>
      </c>
      <c r="AJ75" s="13">
        <f>AI75*VLOOKUP('Données projet'!$B$10,Paramètres!$A$1:$I$89,3,0)*VLOOKUP('Données projet'!$B$10,Paramètres!$A$1:$I$89,5,0)</f>
        <v>-1.5961632016114892E-13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332.74717458063787</v>
      </c>
      <c r="AO75" s="59">
        <f t="shared" si="90"/>
        <v>408.69087885751878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203.92959238538847</v>
      </c>
      <c r="AV75" s="21">
        <f>EXP(-LN(2)/25)*AV74+(1-EXP(-LN(2)/25))/(LN(2)/25)*Calculateur!AQ75*Calculateur!AS75*VLOOKUP('Données projet'!$B$10,Paramètres!$A$1:$I$89,3,0)*0.475*44/12</f>
        <v>20.949556916376807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224.87914930176527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1.9895196601282805E-13</v>
      </c>
      <c r="BE75" s="13">
        <f>BD75*VLOOKUP('Données projet'!$B$11,Paramètres!$A$1:$I$89,3,0)*VLOOKUP('Données projet'!$B$11,Paramètres!$A$1:$I$89,5,0)</f>
        <v>1.738044375088066E-13</v>
      </c>
      <c r="BF75" s="13">
        <f t="shared" si="91"/>
        <v>2.4483293633950478E-12</v>
      </c>
      <c r="BG75" s="20">
        <f t="shared" si="61"/>
        <v>4.566883036574213E-12</v>
      </c>
      <c r="BH75" s="59">
        <f t="shared" si="62"/>
        <v>267.33171423752566</v>
      </c>
      <c r="BI75" s="59">
        <f ca="1">AVERAGE(OFFSET($BH$3,0,0,'Données projet'!$E$11+1,1))-AVERAGE(OFFSET($H$3,0,0,'Données projet'!$E$11+1,1))</f>
        <v>341.62910675299065</v>
      </c>
      <c r="BJ75" s="59">
        <f t="shared" si="92"/>
        <v>407.15938341104709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99.386140175722772</v>
      </c>
      <c r="BQ75" s="21">
        <f>EXP(-LN(2)/25)*BQ74+(1-EXP(-LN(2)/25))/(LN(2)/25)*Calculateur!BL75*Calculateur!BN75*VLOOKUP('Données projet'!$B$11,Paramètres!$A$1:$I$89,3,0)*0.475*44/12</f>
        <v>45.328089230314241</v>
      </c>
      <c r="BR75" s="21">
        <f>EXP(-LN(2)/2)*BR74+(1-EXP(-LN(2)/2))/(LN(2)/2)*BL75*BO75*VLOOKUP('Données projet'!$B$11,Paramètres!$A$1:$I$89,3,0)*0.475*44/12</f>
        <v>0.2092984692298562</v>
      </c>
      <c r="BS75" s="22">
        <f t="shared" si="63"/>
        <v>144.92352787526687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1.9065282685915009E-13</v>
      </c>
      <c r="P76" s="13">
        <f t="shared" si="87"/>
        <v>2.6568987209435707E-12</v>
      </c>
      <c r="Q76" s="20">
        <f t="shared" si="54"/>
        <v>4.959485612423072E-12</v>
      </c>
      <c r="R76" s="59">
        <f t="shared" si="55"/>
        <v>267.78278419792673</v>
      </c>
      <c r="S76" s="59">
        <f ca="1">AVERAGE(OFFSET($R$3,0,0,'Données projet'!$E$9+1,1))-AVERAGE(OFFSET($H$3,0,0,'Données projet'!$E$9+1,1))</f>
        <v>507.66185230065889</v>
      </c>
      <c r="T76" s="59">
        <f t="shared" si="88"/>
        <v>640.14375617778342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287.40732457722351</v>
      </c>
      <c r="AA76" s="21">
        <f>EXP(-LN(2)/25)*AA75+(1-EXP(-LN(2)/25))/(LN(2)/25)*Calculateur!V76*Calculateur!X76*VLOOKUP('Données projet'!$B$9,Paramètres!$A$1:$I$89,3,0)*0.475*44/12</f>
        <v>17.79654049169401</v>
      </c>
      <c r="AB76" s="21">
        <f>EXP(-LN(2)/2)*AB75+(1-EXP(-LN(2)/2))/(LN(2)/2)*V76*Y76*VLOOKUP('Données projet'!$B$9,Paramètres!$A$1:$I$89,3,0)*0.475*44/12</f>
        <v>3.1093667713697859E-4</v>
      </c>
      <c r="AC76" s="22">
        <f t="shared" si="57"/>
        <v>305.20417600559466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-3.4106051316484809E-13</v>
      </c>
      <c r="AJ76" s="13">
        <f>AI76*VLOOKUP('Données projet'!$B$10,Paramètres!$A$1:$I$89,3,0)*VLOOKUP('Données projet'!$B$10,Paramètres!$A$1:$I$89,5,0)</f>
        <v>-1.5961632016114892E-13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332.74717458063787</v>
      </c>
      <c r="AO76" s="59">
        <f t="shared" si="90"/>
        <v>408.69087885751878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199.93065746348037</v>
      </c>
      <c r="AV76" s="21">
        <f>EXP(-LN(2)/25)*AV75+(1-EXP(-LN(2)/25))/(LN(2)/25)*Calculateur!AQ76*Calculateur!AS76*VLOOKUP('Données projet'!$B$10,Paramètres!$A$1:$I$89,3,0)*0.475*44/12</f>
        <v>20.376690180809167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220.30734764428954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1.9895196601282805E-13</v>
      </c>
      <c r="BE76" s="13">
        <f>BD76*VLOOKUP('Données projet'!$B$11,Paramètres!$A$1:$I$89,3,0)*VLOOKUP('Données projet'!$B$11,Paramètres!$A$1:$I$89,5,0)</f>
        <v>1.738044375088066E-13</v>
      </c>
      <c r="BF76" s="13">
        <f t="shared" si="91"/>
        <v>2.4483293633950478E-12</v>
      </c>
      <c r="BG76" s="20">
        <f t="shared" si="61"/>
        <v>4.566883036574213E-12</v>
      </c>
      <c r="BH76" s="59">
        <f t="shared" si="62"/>
        <v>267.78278419792633</v>
      </c>
      <c r="BI76" s="59">
        <f ca="1">AVERAGE(OFFSET($BH$3,0,0,'Données projet'!$E$11+1,1))-AVERAGE(OFFSET($H$3,0,0,'Données projet'!$E$11+1,1))</f>
        <v>341.62910675299065</v>
      </c>
      <c r="BJ76" s="59">
        <f t="shared" si="92"/>
        <v>407.15938341104709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97.437238586436678</v>
      </c>
      <c r="BQ76" s="21">
        <f>EXP(-LN(2)/25)*BQ75+(1-EXP(-LN(2)/25))/(LN(2)/25)*Calculateur!BL76*Calculateur!BN76*VLOOKUP('Données projet'!$B$11,Paramètres!$A$1:$I$89,3,0)*0.475*44/12</f>
        <v>44.088590246610686</v>
      </c>
      <c r="BR76" s="21">
        <f>EXP(-LN(2)/2)*BR75+(1-EXP(-LN(2)/2))/(LN(2)/2)*BL76*BO76*VLOOKUP('Données projet'!$B$11,Paramètres!$A$1:$I$89,3,0)*0.475*44/12</f>
        <v>0.1479963668843953</v>
      </c>
      <c r="BS76" s="22">
        <f t="shared" si="63"/>
        <v>141.67382519993177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1.9065282685915009E-13</v>
      </c>
      <c r="P77" s="13">
        <f t="shared" si="87"/>
        <v>2.6568987209435707E-12</v>
      </c>
      <c r="Q77" s="20">
        <f t="shared" si="54"/>
        <v>4.959485612423072E-12</v>
      </c>
      <c r="R77" s="59">
        <f t="shared" si="55"/>
        <v>268.22602910295581</v>
      </c>
      <c r="S77" s="59">
        <f ca="1">AVERAGE(OFFSET($R$3,0,0,'Données projet'!$E$9+1,1))-AVERAGE(OFFSET($H$3,0,0,'Données projet'!$E$9+1,1))</f>
        <v>507.66185230065889</v>
      </c>
      <c r="T77" s="59">
        <f t="shared" si="88"/>
        <v>640.14375617778342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281.7714422434226</v>
      </c>
      <c r="AA77" s="21">
        <f>EXP(-LN(2)/25)*AA76+(1-EXP(-LN(2)/25))/(LN(2)/25)*Calculateur!V77*Calculateur!X77*VLOOKUP('Données projet'!$B$9,Paramètres!$A$1:$I$89,3,0)*0.475*44/12</f>
        <v>17.309893156069247</v>
      </c>
      <c r="AB77" s="21">
        <f>EXP(-LN(2)/2)*AB76+(1-EXP(-LN(2)/2))/(LN(2)/2)*V77*Y77*VLOOKUP('Données projet'!$B$9,Paramètres!$A$1:$I$89,3,0)*0.475*44/12</f>
        <v>2.1986543292316969E-4</v>
      </c>
      <c r="AC77" s="22">
        <f t="shared" si="57"/>
        <v>299.08155526492476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-3.4106051316484809E-13</v>
      </c>
      <c r="AJ77" s="13">
        <f>AI77*VLOOKUP('Données projet'!$B$10,Paramètres!$A$1:$I$89,3,0)*VLOOKUP('Données projet'!$B$10,Paramètres!$A$1:$I$89,5,0)</f>
        <v>-1.5961632016114892E-13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332.74717458063787</v>
      </c>
      <c r="AO77" s="59">
        <f t="shared" si="90"/>
        <v>408.69087885751878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196.01013921628143</v>
      </c>
      <c r="AV77" s="21">
        <f>EXP(-LN(2)/25)*AV76+(1-EXP(-LN(2)/25))/(LN(2)/25)*Calculateur!AQ77*Calculateur!AS77*VLOOKUP('Données projet'!$B$10,Paramètres!$A$1:$I$89,3,0)*0.475*44/12</f>
        <v>19.819488516251376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215.8296277325328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1.9895196601282805E-13</v>
      </c>
      <c r="BE77" s="13">
        <f>BD77*VLOOKUP('Données projet'!$B$11,Paramètres!$A$1:$I$89,3,0)*VLOOKUP('Données projet'!$B$11,Paramètres!$A$1:$I$89,5,0)</f>
        <v>1.738044375088066E-13</v>
      </c>
      <c r="BF77" s="13">
        <f t="shared" si="91"/>
        <v>2.4483293633950478E-12</v>
      </c>
      <c r="BG77" s="20">
        <f t="shared" si="61"/>
        <v>4.566883036574213E-12</v>
      </c>
      <c r="BH77" s="59">
        <f t="shared" si="62"/>
        <v>268.22602910295541</v>
      </c>
      <c r="BI77" s="59">
        <f ca="1">AVERAGE(OFFSET($BH$3,0,0,'Données projet'!$E$11+1,1))-AVERAGE(OFFSET($H$3,0,0,'Données projet'!$E$11+1,1))</f>
        <v>341.62910675299065</v>
      </c>
      <c r="BJ77" s="59">
        <f t="shared" si="92"/>
        <v>407.15938341104709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95.52655376860389</v>
      </c>
      <c r="BQ77" s="21">
        <f>EXP(-LN(2)/25)*BQ76+(1-EXP(-LN(2)/25))/(LN(2)/25)*Calculateur!BL77*Calculateur!BN77*VLOOKUP('Données projet'!$B$11,Paramètres!$A$1:$I$89,3,0)*0.475*44/12</f>
        <v>42.882985427798921</v>
      </c>
      <c r="BR77" s="21">
        <f>EXP(-LN(2)/2)*BR76+(1-EXP(-LN(2)/2))/(LN(2)/2)*BL77*BO77*VLOOKUP('Données projet'!$B$11,Paramètres!$A$1:$I$89,3,0)*0.475*44/12</f>
        <v>0.10464923461492812</v>
      </c>
      <c r="BS77" s="22">
        <f t="shared" si="63"/>
        <v>138.51418843101774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1.9065282685915009E-13</v>
      </c>
      <c r="P78" s="13">
        <f t="shared" si="87"/>
        <v>2.6568987209435707E-12</v>
      </c>
      <c r="Q78" s="20">
        <f t="shared" si="54"/>
        <v>4.959485612423072E-12</v>
      </c>
      <c r="R78" s="59">
        <f t="shared" si="55"/>
        <v>268.66158469982975</v>
      </c>
      <c r="S78" s="59">
        <f ca="1">AVERAGE(OFFSET($R$3,0,0,'Données projet'!$E$9+1,1))-AVERAGE(OFFSET($H$3,0,0,'Données projet'!$E$9+1,1))</f>
        <v>507.66185230065889</v>
      </c>
      <c r="T78" s="59">
        <f t="shared" si="88"/>
        <v>640.14375617778342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276.24607612463871</v>
      </c>
      <c r="AA78" s="21">
        <f>EXP(-LN(2)/25)*AA77+(1-EXP(-LN(2)/25))/(LN(2)/25)*Calculateur!V78*Calculateur!X78*VLOOKUP('Données projet'!$B$9,Paramètres!$A$1:$I$89,3,0)*0.475*44/12</f>
        <v>16.836553217428815</v>
      </c>
      <c r="AB78" s="21">
        <f>EXP(-LN(2)/2)*AB77+(1-EXP(-LN(2)/2))/(LN(2)/2)*V78*Y78*VLOOKUP('Données projet'!$B$9,Paramètres!$A$1:$I$89,3,0)*0.475*44/12</f>
        <v>1.5546833856848929E-4</v>
      </c>
      <c r="AC78" s="22">
        <f t="shared" si="57"/>
        <v>293.08278481040611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-3.4106051316484809E-13</v>
      </c>
      <c r="AJ78" s="13">
        <f>AI78*VLOOKUP('Données projet'!$B$10,Paramètres!$A$1:$I$89,3,0)*VLOOKUP('Données projet'!$B$10,Paramètres!$A$1:$I$89,5,0)</f>
        <v>-1.5961632016114892E-13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332.74717458063787</v>
      </c>
      <c r="AO78" s="59">
        <f t="shared" si="90"/>
        <v>408.69087885751878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192.16649994063005</v>
      </c>
      <c r="AV78" s="21">
        <f>EXP(-LN(2)/25)*AV77+(1-EXP(-LN(2)/25))/(LN(2)/25)*Calculateur!AQ78*Calculateur!AS78*VLOOKUP('Données projet'!$B$10,Paramètres!$A$1:$I$89,3,0)*0.475*44/12</f>
        <v>19.277523560512879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211.44402350114294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1.9895196601282805E-13</v>
      </c>
      <c r="BE78" s="13">
        <f>BD78*VLOOKUP('Données projet'!$B$11,Paramètres!$A$1:$I$89,3,0)*VLOOKUP('Données projet'!$B$11,Paramètres!$A$1:$I$89,5,0)</f>
        <v>1.738044375088066E-13</v>
      </c>
      <c r="BF78" s="13">
        <f t="shared" si="91"/>
        <v>2.4483293633950478E-12</v>
      </c>
      <c r="BG78" s="20">
        <f t="shared" si="61"/>
        <v>4.566883036574213E-12</v>
      </c>
      <c r="BH78" s="59">
        <f t="shared" si="62"/>
        <v>268.66158469982935</v>
      </c>
      <c r="BI78" s="59">
        <f ca="1">AVERAGE(OFFSET($BH$3,0,0,'Données projet'!$E$11+1,1))-AVERAGE(OFFSET($H$3,0,0,'Données projet'!$E$11+1,1))</f>
        <v>341.62910675299065</v>
      </c>
      <c r="BJ78" s="59">
        <f t="shared" si="92"/>
        <v>407.15938341104709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93.653336314646126</v>
      </c>
      <c r="BQ78" s="21">
        <f>EXP(-LN(2)/25)*BQ77+(1-EXP(-LN(2)/25))/(LN(2)/25)*Calculateur!BL78*Calculateur!BN78*VLOOKUP('Données projet'!$B$11,Paramètres!$A$1:$I$89,3,0)*0.475*44/12</f>
        <v>41.710347936157568</v>
      </c>
      <c r="BR78" s="21">
        <f>EXP(-LN(2)/2)*BR77+(1-EXP(-LN(2)/2))/(LN(2)/2)*BL78*BO78*VLOOKUP('Données projet'!$B$11,Paramètres!$A$1:$I$89,3,0)*0.475*44/12</f>
        <v>7.3998183442197649E-2</v>
      </c>
      <c r="BS78" s="22">
        <f t="shared" si="63"/>
        <v>135.43768243424589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1.9065282685915009E-13</v>
      </c>
      <c r="P79" s="13">
        <f t="shared" si="87"/>
        <v>2.6568987209435707E-12</v>
      </c>
      <c r="Q79" s="20">
        <f t="shared" si="54"/>
        <v>4.959485612423072E-12</v>
      </c>
      <c r="R79" s="59">
        <f t="shared" si="55"/>
        <v>269.08958438085438</v>
      </c>
      <c r="S79" s="59">
        <f ca="1">AVERAGE(OFFSET($R$3,0,0,'Données projet'!$E$9+1,1))-AVERAGE(OFFSET($H$3,0,0,'Données projet'!$E$9+1,1))</f>
        <v>507.66185230065889</v>
      </c>
      <c r="T79" s="59">
        <f t="shared" si="88"/>
        <v>640.14375617778342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270.82905906530362</v>
      </c>
      <c r="AA79" s="21">
        <f>EXP(-LN(2)/25)*AA78+(1-EXP(-LN(2)/25))/(LN(2)/25)*Calculateur!V79*Calculateur!X79*VLOOKUP('Données projet'!$B$9,Paramètres!$A$1:$I$89,3,0)*0.475*44/12</f>
        <v>16.376156784302371</v>
      </c>
      <c r="AB79" s="21">
        <f>EXP(-LN(2)/2)*AB78+(1-EXP(-LN(2)/2))/(LN(2)/2)*V79*Y79*VLOOKUP('Données projet'!$B$9,Paramètres!$A$1:$I$89,3,0)*0.475*44/12</f>
        <v>1.0993271646158485E-4</v>
      </c>
      <c r="AC79" s="22">
        <f t="shared" si="57"/>
        <v>287.20532578232246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-3.4106051316484809E-13</v>
      </c>
      <c r="AJ79" s="13">
        <f>AI79*VLOOKUP('Données projet'!$B$10,Paramètres!$A$1:$I$89,3,0)*VLOOKUP('Données projet'!$B$10,Paramètres!$A$1:$I$89,5,0)</f>
        <v>-1.5961632016114892E-13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332.74717458063787</v>
      </c>
      <c r="AO79" s="59">
        <f t="shared" si="90"/>
        <v>408.69087885751878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188.39823208678573</v>
      </c>
      <c r="AV79" s="21">
        <f>EXP(-LN(2)/25)*AV78+(1-EXP(-LN(2)/25))/(LN(2)/25)*Calculateur!AQ79*Calculateur!AS79*VLOOKUP('Données projet'!$B$10,Paramètres!$A$1:$I$89,3,0)*0.475*44/12</f>
        <v>18.75037866498975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207.14861075177546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1.9895196601282805E-13</v>
      </c>
      <c r="BE79" s="13">
        <f>BD79*VLOOKUP('Données projet'!$B$11,Paramètres!$A$1:$I$89,3,0)*VLOOKUP('Données projet'!$B$11,Paramètres!$A$1:$I$89,5,0)</f>
        <v>1.738044375088066E-13</v>
      </c>
      <c r="BF79" s="13">
        <f t="shared" si="91"/>
        <v>2.4483293633950478E-12</v>
      </c>
      <c r="BG79" s="20">
        <f t="shared" si="61"/>
        <v>4.566883036574213E-12</v>
      </c>
      <c r="BH79" s="59">
        <f t="shared" si="62"/>
        <v>269.08958438085398</v>
      </c>
      <c r="BI79" s="59">
        <f ca="1">AVERAGE(OFFSET($BH$3,0,0,'Données projet'!$E$11+1,1))-AVERAGE(OFFSET($H$3,0,0,'Données projet'!$E$11+1,1))</f>
        <v>341.62910675299065</v>
      </c>
      <c r="BJ79" s="59">
        <f t="shared" si="92"/>
        <v>407.15938341104709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91.816851512410651</v>
      </c>
      <c r="BQ79" s="21">
        <f>EXP(-LN(2)/25)*BQ78+(1-EXP(-LN(2)/25))/(LN(2)/25)*Calculateur!BL79*Calculateur!BN79*VLOOKUP('Données projet'!$B$11,Paramètres!$A$1:$I$89,3,0)*0.475*44/12</f>
        <v>40.569776278391473</v>
      </c>
      <c r="BR79" s="21">
        <f>EXP(-LN(2)/2)*BR78+(1-EXP(-LN(2)/2))/(LN(2)/2)*BL79*BO79*VLOOKUP('Données projet'!$B$11,Paramètres!$A$1:$I$89,3,0)*0.475*44/12</f>
        <v>5.2324617307464058E-2</v>
      </c>
      <c r="BS79" s="22">
        <f t="shared" si="63"/>
        <v>132.4389524081096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1.9065282685915009E-13</v>
      </c>
      <c r="P80" s="13">
        <f t="shared" si="87"/>
        <v>2.6568987209435707E-12</v>
      </c>
      <c r="Q80" s="20">
        <f t="shared" si="54"/>
        <v>4.959485612423072E-12</v>
      </c>
      <c r="R80" s="59">
        <f t="shared" si="55"/>
        <v>269.51015922427723</v>
      </c>
      <c r="S80" s="59">
        <f ca="1">AVERAGE(OFFSET($R$3,0,0,'Données projet'!$E$9+1,1))-AVERAGE(OFFSET($H$3,0,0,'Données projet'!$E$9+1,1))</f>
        <v>507.66185230065889</v>
      </c>
      <c r="T80" s="59">
        <f t="shared" si="88"/>
        <v>640.14375617778342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265.51826640644794</v>
      </c>
      <c r="AA80" s="21">
        <f>EXP(-LN(2)/25)*AA79+(1-EXP(-LN(2)/25))/(LN(2)/25)*Calculateur!V80*Calculateur!X80*VLOOKUP('Données projet'!$B$9,Paramètres!$A$1:$I$89,3,0)*0.475*44/12</f>
        <v>15.928349915850966</v>
      </c>
      <c r="AB80" s="21">
        <f>EXP(-LN(2)/2)*AB79+(1-EXP(-LN(2)/2))/(LN(2)/2)*V80*Y80*VLOOKUP('Données projet'!$B$9,Paramètres!$A$1:$I$89,3,0)*0.475*44/12</f>
        <v>7.7734169284244647E-5</v>
      </c>
      <c r="AC80" s="22">
        <f t="shared" si="57"/>
        <v>281.44669405646817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-3.4106051316484809E-13</v>
      </c>
      <c r="AJ80" s="13">
        <f>AI80*VLOOKUP('Données projet'!$B$10,Paramètres!$A$1:$I$89,3,0)*VLOOKUP('Données projet'!$B$10,Paramètres!$A$1:$I$89,5,0)</f>
        <v>-1.5961632016114892E-13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332.74717458063787</v>
      </c>
      <c r="AO80" s="59">
        <f t="shared" si="90"/>
        <v>408.69087885751878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184.70385766713886</v>
      </c>
      <c r="AV80" s="21">
        <f>EXP(-LN(2)/25)*AV79+(1-EXP(-LN(2)/25))/(LN(2)/25)*Calculateur!AQ80*Calculateur!AS80*VLOOKUP('Données projet'!$B$10,Paramètres!$A$1:$I$89,3,0)*0.475*44/12</f>
        <v>18.237648574356047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202.94150624149492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1.9895196601282805E-13</v>
      </c>
      <c r="BE80" s="13">
        <f>BD80*VLOOKUP('Données projet'!$B$11,Paramètres!$A$1:$I$89,3,0)*VLOOKUP('Données projet'!$B$11,Paramètres!$A$1:$I$89,5,0)</f>
        <v>1.738044375088066E-13</v>
      </c>
      <c r="BF80" s="13">
        <f t="shared" si="91"/>
        <v>2.4483293633950478E-12</v>
      </c>
      <c r="BG80" s="20">
        <f t="shared" si="61"/>
        <v>4.566883036574213E-12</v>
      </c>
      <c r="BH80" s="59">
        <f t="shared" si="62"/>
        <v>269.51015922427683</v>
      </c>
      <c r="BI80" s="59">
        <f ca="1">AVERAGE(OFFSET($BH$3,0,0,'Données projet'!$E$11+1,1))-AVERAGE(OFFSET($H$3,0,0,'Données projet'!$E$11+1,1))</f>
        <v>341.62910675299065</v>
      </c>
      <c r="BJ80" s="59">
        <f t="shared" si="92"/>
        <v>407.15938341104709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90.016379057001885</v>
      </c>
      <c r="BQ80" s="21">
        <f>EXP(-LN(2)/25)*BQ79+(1-EXP(-LN(2)/25))/(LN(2)/25)*Calculateur!BL80*Calculateur!BN80*VLOOKUP('Données projet'!$B$11,Paramètres!$A$1:$I$89,3,0)*0.475*44/12</f>
        <v>39.460393612587048</v>
      </c>
      <c r="BR80" s="21">
        <f>EXP(-LN(2)/2)*BR79+(1-EXP(-LN(2)/2))/(LN(2)/2)*BL80*BO80*VLOOKUP('Données projet'!$B$11,Paramètres!$A$1:$I$89,3,0)*0.475*44/12</f>
        <v>3.6999091721098824E-2</v>
      </c>
      <c r="BS80" s="22">
        <f t="shared" si="63"/>
        <v>129.51377176131004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1.9065282685915009E-13</v>
      </c>
      <c r="P81" s="13">
        <f t="shared" si="87"/>
        <v>2.6568987209435707E-12</v>
      </c>
      <c r="Q81" s="20">
        <f t="shared" si="54"/>
        <v>4.959485612423072E-12</v>
      </c>
      <c r="R81" s="59">
        <f t="shared" si="55"/>
        <v>269.92343803443117</v>
      </c>
      <c r="S81" s="59">
        <f ca="1">AVERAGE(OFFSET($R$3,0,0,'Données projet'!$E$9+1,1))-AVERAGE(OFFSET($H$3,0,0,'Données projet'!$E$9+1,1))</f>
        <v>507.66185230065889</v>
      </c>
      <c r="T81" s="59">
        <f t="shared" si="88"/>
        <v>640.14375617778342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260.31161515236874</v>
      </c>
      <c r="AA81" s="21">
        <f>EXP(-LN(2)/25)*AA80+(1-EXP(-LN(2)/25))/(LN(2)/25)*Calculateur!V81*Calculateur!X81*VLOOKUP('Données projet'!$B$9,Paramètres!$A$1:$I$89,3,0)*0.475*44/12</f>
        <v>15.492788349766503</v>
      </c>
      <c r="AB81" s="21">
        <f>EXP(-LN(2)/2)*AB80+(1-EXP(-LN(2)/2))/(LN(2)/2)*V81*Y81*VLOOKUP('Données projet'!$B$9,Paramètres!$A$1:$I$89,3,0)*0.475*44/12</f>
        <v>5.4966358230792424E-5</v>
      </c>
      <c r="AC81" s="22">
        <f t="shared" si="57"/>
        <v>275.80445846849346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-3.4106051316484809E-13</v>
      </c>
      <c r="AJ81" s="13">
        <f>AI81*VLOOKUP('Données projet'!$B$10,Paramètres!$A$1:$I$89,3,0)*VLOOKUP('Données projet'!$B$10,Paramètres!$A$1:$I$89,5,0)</f>
        <v>-1.5961632016114892E-13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332.74717458063787</v>
      </c>
      <c r="AO81" s="59">
        <f t="shared" si="90"/>
        <v>408.69087885751878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181.08192767651536</v>
      </c>
      <c r="AV81" s="21">
        <f>EXP(-LN(2)/25)*AV80+(1-EXP(-LN(2)/25))/(LN(2)/25)*Calculateur!AQ81*Calculateur!AS81*VLOOKUP('Données projet'!$B$10,Paramètres!$A$1:$I$89,3,0)*0.475*44/12</f>
        <v>17.738939115014027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198.8208667915294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1.9895196601282805E-13</v>
      </c>
      <c r="BE81" s="13">
        <f>BD81*VLOOKUP('Données projet'!$B$11,Paramètres!$A$1:$I$89,3,0)*VLOOKUP('Données projet'!$B$11,Paramètres!$A$1:$I$89,5,0)</f>
        <v>1.738044375088066E-13</v>
      </c>
      <c r="BF81" s="13">
        <f t="shared" si="91"/>
        <v>2.4483293633950478E-12</v>
      </c>
      <c r="BG81" s="20">
        <f t="shared" si="61"/>
        <v>4.566883036574213E-12</v>
      </c>
      <c r="BH81" s="59">
        <f t="shared" si="62"/>
        <v>269.92343803443077</v>
      </c>
      <c r="BI81" s="59">
        <f ca="1">AVERAGE(OFFSET($BH$3,0,0,'Données projet'!$E$11+1,1))-AVERAGE(OFFSET($H$3,0,0,'Données projet'!$E$11+1,1))</f>
        <v>341.62910675299065</v>
      </c>
      <c r="BJ81" s="59">
        <f t="shared" si="92"/>
        <v>407.15938341104709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88.251212768263926</v>
      </c>
      <c r="BQ81" s="21">
        <f>EXP(-LN(2)/25)*BQ80+(1-EXP(-LN(2)/25))/(LN(2)/25)*Calculateur!BL81*Calculateur!BN81*VLOOKUP('Données projet'!$B$11,Paramètres!$A$1:$I$89,3,0)*0.475*44/12</f>
        <v>38.381347074118942</v>
      </c>
      <c r="BR81" s="21">
        <f>EXP(-LN(2)/2)*BR80+(1-EXP(-LN(2)/2))/(LN(2)/2)*BL81*BO81*VLOOKUP('Données projet'!$B$11,Paramètres!$A$1:$I$89,3,0)*0.475*44/12</f>
        <v>2.6162308653732029E-2</v>
      </c>
      <c r="BS81" s="22">
        <f t="shared" si="63"/>
        <v>126.65872215103661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1.9065282685915009E-13</v>
      </c>
      <c r="P82" s="13">
        <f t="shared" si="87"/>
        <v>2.6568987209435707E-12</v>
      </c>
      <c r="Q82" s="20">
        <f t="shared" si="54"/>
        <v>4.959485612423072E-12</v>
      </c>
      <c r="R82" s="59">
        <f t="shared" si="55"/>
        <v>270.3295473811819</v>
      </c>
      <c r="S82" s="59">
        <f ca="1">AVERAGE(OFFSET($R$3,0,0,'Données projet'!$E$9+1,1))-AVERAGE(OFFSET($H$3,0,0,'Données projet'!$E$9+1,1))</f>
        <v>507.66185230065889</v>
      </c>
      <c r="T82" s="59">
        <f t="shared" si="88"/>
        <v>640.14375617778342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255.20706315363836</v>
      </c>
      <c r="AA82" s="21">
        <f>EXP(-LN(2)/25)*AA81+(1-EXP(-LN(2)/25))/(LN(2)/25)*Calculateur!V82*Calculateur!X82*VLOOKUP('Données projet'!$B$9,Paramètres!$A$1:$I$89,3,0)*0.475*44/12</f>
        <v>15.069137237611807</v>
      </c>
      <c r="AB82" s="21">
        <f>EXP(-LN(2)/2)*AB81+(1-EXP(-LN(2)/2))/(LN(2)/2)*V82*Y82*VLOOKUP('Données projet'!$B$9,Paramètres!$A$1:$I$89,3,0)*0.475*44/12</f>
        <v>3.8867084642122324E-5</v>
      </c>
      <c r="AC82" s="22">
        <f t="shared" si="57"/>
        <v>270.27623925833478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-3.4106051316484809E-13</v>
      </c>
      <c r="AJ82" s="13">
        <f>AI82*VLOOKUP('Données projet'!$B$10,Paramètres!$A$1:$I$89,3,0)*VLOOKUP('Données projet'!$B$10,Paramètres!$A$1:$I$89,5,0)</f>
        <v>-1.5961632016114892E-13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332.74717458063787</v>
      </c>
      <c r="AO82" s="59">
        <f t="shared" si="90"/>
        <v>408.69087885751878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177.53102152384884</v>
      </c>
      <c r="AV82" s="21">
        <f>EXP(-LN(2)/25)*AV81+(1-EXP(-LN(2)/25))/(LN(2)/25)*Calculateur!AQ82*Calculateur!AS82*VLOOKUP('Données projet'!$B$10,Paramètres!$A$1:$I$89,3,0)*0.475*44/12</f>
        <v>17.253866892063701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194.78488841591255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1.9895196601282805E-13</v>
      </c>
      <c r="BE82" s="13">
        <f>BD82*VLOOKUP('Données projet'!$B$11,Paramètres!$A$1:$I$89,3,0)*VLOOKUP('Données projet'!$B$11,Paramètres!$A$1:$I$89,5,0)</f>
        <v>1.738044375088066E-13</v>
      </c>
      <c r="BF82" s="13">
        <f t="shared" si="91"/>
        <v>2.4483293633950478E-12</v>
      </c>
      <c r="BG82" s="20">
        <f t="shared" si="61"/>
        <v>4.566883036574213E-12</v>
      </c>
      <c r="BH82" s="59">
        <f t="shared" si="62"/>
        <v>270.3295473811815</v>
      </c>
      <c r="BI82" s="59">
        <f ca="1">AVERAGE(OFFSET($BH$3,0,0,'Données projet'!$E$11+1,1))-AVERAGE(OFFSET($H$3,0,0,'Données projet'!$E$11+1,1))</f>
        <v>341.62910675299065</v>
      </c>
      <c r="BJ82" s="59">
        <f t="shared" si="92"/>
        <v>407.15938341104709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86.520660313802992</v>
      </c>
      <c r="BQ82" s="21">
        <f>EXP(-LN(2)/25)*BQ81+(1-EXP(-LN(2)/25))/(LN(2)/25)*Calculateur!BL82*Calculateur!BN82*VLOOKUP('Données projet'!$B$11,Paramètres!$A$1:$I$89,3,0)*0.475*44/12</f>
        <v>37.33180711998984</v>
      </c>
      <c r="BR82" s="21">
        <f>EXP(-LN(2)/2)*BR81+(1-EXP(-LN(2)/2))/(LN(2)/2)*BL82*BO82*VLOOKUP('Données projet'!$B$11,Paramètres!$A$1:$I$89,3,0)*0.475*44/12</f>
        <v>1.8499545860549412E-2</v>
      </c>
      <c r="BS82" s="22">
        <f t="shared" si="63"/>
        <v>123.87096697965339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1.9065282685915009E-13</v>
      </c>
      <c r="P83" s="13">
        <f t="shared" si="87"/>
        <v>2.6568987209435707E-12</v>
      </c>
      <c r="Q83" s="20">
        <f t="shared" si="54"/>
        <v>4.959485612423072E-12</v>
      </c>
      <c r="R83" s="59">
        <f t="shared" si="55"/>
        <v>270.72861163869106</v>
      </c>
      <c r="S83" s="59">
        <f ca="1">AVERAGE(OFFSET($R$3,0,0,'Données projet'!$E$9+1,1))-AVERAGE(OFFSET($H$3,0,0,'Données projet'!$E$9+1,1))</f>
        <v>507.66185230065889</v>
      </c>
      <c r="T83" s="59">
        <f t="shared" si="88"/>
        <v>640.14375617778342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250.20260830613378</v>
      </c>
      <c r="AA83" s="21">
        <f>EXP(-LN(2)/25)*AA82+(1-EXP(-LN(2)/25))/(LN(2)/25)*Calculateur!V83*Calculateur!X83*VLOOKUP('Données projet'!$B$9,Paramètres!$A$1:$I$89,3,0)*0.475*44/12</f>
        <v>14.657070887397825</v>
      </c>
      <c r="AB83" s="21">
        <f>EXP(-LN(2)/2)*AB82+(1-EXP(-LN(2)/2))/(LN(2)/2)*V83*Y83*VLOOKUP('Données projet'!$B$9,Paramètres!$A$1:$I$89,3,0)*0.475*44/12</f>
        <v>2.7483179115396212E-5</v>
      </c>
      <c r="AC83" s="22">
        <f t="shared" si="57"/>
        <v>264.85970667671074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-3.4106051316484809E-13</v>
      </c>
      <c r="AJ83" s="13">
        <f>AI83*VLOOKUP('Données projet'!$B$10,Paramètres!$A$1:$I$89,3,0)*VLOOKUP('Données projet'!$B$10,Paramètres!$A$1:$I$89,5,0)</f>
        <v>-1.5961632016114892E-13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332.74717458063787</v>
      </c>
      <c r="AO83" s="59">
        <f t="shared" si="90"/>
        <v>408.69087885751878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174.04974647499722</v>
      </c>
      <c r="AV83" s="21">
        <f>EXP(-LN(2)/25)*AV82+(1-EXP(-LN(2)/25))/(LN(2)/25)*Calculateur!AQ83*Calculateur!AS83*VLOOKUP('Données projet'!$B$10,Paramètres!$A$1:$I$89,3,0)*0.475*44/12</f>
        <v>16.782058994558795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190.831805469556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1.9895196601282805E-13</v>
      </c>
      <c r="BE83" s="13">
        <f>BD83*VLOOKUP('Données projet'!$B$11,Paramètres!$A$1:$I$89,3,0)*VLOOKUP('Données projet'!$B$11,Paramètres!$A$1:$I$89,5,0)</f>
        <v>1.738044375088066E-13</v>
      </c>
      <c r="BF83" s="13">
        <f t="shared" si="91"/>
        <v>2.4483293633950478E-12</v>
      </c>
      <c r="BG83" s="20">
        <f t="shared" si="61"/>
        <v>4.566883036574213E-12</v>
      </c>
      <c r="BH83" s="59">
        <f t="shared" si="62"/>
        <v>270.72861163869067</v>
      </c>
      <c r="BI83" s="59">
        <f ca="1">AVERAGE(OFFSET($BH$3,0,0,'Données projet'!$E$11+1,1))-AVERAGE(OFFSET($H$3,0,0,'Données projet'!$E$11+1,1))</f>
        <v>341.62910675299065</v>
      </c>
      <c r="BJ83" s="59">
        <f t="shared" si="92"/>
        <v>407.15938341104709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84.824042937441263</v>
      </c>
      <c r="BQ83" s="21">
        <f>EXP(-LN(2)/25)*BQ82+(1-EXP(-LN(2)/25))/(LN(2)/25)*Calculateur!BL83*Calculateur!BN83*VLOOKUP('Données projet'!$B$11,Paramètres!$A$1:$I$89,3,0)*0.475*44/12</f>
        <v>36.310966891099305</v>
      </c>
      <c r="BR83" s="21">
        <f>EXP(-LN(2)/2)*BR82+(1-EXP(-LN(2)/2))/(LN(2)/2)*BL83*BO83*VLOOKUP('Données projet'!$B$11,Paramètres!$A$1:$I$89,3,0)*0.475*44/12</f>
        <v>1.3081154326866015E-2</v>
      </c>
      <c r="BS83" s="22">
        <f t="shared" si="63"/>
        <v>121.14809098286744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271.12075302350638</v>
      </c>
      <c r="S84" s="59">
        <f ca="1">AVERAGE(OFFSET($R$3,0,0,'Données projet'!$E$9+1,1))-AVERAGE(OFFSET($H$3,0,0,'Données projet'!$E$9+1,1))</f>
        <v>507.66185230065889</v>
      </c>
      <c r="T84" s="59">
        <f t="shared" si="88"/>
        <v>640.14375617778342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245.29628776577272</v>
      </c>
      <c r="AA84" s="21">
        <f>EXP(-LN(2)/25)*AA83+(1-EXP(-LN(2)/25))/(LN(2)/25)*Calculateur!V84*Calculateur!X84*VLOOKUP('Données projet'!$B$9,Paramètres!$A$1:$I$89,3,0)*0.475*44/12</f>
        <v>14.256272513200074</v>
      </c>
      <c r="AB84" s="21">
        <f>EXP(-LN(2)/2)*AB83+(1-EXP(-LN(2)/2))/(LN(2)/2)*V84*Y84*VLOOKUP('Données projet'!$B$9,Paramètres!$A$1:$I$89,3,0)*0.475*44/12</f>
        <v>1.9433542321061162E-5</v>
      </c>
      <c r="AC84" s="22">
        <f t="shared" si="57"/>
        <v>259.55257971251513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-1.5961632016114892E-13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332.74717458063787</v>
      </c>
      <c r="AO84" s="59">
        <f t="shared" si="90"/>
        <v>408.69087885751878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170.63673710648547</v>
      </c>
      <c r="AV84" s="21">
        <f>EXP(-LN(2)/25)*AV83+(1-EXP(-LN(2)/25))/(LN(2)/25)*Calculateur!AQ84*Calculateur!AS84*VLOOKUP('Données projet'!$B$10,Paramètres!$A$1:$I$89,3,0)*0.475*44/12</f>
        <v>16.323152708822459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186.95988981530792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1.9895196601282805E-13</v>
      </c>
      <c r="BE84" s="13">
        <f>BD84*VLOOKUP('Données projet'!$B$11,Paramètres!$A$1:$I$89,3,0)*VLOOKUP('Données projet'!$B$11,Paramètres!$A$1:$I$89,5,0)</f>
        <v>1.738044375088066E-13</v>
      </c>
      <c r="BF84" s="13">
        <f t="shared" si="91"/>
        <v>2.4483293633950478E-12</v>
      </c>
      <c r="BG84" s="20">
        <f t="shared" si="61"/>
        <v>4.566883036574213E-12</v>
      </c>
      <c r="BH84" s="59">
        <f t="shared" si="62"/>
        <v>271.12075302350598</v>
      </c>
      <c r="BI84" s="59">
        <f ca="1">AVERAGE(OFFSET($BH$3,0,0,'Données projet'!$E$11+1,1))-AVERAGE(OFFSET($H$3,0,0,'Données projet'!$E$11+1,1))</f>
        <v>341.62910675299065</v>
      </c>
      <c r="BJ84" s="59">
        <f t="shared" si="92"/>
        <v>407.15938341104709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83.160695192995576</v>
      </c>
      <c r="BQ84" s="21">
        <f>EXP(-LN(2)/25)*BQ83+(1-EXP(-LN(2)/25))/(LN(2)/25)*Calculateur!BL84*Calculateur!BN84*VLOOKUP('Données projet'!$B$11,Paramètres!$A$1:$I$89,3,0)*0.475*44/12</f>
        <v>35.318041591951435</v>
      </c>
      <c r="BR84" s="21">
        <f>EXP(-LN(2)/2)*BR83+(1-EXP(-LN(2)/2))/(LN(2)/2)*BL84*BO84*VLOOKUP('Données projet'!$B$11,Paramètres!$A$1:$I$89,3,0)*0.475*44/12</f>
        <v>9.2497729302747061E-3</v>
      </c>
      <c r="BS84" s="22">
        <f t="shared" si="63"/>
        <v>118.48798655787729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271.50609163199198</v>
      </c>
      <c r="S85" s="59">
        <f ca="1">AVERAGE(OFFSET($R$3,0,0,'Données projet'!$E$9+1,1))-AVERAGE(OFFSET($H$3,0,0,'Données projet'!$E$9+1,1))</f>
        <v>507.66185230065889</v>
      </c>
      <c r="T85" s="59">
        <f t="shared" si="88"/>
        <v>640.14375617778342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240.48617717864809</v>
      </c>
      <c r="AA85" s="21">
        <f>EXP(-LN(2)/25)*AA84+(1-EXP(-LN(2)/25))/(LN(2)/25)*Calculateur!V85*Calculateur!X85*VLOOKUP('Données projet'!$B$9,Paramètres!$A$1:$I$89,3,0)*0.475*44/12</f>
        <v>13.866433991621829</v>
      </c>
      <c r="AB85" s="21">
        <f>EXP(-LN(2)/2)*AB84+(1-EXP(-LN(2)/2))/(LN(2)/2)*V85*Y85*VLOOKUP('Données projet'!$B$9,Paramètres!$A$1:$I$89,3,0)*0.475*44/12</f>
        <v>1.3741589557698106E-5</v>
      </c>
      <c r="AC85" s="22">
        <f t="shared" si="57"/>
        <v>254.35262491185946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-1.5961632016114892E-13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332.74717458063787</v>
      </c>
      <c r="AO85" s="59">
        <f t="shared" si="90"/>
        <v>408.69087885751878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167.29065476996007</v>
      </c>
      <c r="AV85" s="21">
        <f>EXP(-LN(2)/25)*AV84+(1-EXP(-LN(2)/25))/(LN(2)/25)*Calculateur!AQ85*Calculateur!AS85*VLOOKUP('Données projet'!$B$10,Paramètres!$A$1:$I$89,3,0)*0.475*44/12</f>
        <v>15.876795239602416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183.16745000956249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1.9895196601282805E-13</v>
      </c>
      <c r="BE85" s="13">
        <f>BD85*VLOOKUP('Données projet'!$B$11,Paramètres!$A$1:$I$89,3,0)*VLOOKUP('Données projet'!$B$11,Paramètres!$A$1:$I$89,5,0)</f>
        <v>1.738044375088066E-13</v>
      </c>
      <c r="BF85" s="13">
        <f t="shared" si="91"/>
        <v>2.4483293633950478E-12</v>
      </c>
      <c r="BG85" s="20">
        <f t="shared" si="61"/>
        <v>4.566883036574213E-12</v>
      </c>
      <c r="BH85" s="59">
        <f t="shared" si="62"/>
        <v>271.50609163199158</v>
      </c>
      <c r="BI85" s="59">
        <f ca="1">AVERAGE(OFFSET($BH$3,0,0,'Données projet'!$E$11+1,1))-AVERAGE(OFFSET($H$3,0,0,'Données projet'!$E$11+1,1))</f>
        <v>341.62910675299065</v>
      </c>
      <c r="BJ85" s="59">
        <f t="shared" si="92"/>
        <v>407.15938341104709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81.529964683276518</v>
      </c>
      <c r="BQ85" s="21">
        <f>EXP(-LN(2)/25)*BQ84+(1-EXP(-LN(2)/25))/(LN(2)/25)*Calculateur!BL85*Calculateur!BN85*VLOOKUP('Données projet'!$B$11,Paramètres!$A$1:$I$89,3,0)*0.475*44/12</f>
        <v>34.352267887324437</v>
      </c>
      <c r="BR85" s="21">
        <f>EXP(-LN(2)/2)*BR84+(1-EXP(-LN(2)/2))/(LN(2)/2)*BL85*BO85*VLOOKUP('Données projet'!$B$11,Paramètres!$A$1:$I$89,3,0)*0.475*44/12</f>
        <v>6.5405771634330073E-3</v>
      </c>
      <c r="BS85" s="22">
        <f t="shared" si="63"/>
        <v>115.8887731477644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271.88474547710842</v>
      </c>
      <c r="S86" s="59">
        <f ca="1">AVERAGE(OFFSET($R$3,0,0,'Données projet'!$E$9+1,1))-AVERAGE(OFFSET($H$3,0,0,'Données projet'!$E$9+1,1))</f>
        <v>507.66185230065889</v>
      </c>
      <c r="T86" s="59">
        <f t="shared" si="88"/>
        <v>640.14375617778342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235.77038992625924</v>
      </c>
      <c r="AA86" s="21">
        <f>EXP(-LN(2)/25)*AA85+(1-EXP(-LN(2)/25))/(LN(2)/25)*Calculateur!V86*Calculateur!X86*VLOOKUP('Données projet'!$B$9,Paramètres!$A$1:$I$89,3,0)*0.475*44/12</f>
        <v>13.487255624916859</v>
      </c>
      <c r="AB86" s="21">
        <f>EXP(-LN(2)/2)*AB85+(1-EXP(-LN(2)/2))/(LN(2)/2)*V86*Y86*VLOOKUP('Données projet'!$B$9,Paramètres!$A$1:$I$89,3,0)*0.475*44/12</f>
        <v>9.7167711605305809E-6</v>
      </c>
      <c r="AC86" s="22">
        <f t="shared" si="57"/>
        <v>249.25765526794726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-1.5961632016114892E-13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332.74717458063787</v>
      </c>
      <c r="AO86" s="59">
        <f t="shared" si="90"/>
        <v>408.69087885751878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164.01018706714521</v>
      </c>
      <c r="AV86" s="21">
        <f>EXP(-LN(2)/25)*AV85+(1-EXP(-LN(2)/25))/(LN(2)/25)*Calculateur!AQ86*Calculateur!AS86*VLOOKUP('Données projet'!$B$10,Paramètres!$A$1:$I$89,3,0)*0.475*44/12</f>
        <v>15.442643438851112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179.45283050599633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1.9895196601282805E-13</v>
      </c>
      <c r="BE86" s="13">
        <f>BD86*VLOOKUP('Données projet'!$B$11,Paramètres!$A$1:$I$89,3,0)*VLOOKUP('Données projet'!$B$11,Paramètres!$A$1:$I$89,5,0)</f>
        <v>1.738044375088066E-13</v>
      </c>
      <c r="BF86" s="13">
        <f t="shared" si="91"/>
        <v>2.4483293633950478E-12</v>
      </c>
      <c r="BG86" s="20">
        <f t="shared" si="61"/>
        <v>4.566883036574213E-12</v>
      </c>
      <c r="BH86" s="59">
        <f t="shared" si="62"/>
        <v>271.88474547710803</v>
      </c>
      <c r="BI86" s="59">
        <f ca="1">AVERAGE(OFFSET($BH$3,0,0,'Données projet'!$E$11+1,1))-AVERAGE(OFFSET($H$3,0,0,'Données projet'!$E$11+1,1))</f>
        <v>341.62910675299065</v>
      </c>
      <c r="BJ86" s="59">
        <f t="shared" si="92"/>
        <v>407.15938341104709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79.93121180420566</v>
      </c>
      <c r="BQ86" s="21">
        <f>EXP(-LN(2)/25)*BQ85+(1-EXP(-LN(2)/25))/(LN(2)/25)*Calculateur!BL86*Calculateur!BN86*VLOOKUP('Données projet'!$B$11,Paramètres!$A$1:$I$89,3,0)*0.475*44/12</f>
        <v>33.412903315438292</v>
      </c>
      <c r="BR86" s="21">
        <f>EXP(-LN(2)/2)*BR85+(1-EXP(-LN(2)/2))/(LN(2)/2)*BL86*BO86*VLOOKUP('Données projet'!$B$11,Paramètres!$A$1:$I$89,3,0)*0.475*44/12</f>
        <v>4.624886465137353E-3</v>
      </c>
      <c r="BS86" s="22">
        <f t="shared" si="63"/>
        <v>113.3487400061091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272.25683052455526</v>
      </c>
      <c r="S87" s="59">
        <f ca="1">AVERAGE(OFFSET($R$3,0,0,'Données projet'!$E$9+1,1))-AVERAGE(OFFSET($H$3,0,0,'Données projet'!$E$9+1,1))</f>
        <v>507.66185230065889</v>
      </c>
      <c r="T87" s="59">
        <f t="shared" si="88"/>
        <v>640.14375617778342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231.14707638554353</v>
      </c>
      <c r="AA87" s="21">
        <f>EXP(-LN(2)/25)*AA86+(1-EXP(-LN(2)/25))/(LN(2)/25)*Calculateur!V87*Calculateur!X87*VLOOKUP('Données projet'!$B$9,Paramètres!$A$1:$I$89,3,0)*0.475*44/12</f>
        <v>13.118445910589559</v>
      </c>
      <c r="AB87" s="21">
        <f>EXP(-LN(2)/2)*AB86+(1-EXP(-LN(2)/2))/(LN(2)/2)*V87*Y87*VLOOKUP('Données projet'!$B$9,Paramètres!$A$1:$I$89,3,0)*0.475*44/12</f>
        <v>6.870794778849053E-6</v>
      </c>
      <c r="AC87" s="22">
        <f t="shared" si="57"/>
        <v>244.26552916692788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-1.5961632016114892E-13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332.74717458063787</v>
      </c>
      <c r="AO87" s="59">
        <f t="shared" si="90"/>
        <v>408.69087885751878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160.79404733509483</v>
      </c>
      <c r="AV87" s="21">
        <f>EXP(-LN(2)/25)*AV86+(1-EXP(-LN(2)/25))/(LN(2)/25)*Calculateur!AQ87*Calculateur!AS87*VLOOKUP('Données projet'!$B$10,Paramètres!$A$1:$I$89,3,0)*0.475*44/12</f>
        <v>15.020363541922405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175.81441087701722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1.9895196601282805E-13</v>
      </c>
      <c r="BE87" s="13">
        <f>BD87*VLOOKUP('Données projet'!$B$11,Paramètres!$A$1:$I$89,3,0)*VLOOKUP('Données projet'!$B$11,Paramètres!$A$1:$I$89,5,0)</f>
        <v>1.738044375088066E-13</v>
      </c>
      <c r="BF87" s="13">
        <f t="shared" si="91"/>
        <v>2.4483293633950478E-12</v>
      </c>
      <c r="BG87" s="20">
        <f t="shared" si="61"/>
        <v>4.566883036574213E-12</v>
      </c>
      <c r="BH87" s="59">
        <f t="shared" si="62"/>
        <v>272.25683052455486</v>
      </c>
      <c r="BI87" s="59">
        <f ca="1">AVERAGE(OFFSET($BH$3,0,0,'Données projet'!$E$11+1,1))-AVERAGE(OFFSET($H$3,0,0,'Données projet'!$E$11+1,1))</f>
        <v>341.62910675299065</v>
      </c>
      <c r="BJ87" s="59">
        <f t="shared" si="92"/>
        <v>407.15938341104709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78.363809493950413</v>
      </c>
      <c r="BQ87" s="21">
        <f>EXP(-LN(2)/25)*BQ86+(1-EXP(-LN(2)/25))/(LN(2)/25)*Calculateur!BL87*Calculateur!BN87*VLOOKUP('Données projet'!$B$11,Paramètres!$A$1:$I$89,3,0)*0.475*44/12</f>
        <v>32.499225717169416</v>
      </c>
      <c r="BR87" s="21">
        <f>EXP(-LN(2)/2)*BR86+(1-EXP(-LN(2)/2))/(LN(2)/2)*BL87*BO87*VLOOKUP('Données projet'!$B$11,Paramètres!$A$1:$I$89,3,0)*0.475*44/12</f>
        <v>3.2702885817165036E-3</v>
      </c>
      <c r="BS87" s="22">
        <f t="shared" si="63"/>
        <v>110.86630549970155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272.62246072828646</v>
      </c>
      <c r="S88" s="59">
        <f ca="1">AVERAGE(OFFSET($R$3,0,0,'Données projet'!$E$9+1,1))-AVERAGE(OFFSET($H$3,0,0,'Données projet'!$E$9+1,1))</f>
        <v>507.66185230065889</v>
      </c>
      <c r="T88" s="59">
        <f t="shared" si="88"/>
        <v>640.14375617778342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226.61442320341843</v>
      </c>
      <c r="AA88" s="21">
        <f>EXP(-LN(2)/25)*AA87+(1-EXP(-LN(2)/25))/(LN(2)/25)*Calculateur!V88*Calculateur!X88*VLOOKUP('Données projet'!$B$9,Paramètres!$A$1:$I$89,3,0)*0.475*44/12</f>
        <v>12.7597213172954</v>
      </c>
      <c r="AB88" s="21">
        <f>EXP(-LN(2)/2)*AB87+(1-EXP(-LN(2)/2))/(LN(2)/2)*V88*Y88*VLOOKUP('Données projet'!$B$9,Paramètres!$A$1:$I$89,3,0)*0.475*44/12</f>
        <v>4.8583855802652904E-6</v>
      </c>
      <c r="AC88" s="22">
        <f t="shared" si="57"/>
        <v>239.37414937909941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-1.5961632016114892E-13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332.74717458063787</v>
      </c>
      <c r="AO88" s="59">
        <f t="shared" si="90"/>
        <v>408.69087885751878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157.64097414153844</v>
      </c>
      <c r="AV88" s="21">
        <f>EXP(-LN(2)/25)*AV87+(1-EXP(-LN(2)/25))/(LN(2)/25)*Calculateur!AQ88*Calculateur!AS88*VLOOKUP('Données projet'!$B$10,Paramètres!$A$1:$I$89,3,0)*0.475*44/12</f>
        <v>14.609630910981949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172.25060505252037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1.9895196601282805E-13</v>
      </c>
      <c r="BE88" s="13">
        <f>BD88*VLOOKUP('Données projet'!$B$11,Paramètres!$A$1:$I$89,3,0)*VLOOKUP('Données projet'!$B$11,Paramètres!$A$1:$I$89,5,0)</f>
        <v>1.738044375088066E-13</v>
      </c>
      <c r="BF88" s="13">
        <f t="shared" si="91"/>
        <v>2.4483293633950478E-12</v>
      </c>
      <c r="BG88" s="20">
        <f t="shared" si="61"/>
        <v>4.566883036574213E-12</v>
      </c>
      <c r="BH88" s="59">
        <f t="shared" si="62"/>
        <v>272.62246072828606</v>
      </c>
      <c r="BI88" s="59">
        <f ca="1">AVERAGE(OFFSET($BH$3,0,0,'Données projet'!$E$11+1,1))-AVERAGE(OFFSET($H$3,0,0,'Données projet'!$E$11+1,1))</f>
        <v>341.62910675299065</v>
      </c>
      <c r="BJ88" s="59">
        <f t="shared" si="92"/>
        <v>407.15938341104709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76.827142986978259</v>
      </c>
      <c r="BQ88" s="21">
        <f>EXP(-LN(2)/25)*BQ87+(1-EXP(-LN(2)/25))/(LN(2)/25)*Calculateur!BL88*Calculateur!BN88*VLOOKUP('Données projet'!$B$11,Paramètres!$A$1:$I$89,3,0)*0.475*44/12</f>
        <v>31.610532680873416</v>
      </c>
      <c r="BR88" s="21">
        <f>EXP(-LN(2)/2)*BR87+(1-EXP(-LN(2)/2))/(LN(2)/2)*BL88*BO88*VLOOKUP('Données projet'!$B$11,Paramètres!$A$1:$I$89,3,0)*0.475*44/12</f>
        <v>2.3124432325686765E-3</v>
      </c>
      <c r="BS88" s="22">
        <f t="shared" si="63"/>
        <v>108.43998811108425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272.98174806540965</v>
      </c>
      <c r="S89" s="59">
        <f ca="1">AVERAGE(OFFSET($R$3,0,0,'Données projet'!$E$9+1,1))-AVERAGE(OFFSET($H$3,0,0,'Données projet'!$E$9+1,1))</f>
        <v>507.66185230065889</v>
      </c>
      <c r="T89" s="59">
        <f t="shared" si="88"/>
        <v>640.14375617778342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222.17065258554933</v>
      </c>
      <c r="AA89" s="21">
        <f>EXP(-LN(2)/25)*AA88+(1-EXP(-LN(2)/25))/(LN(2)/25)*Calculateur!V89*Calculateur!X89*VLOOKUP('Données projet'!$B$9,Paramètres!$A$1:$I$89,3,0)*0.475*44/12</f>
        <v>12.410806066869375</v>
      </c>
      <c r="AB89" s="21">
        <f>EXP(-LN(2)/2)*AB88+(1-EXP(-LN(2)/2))/(LN(2)/2)*V89*Y89*VLOOKUP('Données projet'!$B$9,Paramètres!$A$1:$I$89,3,0)*0.475*44/12</f>
        <v>3.4353973894245265E-6</v>
      </c>
      <c r="AC89" s="22">
        <f t="shared" si="57"/>
        <v>234.58146208781611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-1.5961632016114892E-13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332.74717458063787</v>
      </c>
      <c r="AO89" s="59">
        <f t="shared" si="90"/>
        <v>408.69087885751878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154.54973079012291</v>
      </c>
      <c r="AV89" s="21">
        <f>EXP(-LN(2)/25)*AV88+(1-EXP(-LN(2)/25))/(LN(2)/25)*Calculateur!AQ89*Calculateur!AS89*VLOOKUP('Données projet'!$B$10,Paramètres!$A$1:$I$89,3,0)*0.475*44/12</f>
        <v>14.210129785434049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168.75986057555696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1.9895196601282805E-13</v>
      </c>
      <c r="BE89" s="13">
        <f>BD89*VLOOKUP('Données projet'!$B$11,Paramètres!$A$1:$I$89,3,0)*VLOOKUP('Données projet'!$B$11,Paramètres!$A$1:$I$89,5,0)</f>
        <v>1.738044375088066E-13</v>
      </c>
      <c r="BF89" s="13">
        <f t="shared" si="91"/>
        <v>2.4483293633950478E-12</v>
      </c>
      <c r="BG89" s="20">
        <f t="shared" si="61"/>
        <v>4.566883036574213E-12</v>
      </c>
      <c r="BH89" s="59">
        <f t="shared" si="62"/>
        <v>272.98174806540925</v>
      </c>
      <c r="BI89" s="59">
        <f ca="1">AVERAGE(OFFSET($BH$3,0,0,'Données projet'!$E$11+1,1))-AVERAGE(OFFSET($H$3,0,0,'Données projet'!$E$11+1,1))</f>
        <v>341.62910675299065</v>
      </c>
      <c r="BJ89" s="59">
        <f t="shared" si="92"/>
        <v>407.15938341104709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75.320609572933805</v>
      </c>
      <c r="BQ89" s="21">
        <f>EXP(-LN(2)/25)*BQ88+(1-EXP(-LN(2)/25))/(LN(2)/25)*Calculateur!BL89*Calculateur!BN89*VLOOKUP('Données projet'!$B$11,Paramètres!$A$1:$I$89,3,0)*0.475*44/12</f>
        <v>30.746141002389265</v>
      </c>
      <c r="BR89" s="21">
        <f>EXP(-LN(2)/2)*BR88+(1-EXP(-LN(2)/2))/(LN(2)/2)*BL89*BO89*VLOOKUP('Données projet'!$B$11,Paramètres!$A$1:$I$89,3,0)*0.475*44/12</f>
        <v>1.6351442908582518E-3</v>
      </c>
      <c r="BS89" s="22">
        <f t="shared" si="63"/>
        <v>106.06838571961393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273.33480257047978</v>
      </c>
      <c r="S90" s="59">
        <f ca="1">AVERAGE(OFFSET($R$3,0,0,'Données projet'!$E$9+1,1))-AVERAGE(OFFSET($H$3,0,0,'Données projet'!$E$9+1,1))</f>
        <v>507.66185230065889</v>
      </c>
      <c r="T90" s="59">
        <f t="shared" si="88"/>
        <v>640.14375617778342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217.8140215990642</v>
      </c>
      <c r="AA90" s="21">
        <f>EXP(-LN(2)/25)*AA89+(1-EXP(-LN(2)/25))/(LN(2)/25)*Calculateur!V90*Calculateur!X90*VLOOKUP('Données projet'!$B$9,Paramètres!$A$1:$I$89,3,0)*0.475*44/12</f>
        <v>12.071431922314906</v>
      </c>
      <c r="AB90" s="21">
        <f>EXP(-LN(2)/2)*AB89+(1-EXP(-LN(2)/2))/(LN(2)/2)*V90*Y90*VLOOKUP('Données projet'!$B$9,Paramètres!$A$1:$I$89,3,0)*0.475*44/12</f>
        <v>2.4291927901326452E-6</v>
      </c>
      <c r="AC90" s="22">
        <f t="shared" si="57"/>
        <v>229.8854559505719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-1.5961632016114892E-13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332.74717458063787</v>
      </c>
      <c r="AO90" s="59">
        <f t="shared" si="90"/>
        <v>408.69087885751878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151.51910483535639</v>
      </c>
      <c r="AV90" s="21">
        <f>EXP(-LN(2)/25)*AV89+(1-EXP(-LN(2)/25))/(LN(2)/25)*Calculateur!AQ90*Calculateur!AS90*VLOOKUP('Données projet'!$B$10,Paramètres!$A$1:$I$89,3,0)*0.475*44/12</f>
        <v>13.821553039173107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165.34065787452948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1.9895196601282805E-13</v>
      </c>
      <c r="BE90" s="13">
        <f>BD90*VLOOKUP('Données projet'!$B$11,Paramètres!$A$1:$I$89,3,0)*VLOOKUP('Données projet'!$B$11,Paramètres!$A$1:$I$89,5,0)</f>
        <v>1.738044375088066E-13</v>
      </c>
      <c r="BF90" s="13">
        <f t="shared" si="91"/>
        <v>2.4483293633950478E-12</v>
      </c>
      <c r="BG90" s="20">
        <f t="shared" si="61"/>
        <v>4.566883036574213E-12</v>
      </c>
      <c r="BH90" s="59">
        <f t="shared" si="62"/>
        <v>273.33480257047938</v>
      </c>
      <c r="BI90" s="59">
        <f ca="1">AVERAGE(OFFSET($BH$3,0,0,'Données projet'!$E$11+1,1))-AVERAGE(OFFSET($H$3,0,0,'Données projet'!$E$11+1,1))</f>
        <v>341.62910675299065</v>
      </c>
      <c r="BJ90" s="59">
        <f t="shared" si="92"/>
        <v>407.15938341104709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73.843618360244108</v>
      </c>
      <c r="BQ90" s="21">
        <f>EXP(-LN(2)/25)*BQ89+(1-EXP(-LN(2)/25))/(LN(2)/25)*Calculateur!BL90*Calculateur!BN90*VLOOKUP('Données projet'!$B$11,Paramètres!$A$1:$I$89,3,0)*0.475*44/12</f>
        <v>29.905386159809648</v>
      </c>
      <c r="BR90" s="21">
        <f>EXP(-LN(2)/2)*BR89+(1-EXP(-LN(2)/2))/(LN(2)/2)*BL90*BO90*VLOOKUP('Données projet'!$B$11,Paramètres!$A$1:$I$89,3,0)*0.475*44/12</f>
        <v>1.1562216162843383E-3</v>
      </c>
      <c r="BS90" s="22">
        <f t="shared" si="63"/>
        <v>103.75016074167004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273.68173236919864</v>
      </c>
      <c r="S91" s="59">
        <f ca="1">AVERAGE(OFFSET($R$3,0,0,'Données projet'!$E$9+1,1))-AVERAGE(OFFSET($H$3,0,0,'Données projet'!$E$9+1,1))</f>
        <v>507.66185230065889</v>
      </c>
      <c r="T91" s="59">
        <f t="shared" si="88"/>
        <v>640.14375617778342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213.54282148894154</v>
      </c>
      <c r="AA91" s="21">
        <f>EXP(-LN(2)/25)*AA90+(1-EXP(-LN(2)/25))/(LN(2)/25)*Calculateur!V91*Calculateur!X91*VLOOKUP('Données projet'!$B$9,Paramètres!$A$1:$I$89,3,0)*0.475*44/12</f>
        <v>11.74133798159019</v>
      </c>
      <c r="AB91" s="21">
        <f>EXP(-LN(2)/2)*AB90+(1-EXP(-LN(2)/2))/(LN(2)/2)*V91*Y91*VLOOKUP('Données projet'!$B$9,Paramètres!$A$1:$I$89,3,0)*0.475*44/12</f>
        <v>1.7176986947122632E-6</v>
      </c>
      <c r="AC91" s="22">
        <f t="shared" si="57"/>
        <v>225.28416118823043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-1.5961632016114892E-13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332.74717458063787</v>
      </c>
      <c r="AO91" s="59">
        <f t="shared" si="90"/>
        <v>408.69087885751878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148.54790760706354</v>
      </c>
      <c r="AV91" s="21">
        <f>EXP(-LN(2)/25)*AV90+(1-EXP(-LN(2)/25))/(LN(2)/25)*Calculateur!AQ91*Calculateur!AS91*VLOOKUP('Données projet'!$B$10,Paramètres!$A$1:$I$89,3,0)*0.475*44/12</f>
        <v>13.443601944473034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161.99150955153658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1.9895196601282805E-13</v>
      </c>
      <c r="BE91" s="13">
        <f>BD91*VLOOKUP('Données projet'!$B$11,Paramètres!$A$1:$I$89,3,0)*VLOOKUP('Données projet'!$B$11,Paramètres!$A$1:$I$89,5,0)</f>
        <v>1.738044375088066E-13</v>
      </c>
      <c r="BF91" s="13">
        <f t="shared" si="91"/>
        <v>2.4483293633950478E-12</v>
      </c>
      <c r="BG91" s="20">
        <f t="shared" si="61"/>
        <v>4.566883036574213E-12</v>
      </c>
      <c r="BH91" s="59">
        <f t="shared" si="62"/>
        <v>273.68173236919824</v>
      </c>
      <c r="BI91" s="59">
        <f ca="1">AVERAGE(OFFSET($BH$3,0,0,'Données projet'!$E$11+1,1))-AVERAGE(OFFSET($H$3,0,0,'Données projet'!$E$11+1,1))</f>
        <v>341.62910675299065</v>
      </c>
      <c r="BJ91" s="59">
        <f t="shared" si="92"/>
        <v>407.15938341104709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72.395590044359579</v>
      </c>
      <c r="BQ91" s="21">
        <f>EXP(-LN(2)/25)*BQ90+(1-EXP(-LN(2)/25))/(LN(2)/25)*Calculateur!BL91*Calculateur!BN91*VLOOKUP('Données projet'!$B$11,Paramètres!$A$1:$I$89,3,0)*0.475*44/12</f>
        <v>29.087621802613747</v>
      </c>
      <c r="BR91" s="21">
        <f>EXP(-LN(2)/2)*BR90+(1-EXP(-LN(2)/2))/(LN(2)/2)*BL91*BO91*VLOOKUP('Données projet'!$B$11,Paramètres!$A$1:$I$89,3,0)*0.475*44/12</f>
        <v>8.1757214542912591E-4</v>
      </c>
      <c r="BS91" s="22">
        <f t="shared" si="63"/>
        <v>101.48402941911874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274.02264371152853</v>
      </c>
      <c r="S92" s="59">
        <f ca="1">AVERAGE(OFFSET($R$3,0,0,'Données projet'!$E$9+1,1))-AVERAGE(OFFSET($H$3,0,0,'Données projet'!$E$9+1,1))</f>
        <v>507.66185230065889</v>
      </c>
      <c r="T92" s="59">
        <f t="shared" si="88"/>
        <v>640.14375617778342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209.35537700780355</v>
      </c>
      <c r="AA92" s="21">
        <f>EXP(-LN(2)/25)*AA91+(1-EXP(-LN(2)/25))/(LN(2)/25)*Calculateur!V92*Calculateur!X92*VLOOKUP('Données projet'!$B$9,Paramètres!$A$1:$I$89,3,0)*0.475*44/12</f>
        <v>11.420270477033478</v>
      </c>
      <c r="AB92" s="21">
        <f>EXP(-LN(2)/2)*AB91+(1-EXP(-LN(2)/2))/(LN(2)/2)*V92*Y92*VLOOKUP('Données projet'!$B$9,Paramètres!$A$1:$I$89,3,0)*0.475*44/12</f>
        <v>1.2145963950663226E-6</v>
      </c>
      <c r="AC92" s="22">
        <f t="shared" si="57"/>
        <v>220.77564869943345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-1.5961632016114892E-13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332.74717458063787</v>
      </c>
      <c r="AO92" s="59">
        <f t="shared" si="90"/>
        <v>408.69087885751878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145.63497374416613</v>
      </c>
      <c r="AV92" s="21">
        <f>EXP(-LN(2)/25)*AV91+(1-EXP(-LN(2)/25))/(LN(2)/25)*Calculateur!AQ92*Calculateur!AS92*VLOOKUP('Données projet'!$B$10,Paramètres!$A$1:$I$89,3,0)*0.475*44/12</f>
        <v>13.075985942333119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158.71095968649925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1.9895196601282805E-13</v>
      </c>
      <c r="BE92" s="13">
        <f>BD92*VLOOKUP('Données projet'!$B$11,Paramètres!$A$1:$I$89,3,0)*VLOOKUP('Données projet'!$B$11,Paramètres!$A$1:$I$89,5,0)</f>
        <v>1.738044375088066E-13</v>
      </c>
      <c r="BF92" s="13">
        <f t="shared" si="91"/>
        <v>2.4483293633950478E-12</v>
      </c>
      <c r="BG92" s="20">
        <f t="shared" si="61"/>
        <v>4.566883036574213E-12</v>
      </c>
      <c r="BH92" s="59">
        <f t="shared" si="62"/>
        <v>274.02264371152813</v>
      </c>
      <c r="BI92" s="59">
        <f ca="1">AVERAGE(OFFSET($BH$3,0,0,'Données projet'!$E$11+1,1))-AVERAGE(OFFSET($H$3,0,0,'Données projet'!$E$11+1,1))</f>
        <v>341.62910675299065</v>
      </c>
      <c r="BJ92" s="59">
        <f t="shared" si="92"/>
        <v>407.15938341104709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70.975956680539483</v>
      </c>
      <c r="BQ92" s="21">
        <f>EXP(-LN(2)/25)*BQ91+(1-EXP(-LN(2)/25))/(LN(2)/25)*Calculateur!BL92*Calculateur!BN92*VLOOKUP('Données projet'!$B$11,Paramètres!$A$1:$I$89,3,0)*0.475*44/12</f>
        <v>28.292219254769723</v>
      </c>
      <c r="BR92" s="21">
        <f>EXP(-LN(2)/2)*BR91+(1-EXP(-LN(2)/2))/(LN(2)/2)*BL92*BO92*VLOOKUP('Données projet'!$B$11,Paramètres!$A$1:$I$89,3,0)*0.475*44/12</f>
        <v>5.7811080814216913E-4</v>
      </c>
      <c r="BS92" s="22">
        <f t="shared" si="63"/>
        <v>99.268754046117337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274.35764100423262</v>
      </c>
      <c r="S93" s="59">
        <f ca="1">AVERAGE(OFFSET($R$3,0,0,'Données projet'!$E$9+1,1))-AVERAGE(OFFSET($H$3,0,0,'Données projet'!$E$9+1,1))</f>
        <v>507.66185230065889</v>
      </c>
      <c r="T93" s="59">
        <f t="shared" si="88"/>
        <v>640.14375617778342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205.25004575885174</v>
      </c>
      <c r="AA93" s="21">
        <f>EXP(-LN(2)/25)*AA92+(1-EXP(-LN(2)/25))/(LN(2)/25)*Calculateur!V93*Calculateur!X93*VLOOKUP('Données projet'!$B$9,Paramètres!$A$1:$I$89,3,0)*0.475*44/12</f>
        <v>11.107982580273074</v>
      </c>
      <c r="AB93" s="21">
        <f>EXP(-LN(2)/2)*AB92+(1-EXP(-LN(2)/2))/(LN(2)/2)*V93*Y93*VLOOKUP('Données projet'!$B$9,Paramètres!$A$1:$I$89,3,0)*0.475*44/12</f>
        <v>8.5884934735613162E-7</v>
      </c>
      <c r="AC93" s="22">
        <f t="shared" si="57"/>
        <v>216.35802919797416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-1.5961632016114892E-13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332.74717458063787</v>
      </c>
      <c r="AO93" s="59">
        <f t="shared" si="90"/>
        <v>408.69087885751878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142.77916073760593</v>
      </c>
      <c r="AV93" s="21">
        <f>EXP(-LN(2)/25)*AV92+(1-EXP(-LN(2)/25))/(LN(2)/25)*Calculateur!AQ93*Calculateur!AS93*VLOOKUP('Données projet'!$B$10,Paramètres!$A$1:$I$89,3,0)*0.475*44/12</f>
        <v>12.718422419103804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155.49758315670974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1.9895196601282805E-13</v>
      </c>
      <c r="BE93" s="13">
        <f>BD93*VLOOKUP('Données projet'!$B$11,Paramètres!$A$1:$I$89,3,0)*VLOOKUP('Données projet'!$B$11,Paramètres!$A$1:$I$89,5,0)</f>
        <v>1.738044375088066E-13</v>
      </c>
      <c r="BF93" s="13">
        <f t="shared" si="91"/>
        <v>2.4483293633950478E-12</v>
      </c>
      <c r="BG93" s="20">
        <f t="shared" si="61"/>
        <v>4.566883036574213E-12</v>
      </c>
      <c r="BH93" s="59">
        <f t="shared" si="62"/>
        <v>274.35764100423222</v>
      </c>
      <c r="BI93" s="59">
        <f ca="1">AVERAGE(OFFSET($BH$3,0,0,'Données projet'!$E$11+1,1))-AVERAGE(OFFSET($H$3,0,0,'Données projet'!$E$11+1,1))</f>
        <v>341.62910675299065</v>
      </c>
      <c r="BJ93" s="59">
        <f t="shared" si="92"/>
        <v>407.15938341104709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69.584161461093046</v>
      </c>
      <c r="BQ93" s="21">
        <f>EXP(-LN(2)/25)*BQ92+(1-EXP(-LN(2)/25))/(LN(2)/25)*Calculateur!BL93*Calculateur!BN93*VLOOKUP('Données projet'!$B$11,Paramètres!$A$1:$I$89,3,0)*0.475*44/12</f>
        <v>27.518567031424897</v>
      </c>
      <c r="BR93" s="21">
        <f>EXP(-LN(2)/2)*BR92+(1-EXP(-LN(2)/2))/(LN(2)/2)*BL93*BO93*VLOOKUP('Données projet'!$B$11,Paramètres!$A$1:$I$89,3,0)*0.475*44/12</f>
        <v>4.0878607271456295E-4</v>
      </c>
      <c r="BS93" s="22">
        <f t="shared" si="63"/>
        <v>97.103137278590651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274.68682684285</v>
      </c>
      <c r="S94" s="59">
        <f ca="1">AVERAGE(OFFSET($R$3,0,0,'Données projet'!$E$9+1,1))-AVERAGE(OFFSET($H$3,0,0,'Données projet'!$E$9+1,1))</f>
        <v>507.66185230065889</v>
      </c>
      <c r="T94" s="59">
        <f t="shared" si="88"/>
        <v>640.14375617778342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201.22521755168708</v>
      </c>
      <c r="AA94" s="21">
        <f>EXP(-LN(2)/25)*AA93+(1-EXP(-LN(2)/25))/(LN(2)/25)*Calculateur!V94*Calculateur!X94*VLOOKUP('Données projet'!$B$9,Paramètres!$A$1:$I$89,3,0)*0.475*44/12</f>
        <v>10.804234212472091</v>
      </c>
      <c r="AB94" s="21">
        <f>EXP(-LN(2)/2)*AB93+(1-EXP(-LN(2)/2))/(LN(2)/2)*V94*Y94*VLOOKUP('Données projet'!$B$9,Paramètres!$A$1:$I$89,3,0)*0.475*44/12</f>
        <v>6.072981975331613E-7</v>
      </c>
      <c r="AC94" s="22">
        <f t="shared" si="57"/>
        <v>212.02945237145738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-1.5961632016114892E-13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332.74717458063787</v>
      </c>
      <c r="AO94" s="59">
        <f t="shared" si="90"/>
        <v>408.69087885751878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139.97934848223045</v>
      </c>
      <c r="AV94" s="21">
        <f>EXP(-LN(2)/25)*AV93+(1-EXP(-LN(2)/25))/(LN(2)/25)*Calculateur!AQ94*Calculateur!AS94*VLOOKUP('Données projet'!$B$10,Paramètres!$A$1:$I$89,3,0)*0.475*44/12</f>
        <v>12.370636489220644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152.34998497145108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1.9895196601282805E-13</v>
      </c>
      <c r="BE94" s="13">
        <f>BD94*VLOOKUP('Données projet'!$B$11,Paramètres!$A$1:$I$89,3,0)*VLOOKUP('Données projet'!$B$11,Paramètres!$A$1:$I$89,5,0)</f>
        <v>1.738044375088066E-13</v>
      </c>
      <c r="BF94" s="13">
        <f t="shared" si="91"/>
        <v>2.4483293633950478E-12</v>
      </c>
      <c r="BG94" s="20">
        <f t="shared" si="61"/>
        <v>4.566883036574213E-12</v>
      </c>
      <c r="BH94" s="59">
        <f t="shared" si="62"/>
        <v>274.6868268428496</v>
      </c>
      <c r="BI94" s="59">
        <f ca="1">AVERAGE(OFFSET($BH$3,0,0,'Données projet'!$E$11+1,1))-AVERAGE(OFFSET($H$3,0,0,'Données projet'!$E$11+1,1))</f>
        <v>341.62910675299065</v>
      </c>
      <c r="BJ94" s="59">
        <f t="shared" si="92"/>
        <v>407.15938341104709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68.219658496988686</v>
      </c>
      <c r="BQ94" s="21">
        <f>EXP(-LN(2)/25)*BQ93+(1-EXP(-LN(2)/25))/(LN(2)/25)*Calculateur!BL94*Calculateur!BN94*VLOOKUP('Données projet'!$B$11,Paramètres!$A$1:$I$89,3,0)*0.475*44/12</f>
        <v>26.766070368812038</v>
      </c>
      <c r="BR94" s="21">
        <f>EXP(-LN(2)/2)*BR93+(1-EXP(-LN(2)/2))/(LN(2)/2)*BL94*BO94*VLOOKUP('Données projet'!$B$11,Paramètres!$A$1:$I$89,3,0)*0.475*44/12</f>
        <v>2.8905540407108457E-4</v>
      </c>
      <c r="BS94" s="22">
        <f t="shared" si="63"/>
        <v>94.986017921204791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275.01030204311667</v>
      </c>
      <c r="S95" s="59">
        <f ca="1">AVERAGE(OFFSET($R$3,0,0,'Données projet'!$E$9+1,1))-AVERAGE(OFFSET($H$3,0,0,'Données projet'!$E$9+1,1))</f>
        <v>507.66185230065889</v>
      </c>
      <c r="T95" s="59">
        <f t="shared" si="88"/>
        <v>640.14375617778342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197.27931377076212</v>
      </c>
      <c r="AA95" s="21">
        <f>EXP(-LN(2)/25)*AA94+(1-EXP(-LN(2)/25))/(LN(2)/25)*Calculateur!V95*Calculateur!X95*VLOOKUP('Données projet'!$B$9,Paramètres!$A$1:$I$89,3,0)*0.475*44/12</f>
        <v>10.508791859762058</v>
      </c>
      <c r="AB95" s="21">
        <f>EXP(-LN(2)/2)*AB94+(1-EXP(-LN(2)/2))/(LN(2)/2)*V95*Y95*VLOOKUP('Données projet'!$B$9,Paramètres!$A$1:$I$89,3,0)*0.475*44/12</f>
        <v>4.2942467367806581E-7</v>
      </c>
      <c r="AC95" s="22">
        <f t="shared" si="57"/>
        <v>207.78810605994886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-1.5961632016114892E-13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332.74717458063787</v>
      </c>
      <c r="AO95" s="59">
        <f t="shared" si="90"/>
        <v>408.69087885751878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137.234438837466</v>
      </c>
      <c r="AV95" s="21">
        <f>EXP(-LN(2)/25)*AV94+(1-EXP(-LN(2)/25))/(LN(2)/25)*Calculateur!AQ95*Calculateur!AS95*VLOOKUP('Données projet'!$B$10,Paramètres!$A$1:$I$89,3,0)*0.475*44/12</f>
        <v>12.032360783879406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149.2667996213454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1.9895196601282805E-13</v>
      </c>
      <c r="BE95" s="13">
        <f>BD95*VLOOKUP('Données projet'!$B$11,Paramètres!$A$1:$I$89,3,0)*VLOOKUP('Données projet'!$B$11,Paramètres!$A$1:$I$89,5,0)</f>
        <v>1.738044375088066E-13</v>
      </c>
      <c r="BF95" s="13">
        <f t="shared" si="91"/>
        <v>2.4483293633950478E-12</v>
      </c>
      <c r="BG95" s="20">
        <f t="shared" si="61"/>
        <v>4.566883036574213E-12</v>
      </c>
      <c r="BH95" s="59">
        <f t="shared" si="62"/>
        <v>275.01030204311627</v>
      </c>
      <c r="BI95" s="59">
        <f ca="1">AVERAGE(OFFSET($BH$3,0,0,'Données projet'!$E$11+1,1))-AVERAGE(OFFSET($H$3,0,0,'Données projet'!$E$11+1,1))</f>
        <v>341.62910675299065</v>
      </c>
      <c r="BJ95" s="59">
        <f t="shared" si="92"/>
        <v>407.15938341104709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66.881912603745789</v>
      </c>
      <c r="BQ95" s="21">
        <f>EXP(-LN(2)/25)*BQ94+(1-EXP(-LN(2)/25))/(LN(2)/25)*Calculateur!BL95*Calculateur!BN95*VLOOKUP('Données projet'!$B$11,Paramètres!$A$1:$I$89,3,0)*0.475*44/12</f>
        <v>26.034150767010406</v>
      </c>
      <c r="BR95" s="21">
        <f>EXP(-LN(2)/2)*BR94+(1-EXP(-LN(2)/2))/(LN(2)/2)*BL95*BO95*VLOOKUP('Données projet'!$B$11,Paramètres!$A$1:$I$89,3,0)*0.475*44/12</f>
        <v>2.0439303635728148E-4</v>
      </c>
      <c r="BS95" s="22">
        <f t="shared" si="63"/>
        <v>92.916267763792547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275.32816567184091</v>
      </c>
      <c r="S96" s="59">
        <f ca="1">AVERAGE(OFFSET($R$3,0,0,'Données projet'!$E$9+1,1))-AVERAGE(OFFSET($H$3,0,0,'Données projet'!$E$9+1,1))</f>
        <v>507.66185230065889</v>
      </c>
      <c r="T96" s="59">
        <f t="shared" si="88"/>
        <v>640.14375617778342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193.41078675621742</v>
      </c>
      <c r="AA96" s="21">
        <f>EXP(-LN(2)/25)*AA95+(1-EXP(-LN(2)/25))/(LN(2)/25)*Calculateur!V96*Calculateur!X96*VLOOKUP('Données projet'!$B$9,Paramètres!$A$1:$I$89,3,0)*0.475*44/12</f>
        <v>10.221428393723519</v>
      </c>
      <c r="AB96" s="21">
        <f>EXP(-LN(2)/2)*AB95+(1-EXP(-LN(2)/2))/(LN(2)/2)*V96*Y96*VLOOKUP('Données projet'!$B$9,Paramètres!$A$1:$I$89,3,0)*0.475*44/12</f>
        <v>3.0364909876658065E-7</v>
      </c>
      <c r="AC96" s="22">
        <f t="shared" si="57"/>
        <v>203.63221545359005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-1.5961632016114892E-13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332.74717458063787</v>
      </c>
      <c r="AO96" s="59">
        <f t="shared" si="90"/>
        <v>408.69087885751878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134.54335519660583</v>
      </c>
      <c r="AV96" s="21">
        <f>EXP(-LN(2)/25)*AV95+(1-EXP(-LN(2)/25))/(LN(2)/25)*Calculateur!AQ96*Calculateur!AS96*VLOOKUP('Données projet'!$B$10,Paramètres!$A$1:$I$89,3,0)*0.475*44/12</f>
        <v>11.703335245489871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146.24669044209571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1.9895196601282805E-13</v>
      </c>
      <c r="BE96" s="13">
        <f>BD96*VLOOKUP('Données projet'!$B$11,Paramètres!$A$1:$I$89,3,0)*VLOOKUP('Données projet'!$B$11,Paramètres!$A$1:$I$89,5,0)</f>
        <v>1.738044375088066E-13</v>
      </c>
      <c r="BF96" s="13">
        <f t="shared" si="91"/>
        <v>2.4483293633950478E-12</v>
      </c>
      <c r="BG96" s="20">
        <f t="shared" si="61"/>
        <v>4.566883036574213E-12</v>
      </c>
      <c r="BH96" s="59">
        <f t="shared" si="62"/>
        <v>275.32816567184051</v>
      </c>
      <c r="BI96" s="59">
        <f ca="1">AVERAGE(OFFSET($BH$3,0,0,'Données projet'!$E$11+1,1))-AVERAGE(OFFSET($H$3,0,0,'Données projet'!$E$11+1,1))</f>
        <v>341.62910675299065</v>
      </c>
      <c r="BJ96" s="59">
        <f t="shared" si="92"/>
        <v>407.15938341104709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65.570399091524962</v>
      </c>
      <c r="BQ96" s="21">
        <f>EXP(-LN(2)/25)*BQ95+(1-EXP(-LN(2)/25))/(LN(2)/25)*Calculateur!BL96*Calculateur!BN96*VLOOKUP('Données projet'!$B$11,Paramètres!$A$1:$I$89,3,0)*0.475*44/12</f>
        <v>25.32224554521002</v>
      </c>
      <c r="BR96" s="21">
        <f>EXP(-LN(2)/2)*BR95+(1-EXP(-LN(2)/2))/(LN(2)/2)*BL96*BO96*VLOOKUP('Données projet'!$B$11,Paramètres!$A$1:$I$89,3,0)*0.475*44/12</f>
        <v>1.4452770203554228E-4</v>
      </c>
      <c r="BS96" s="22">
        <f t="shared" si="63"/>
        <v>90.892789164437019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275.64051507724344</v>
      </c>
      <c r="S97" s="59">
        <f ca="1">AVERAGE(OFFSET($R$3,0,0,'Données projet'!$E$9+1,1))-AVERAGE(OFFSET($H$3,0,0,'Données projet'!$E$9+1,1))</f>
        <v>507.66185230065889</v>
      </c>
      <c r="T97" s="59">
        <f t="shared" si="88"/>
        <v>640.14375617778342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189.61811919685945</v>
      </c>
      <c r="AA97" s="21">
        <f>EXP(-LN(2)/25)*AA96+(1-EXP(-LN(2)/25))/(LN(2)/25)*Calculateur!V97*Calculateur!X97*VLOOKUP('Données projet'!$B$9,Paramètres!$A$1:$I$89,3,0)*0.475*44/12</f>
        <v>9.9419228967755924</v>
      </c>
      <c r="AB97" s="21">
        <f>EXP(-LN(2)/2)*AB96+(1-EXP(-LN(2)/2))/(LN(2)/2)*V97*Y97*VLOOKUP('Données projet'!$B$9,Paramètres!$A$1:$I$89,3,0)*0.475*44/12</f>
        <v>2.147123368390329E-7</v>
      </c>
      <c r="AC97" s="22">
        <f t="shared" si="57"/>
        <v>199.56004230834739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-1.5961632016114892E-13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332.74717458063787</v>
      </c>
      <c r="AO97" s="59">
        <f t="shared" si="90"/>
        <v>408.69087885751878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131.90504206454398</v>
      </c>
      <c r="AV97" s="21">
        <f>EXP(-LN(2)/25)*AV96+(1-EXP(-LN(2)/25))/(LN(2)/25)*Calculateur!AQ97*Calculateur!AS97*VLOOKUP('Données projet'!$B$10,Paramètres!$A$1:$I$89,3,0)*0.475*44/12</f>
        <v>11.383306927750299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143.28834899229429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1.9895196601282805E-13</v>
      </c>
      <c r="BE97" s="13">
        <f>BD97*VLOOKUP('Données projet'!$B$11,Paramètres!$A$1:$I$89,3,0)*VLOOKUP('Données projet'!$B$11,Paramètres!$A$1:$I$89,5,0)</f>
        <v>1.738044375088066E-13</v>
      </c>
      <c r="BF97" s="13">
        <f t="shared" si="91"/>
        <v>2.4483293633950478E-12</v>
      </c>
      <c r="BG97" s="20">
        <f t="shared" si="61"/>
        <v>4.566883036574213E-12</v>
      </c>
      <c r="BH97" s="59">
        <f t="shared" si="62"/>
        <v>275.64051507724304</v>
      </c>
      <c r="BI97" s="59">
        <f ca="1">AVERAGE(OFFSET($BH$3,0,0,'Données projet'!$E$11+1,1))-AVERAGE(OFFSET($H$3,0,0,'Données projet'!$E$11+1,1))</f>
        <v>341.62910675299065</v>
      </c>
      <c r="BJ97" s="59">
        <f t="shared" si="92"/>
        <v>407.15938341104709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64.284603559334528</v>
      </c>
      <c r="BQ97" s="21">
        <f>EXP(-LN(2)/25)*BQ96+(1-EXP(-LN(2)/25))/(LN(2)/25)*Calculateur!BL97*Calculateur!BN97*VLOOKUP('Données projet'!$B$11,Paramètres!$A$1:$I$89,3,0)*0.475*44/12</f>
        <v>24.629807409137232</v>
      </c>
      <c r="BR97" s="21">
        <f>EXP(-LN(2)/2)*BR96+(1-EXP(-LN(2)/2))/(LN(2)/2)*BL97*BO97*VLOOKUP('Données projet'!$B$11,Paramètres!$A$1:$I$89,3,0)*0.475*44/12</f>
        <v>1.0219651817864074E-4</v>
      </c>
      <c r="BS97" s="22">
        <f t="shared" si="63"/>
        <v>88.914513164989941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275.94744591877088</v>
      </c>
      <c r="S98" s="59">
        <f ca="1">AVERAGE(OFFSET($R$3,0,0,'Données projet'!$E$9+1,1))-AVERAGE(OFFSET($H$3,0,0,'Données projet'!$E$9+1,1))</f>
        <v>507.66185230065889</v>
      </c>
      <c r="T98" s="59">
        <f t="shared" si="88"/>
        <v>640.14375617778342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185.89982353504169</v>
      </c>
      <c r="AA98" s="21">
        <f>EXP(-LN(2)/25)*AA97+(1-EXP(-LN(2)/25))/(LN(2)/25)*Calculateur!V98*Calculateur!X98*VLOOKUP('Données projet'!$B$9,Paramètres!$A$1:$I$89,3,0)*0.475*44/12</f>
        <v>9.6700604923402604</v>
      </c>
      <c r="AB98" s="21">
        <f>EXP(-LN(2)/2)*AB97+(1-EXP(-LN(2)/2))/(LN(2)/2)*V98*Y98*VLOOKUP('Données projet'!$B$9,Paramètres!$A$1:$I$89,3,0)*0.475*44/12</f>
        <v>1.5182454938329033E-7</v>
      </c>
      <c r="AC98" s="22">
        <f t="shared" si="57"/>
        <v>195.5698841792065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-1.5961632016114892E-13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332.74717458063787</v>
      </c>
      <c r="AO98" s="59">
        <f t="shared" si="90"/>
        <v>408.69087885751878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129.31846464378975</v>
      </c>
      <c r="AV98" s="21">
        <f>EXP(-LN(2)/25)*AV97+(1-EXP(-LN(2)/25))/(LN(2)/25)*Calculateur!AQ98*Calculateur!AS98*VLOOKUP('Données projet'!$B$10,Paramètres!$A$1:$I$89,3,0)*0.475*44/12</f>
        <v>11.072029801188872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140.39049444497863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1.9895196601282805E-13</v>
      </c>
      <c r="BE98" s="13">
        <f>BD98*VLOOKUP('Données projet'!$B$11,Paramètres!$A$1:$I$89,3,0)*VLOOKUP('Données projet'!$B$11,Paramètres!$A$1:$I$89,5,0)</f>
        <v>1.738044375088066E-13</v>
      </c>
      <c r="BF98" s="13">
        <f t="shared" si="91"/>
        <v>2.4483293633950478E-12</v>
      </c>
      <c r="BG98" s="20">
        <f t="shared" si="61"/>
        <v>4.566883036574213E-12</v>
      </c>
      <c r="BH98" s="59">
        <f t="shared" si="62"/>
        <v>275.94744591877048</v>
      </c>
      <c r="BI98" s="59">
        <f ca="1">AVERAGE(OFFSET($BH$3,0,0,'Données projet'!$E$11+1,1))-AVERAGE(OFFSET($H$3,0,0,'Données projet'!$E$11+1,1))</f>
        <v>341.62910675299065</v>
      </c>
      <c r="BJ98" s="59">
        <f t="shared" si="92"/>
        <v>407.15938341104709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63.024021693272509</v>
      </c>
      <c r="BQ98" s="21">
        <f>EXP(-LN(2)/25)*BQ97+(1-EXP(-LN(2)/25))/(LN(2)/25)*Calculateur!BL98*Calculateur!BN98*VLOOKUP('Données projet'!$B$11,Paramètres!$A$1:$I$89,3,0)*0.475*44/12</f>
        <v>23.956304030309095</v>
      </c>
      <c r="BR98" s="21">
        <f>EXP(-LN(2)/2)*BR97+(1-EXP(-LN(2)/2))/(LN(2)/2)*BL98*BO98*VLOOKUP('Données projet'!$B$11,Paramètres!$A$1:$I$89,3,0)*0.475*44/12</f>
        <v>7.2263851017771141E-5</v>
      </c>
      <c r="BS98" s="22">
        <f t="shared" si="63"/>
        <v>86.980397987432625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276.24905219639237</v>
      </c>
      <c r="S99" s="59">
        <f ca="1">AVERAGE(OFFSET($R$3,0,0,'Données projet'!$E$9+1,1))-AVERAGE(OFFSET($H$3,0,0,'Données projet'!$E$9+1,1))</f>
        <v>507.66185230065889</v>
      </c>
      <c r="T99" s="59">
        <f t="shared" si="88"/>
        <v>640.14375617778342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182.25444138321578</v>
      </c>
      <c r="AA99" s="21">
        <f>EXP(-LN(2)/25)*AA98+(1-EXP(-LN(2)/25))/(LN(2)/25)*Calculateur!V99*Calculateur!X99*VLOOKUP('Données projet'!$B$9,Paramètres!$A$1:$I$89,3,0)*0.475*44/12</f>
        <v>9.4056321796508353</v>
      </c>
      <c r="AB99" s="21">
        <f>EXP(-LN(2)/2)*AB98+(1-EXP(-LN(2)/2))/(LN(2)/2)*V99*Y99*VLOOKUP('Données projet'!$B$9,Paramètres!$A$1:$I$89,3,0)*0.475*44/12</f>
        <v>1.0735616841951645E-7</v>
      </c>
      <c r="AC99" s="22">
        <f t="shared" si="57"/>
        <v>191.66007367022277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-1.5961632016114892E-13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332.74717458063787</v>
      </c>
      <c r="AO99" s="59">
        <f t="shared" si="90"/>
        <v>408.69087885751878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126.78260842860006</v>
      </c>
      <c r="AV99" s="21">
        <f>EXP(-LN(2)/25)*AV98+(1-EXP(-LN(2)/25))/(LN(2)/25)*Calculateur!AQ99*Calculateur!AS99*VLOOKUP('Données projet'!$B$10,Paramètres!$A$1:$I$89,3,0)*0.475*44/12</f>
        <v>10.76926456402262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137.55187299262269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1.9895196601282805E-13</v>
      </c>
      <c r="BE99" s="13">
        <f>BD99*VLOOKUP('Données projet'!$B$11,Paramètres!$A$1:$I$89,3,0)*VLOOKUP('Données projet'!$B$11,Paramètres!$A$1:$I$89,5,0)</f>
        <v>1.738044375088066E-13</v>
      </c>
      <c r="BF99" s="13">
        <f t="shared" si="91"/>
        <v>2.4483293633950478E-12</v>
      </c>
      <c r="BG99" s="20">
        <f t="shared" si="61"/>
        <v>4.566883036574213E-12</v>
      </c>
      <c r="BH99" s="59">
        <f t="shared" si="62"/>
        <v>276.24905219639197</v>
      </c>
      <c r="BI99" s="59">
        <f ca="1">AVERAGE(OFFSET($BH$3,0,0,'Données projet'!$E$11+1,1))-AVERAGE(OFFSET($H$3,0,0,'Données projet'!$E$11+1,1))</f>
        <v>341.62910675299065</v>
      </c>
      <c r="BJ99" s="59">
        <f t="shared" si="92"/>
        <v>407.15938341104709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61.788159068724951</v>
      </c>
      <c r="BQ99" s="21">
        <f>EXP(-LN(2)/25)*BQ98+(1-EXP(-LN(2)/25))/(LN(2)/25)*Calculateur!BL99*Calculateur!BN99*VLOOKUP('Données projet'!$B$11,Paramètres!$A$1:$I$89,3,0)*0.475*44/12</f>
        <v>23.301217636793016</v>
      </c>
      <c r="BR99" s="21">
        <f>EXP(-LN(2)/2)*BR98+(1-EXP(-LN(2)/2))/(LN(2)/2)*BL99*BO99*VLOOKUP('Données projet'!$B$11,Paramètres!$A$1:$I$89,3,0)*0.475*44/12</f>
        <v>5.1098259089320369E-5</v>
      </c>
      <c r="BS99" s="22">
        <f t="shared" si="63"/>
        <v>85.089427803777056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276.54542627938775</v>
      </c>
      <c r="S100" s="59">
        <f ca="1">AVERAGE(OFFSET($R$3,0,0,'Données projet'!$E$9+1,1))-AVERAGE(OFFSET($H$3,0,0,'Données projet'!$E$9+1,1))</f>
        <v>507.66185230065889</v>
      </c>
      <c r="T100" s="59">
        <f t="shared" si="88"/>
        <v>640.14375617778342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178.6805429519236</v>
      </c>
      <c r="AA100" s="21">
        <f>EXP(-LN(2)/25)*AA99+(1-EXP(-LN(2)/25))/(LN(2)/25)*Calculateur!V100*Calculateur!X100*VLOOKUP('Données projet'!$B$9,Paramètres!$A$1:$I$89,3,0)*0.475*44/12</f>
        <v>9.148434673077583</v>
      </c>
      <c r="AB100" s="21">
        <f>EXP(-LN(2)/2)*AB99+(1-EXP(-LN(2)/2))/(LN(2)/2)*V100*Y100*VLOOKUP('Données projet'!$B$9,Paramètres!$A$1:$I$89,3,0)*0.475*44/12</f>
        <v>7.5912274691645163E-8</v>
      </c>
      <c r="AC100" s="22">
        <f t="shared" si="57"/>
        <v>187.82897770091347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-1.5961632016114892E-13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332.74717458063787</v>
      </c>
      <c r="AO100" s="59">
        <f t="shared" si="90"/>
        <v>408.69087885751878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124.29647880707067</v>
      </c>
      <c r="AV100" s="21">
        <f>EXP(-LN(2)/25)*AV99+(1-EXP(-LN(2)/25))/(LN(2)/25)*Calculateur!AQ100*Calculateur!AS100*VLOOKUP('Données projet'!$B$10,Paramètres!$A$1:$I$89,3,0)*0.475*44/12</f>
        <v>10.474778458188412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134.77125726525909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1.9895196601282805E-13</v>
      </c>
      <c r="BE100" s="13">
        <f>BD100*VLOOKUP('Données projet'!$B$11,Paramètres!$A$1:$I$89,3,0)*VLOOKUP('Données projet'!$B$11,Paramètres!$A$1:$I$89,5,0)</f>
        <v>1.738044375088066E-13</v>
      </c>
      <c r="BF100" s="13">
        <f t="shared" si="91"/>
        <v>2.4483293633950478E-12</v>
      </c>
      <c r="BG100" s="20">
        <f t="shared" si="61"/>
        <v>4.566883036574213E-12</v>
      </c>
      <c r="BH100" s="59">
        <f t="shared" si="62"/>
        <v>276.54542627938736</v>
      </c>
      <c r="BI100" s="59">
        <f ca="1">AVERAGE(OFFSET($BH$3,0,0,'Données projet'!$E$11+1,1))-AVERAGE(OFFSET($H$3,0,0,'Données projet'!$E$11+1,1))</f>
        <v>341.62910675299065</v>
      </c>
      <c r="BJ100" s="59">
        <f t="shared" si="92"/>
        <v>407.15938341104709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60.576530956443001</v>
      </c>
      <c r="BQ100" s="21">
        <f>EXP(-LN(2)/25)*BQ99+(1-EXP(-LN(2)/25))/(LN(2)/25)*Calculateur!BL100*Calculateur!BN100*VLOOKUP('Données projet'!$B$11,Paramètres!$A$1:$I$89,3,0)*0.475*44/12</f>
        <v>22.664044615157131</v>
      </c>
      <c r="BR100" s="21">
        <f>EXP(-LN(2)/2)*BR99+(1-EXP(-LN(2)/2))/(LN(2)/2)*BL100*BO100*VLOOKUP('Données projet'!$B$11,Paramètres!$A$1:$I$89,3,0)*0.475*44/12</f>
        <v>3.6131925508885571E-5</v>
      </c>
      <c r="BS100" s="22">
        <f t="shared" si="63"/>
        <v>83.240611703525644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276.83665893463632</v>
      </c>
      <c r="S101" s="59">
        <f ca="1">AVERAGE(OFFSET($R$3,0,0,'Données projet'!$E$9+1,1))-AVERAGE(OFFSET($H$3,0,0,'Données projet'!$E$9+1,1))</f>
        <v>507.66185230065889</v>
      </c>
      <c r="T101" s="59">
        <f t="shared" si="88"/>
        <v>640.14375617778342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175.17672648900626</v>
      </c>
      <c r="AA101" s="21">
        <f>EXP(-LN(2)/25)*AA100+(1-EXP(-LN(2)/25))/(LN(2)/25)*Calculateur!V101*Calculateur!X101*VLOOKUP('Données projet'!$B$9,Paramètres!$A$1:$I$89,3,0)*0.475*44/12</f>
        <v>8.8982702458470069</v>
      </c>
      <c r="AB101" s="21">
        <f>EXP(-LN(2)/2)*AB100+(1-EXP(-LN(2)/2))/(LN(2)/2)*V101*Y101*VLOOKUP('Données projet'!$B$9,Paramètres!$A$1:$I$89,3,0)*0.475*44/12</f>
        <v>5.3678084209758226E-8</v>
      </c>
      <c r="AC101" s="22">
        <f t="shared" si="57"/>
        <v>184.07499678853137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-1.5961632016114892E-13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332.74717458063787</v>
      </c>
      <c r="AO101" s="59">
        <f t="shared" si="90"/>
        <v>408.69087885751878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121.85910067103013</v>
      </c>
      <c r="AV101" s="21">
        <f>EXP(-LN(2)/25)*AV100+(1-EXP(-LN(2)/25))/(LN(2)/25)*Calculateur!AQ101*Calculateur!AS101*VLOOKUP('Données projet'!$B$10,Paramètres!$A$1:$I$89,3,0)*0.475*44/12</f>
        <v>10.188345090404592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132.04744576143472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1.9895196601282805E-13</v>
      </c>
      <c r="BE101" s="13">
        <f>BD101*VLOOKUP('Données projet'!$B$11,Paramètres!$A$1:$I$89,3,0)*VLOOKUP('Données projet'!$B$11,Paramètres!$A$1:$I$89,5,0)</f>
        <v>1.738044375088066E-13</v>
      </c>
      <c r="BF101" s="13">
        <f t="shared" si="91"/>
        <v>2.4483293633950478E-12</v>
      </c>
      <c r="BG101" s="20">
        <f t="shared" si="61"/>
        <v>4.566883036574213E-12</v>
      </c>
      <c r="BH101" s="59">
        <f t="shared" si="62"/>
        <v>276.83665893463592</v>
      </c>
      <c r="BI101" s="59">
        <f ca="1">AVERAGE(OFFSET($BH$3,0,0,'Données projet'!$E$11+1,1))-AVERAGE(OFFSET($H$3,0,0,'Données projet'!$E$11+1,1))</f>
        <v>341.62910675299065</v>
      </c>
      <c r="BJ101" s="59">
        <f t="shared" si="92"/>
        <v>407.15938341104709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59.388662132422724</v>
      </c>
      <c r="BQ101" s="21">
        <f>EXP(-LN(2)/25)*BQ100+(1-EXP(-LN(2)/25))/(LN(2)/25)*Calculateur!BL101*Calculateur!BN101*VLOOKUP('Données projet'!$B$11,Paramètres!$A$1:$I$89,3,0)*0.475*44/12</f>
        <v>22.044295123305353</v>
      </c>
      <c r="BR101" s="21">
        <f>EXP(-LN(2)/2)*BR100+(1-EXP(-LN(2)/2))/(LN(2)/2)*BL101*BO101*VLOOKUP('Données projet'!$B$11,Paramètres!$A$1:$I$89,3,0)*0.475*44/12</f>
        <v>2.5549129544660185E-5</v>
      </c>
      <c r="BS101" s="22">
        <f t="shared" si="63"/>
        <v>81.432982804857616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277.12283935441508</v>
      </c>
      <c r="S102" s="59">
        <f ca="1">AVERAGE(OFFSET($R$3,0,0,'Données projet'!$E$9+1,1))-AVERAGE(OFFSET($H$3,0,0,'Données projet'!$E$9+1,1))</f>
        <v>507.66185230065889</v>
      </c>
      <c r="T102" s="59">
        <f t="shared" si="88"/>
        <v>640.14375617778342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171.74161772980972</v>
      </c>
      <c r="AA102" s="21">
        <f>EXP(-LN(2)/25)*AA101+(1-EXP(-LN(2)/25))/(LN(2)/25)*Calculateur!V102*Calculateur!X102*VLOOKUP('Données projet'!$B$9,Paramètres!$A$1:$I$89,3,0)*0.475*44/12</f>
        <v>8.6549465780346253</v>
      </c>
      <c r="AB102" s="21">
        <f>EXP(-LN(2)/2)*AB101+(1-EXP(-LN(2)/2))/(LN(2)/2)*V102*Y102*VLOOKUP('Données projet'!$B$9,Paramètres!$A$1:$I$89,3,0)*0.475*44/12</f>
        <v>3.7956137345822582E-8</v>
      </c>
      <c r="AC102" s="22">
        <f t="shared" si="57"/>
        <v>180.3965643458005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-1.5961632016114892E-13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332.74717458063787</v>
      </c>
      <c r="AO102" s="59">
        <f t="shared" si="90"/>
        <v>408.69087885751878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119.46951803358348</v>
      </c>
      <c r="AV102" s="21">
        <f>EXP(-LN(2)/25)*AV101+(1-EXP(-LN(2)/25))/(LN(2)/25)*Calculateur!AQ102*Calculateur!AS102*VLOOKUP('Données projet'!$B$10,Paramètres!$A$1:$I$89,3,0)*0.475*44/12</f>
        <v>9.9097442581256967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129.37926229170918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1.9895196601282805E-13</v>
      </c>
      <c r="BE102" s="13">
        <f>BD102*VLOOKUP('Données projet'!$B$11,Paramètres!$A$1:$I$89,3,0)*VLOOKUP('Données projet'!$B$11,Paramètres!$A$1:$I$89,5,0)</f>
        <v>1.738044375088066E-13</v>
      </c>
      <c r="BF102" s="13">
        <f t="shared" si="91"/>
        <v>2.4483293633950478E-12</v>
      </c>
      <c r="BG102" s="20">
        <f t="shared" si="61"/>
        <v>4.566883036574213E-12</v>
      </c>
      <c r="BH102" s="59">
        <f t="shared" si="62"/>
        <v>277.12283935441468</v>
      </c>
      <c r="BI102" s="59">
        <f ca="1">AVERAGE(OFFSET($BH$3,0,0,'Données projet'!$E$11+1,1))-AVERAGE(OFFSET($H$3,0,0,'Données projet'!$E$11+1,1))</f>
        <v>341.62910675299065</v>
      </c>
      <c r="BJ102" s="59">
        <f t="shared" si="92"/>
        <v>407.15938341104709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58.224086691513044</v>
      </c>
      <c r="BQ102" s="21">
        <f>EXP(-LN(2)/25)*BQ101+(1-EXP(-LN(2)/25))/(LN(2)/25)*Calculateur!BL102*Calculateur!BN102*VLOOKUP('Données projet'!$B$11,Paramètres!$A$1:$I$89,3,0)*0.475*44/12</f>
        <v>21.441492713899471</v>
      </c>
      <c r="BR102" s="21">
        <f>EXP(-LN(2)/2)*BR101+(1-EXP(-LN(2)/2))/(LN(2)/2)*BL102*BO102*VLOOKUP('Données projet'!$B$11,Paramètres!$A$1:$I$89,3,0)*0.475*44/12</f>
        <v>1.8065962754442785E-5</v>
      </c>
      <c r="BS102" s="22">
        <f t="shared" si="63"/>
        <v>79.665597471375264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277.40405518371415</v>
      </c>
      <c r="S103" s="59">
        <f ca="1">AVERAGE(OFFSET($R$3,0,0,'Données projet'!$E$9+1,1))-AVERAGE(OFFSET($H$3,0,0,'Données projet'!$E$9+1,1))</f>
        <v>507.66185230065889</v>
      </c>
      <c r="T103" s="59">
        <f t="shared" si="88"/>
        <v>640.14375617778342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168.37386935817156</v>
      </c>
      <c r="AA103" s="21">
        <f>EXP(-LN(2)/25)*AA102+(1-EXP(-LN(2)/25))/(LN(2)/25)*Calculateur!V103*Calculateur!X103*VLOOKUP('Données projet'!$B$9,Paramètres!$A$1:$I$89,3,0)*0.475*44/12</f>
        <v>8.4182766087144092</v>
      </c>
      <c r="AB103" s="21">
        <f>EXP(-LN(2)/2)*AB102+(1-EXP(-LN(2)/2))/(LN(2)/2)*V103*Y103*VLOOKUP('Données projet'!$B$9,Paramètres!$A$1:$I$89,3,0)*0.475*44/12</f>
        <v>2.6839042104879113E-8</v>
      </c>
      <c r="AC103" s="22">
        <f t="shared" si="57"/>
        <v>176.79214599372503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-1.5961632016114892E-13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332.74717458063787</v>
      </c>
      <c r="AO103" s="59">
        <f t="shared" si="90"/>
        <v>408.69087885751878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117.12679365415568</v>
      </c>
      <c r="AV103" s="21">
        <f>EXP(-LN(2)/25)*AV102+(1-EXP(-LN(2)/25))/(LN(2)/25)*Calculateur!AQ103*Calculateur!AS103*VLOOKUP('Données projet'!$B$10,Paramètres!$A$1:$I$89,3,0)*0.475*44/12</f>
        <v>9.6387617802564485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126.76555543441212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1.9895196601282805E-13</v>
      </c>
      <c r="BE103" s="13">
        <f>BD103*VLOOKUP('Données projet'!$B$11,Paramètres!$A$1:$I$89,3,0)*VLOOKUP('Données projet'!$B$11,Paramètres!$A$1:$I$89,5,0)</f>
        <v>1.738044375088066E-13</v>
      </c>
      <c r="BF103" s="13">
        <f t="shared" si="91"/>
        <v>2.4483293633950478E-12</v>
      </c>
      <c r="BG103" s="20">
        <f t="shared" si="61"/>
        <v>4.566883036574213E-12</v>
      </c>
      <c r="BH103" s="59">
        <f t="shared" si="62"/>
        <v>277.40405518371375</v>
      </c>
      <c r="BI103" s="59">
        <f ca="1">AVERAGE(OFFSET($BH$3,0,0,'Données projet'!$E$11+1,1))-AVERAGE(OFFSET($H$3,0,0,'Données projet'!$E$11+1,1))</f>
        <v>341.62910675299065</v>
      </c>
      <c r="BJ103" s="59">
        <f t="shared" si="92"/>
        <v>407.15938341104709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57.082347864678717</v>
      </c>
      <c r="BQ103" s="21">
        <f>EXP(-LN(2)/25)*BQ102+(1-EXP(-LN(2)/25))/(LN(2)/25)*Calculateur!BL103*Calculateur!BN103*VLOOKUP('Données projet'!$B$11,Paramètres!$A$1:$I$89,3,0)*0.475*44/12</f>
        <v>20.855173968078795</v>
      </c>
      <c r="BR103" s="21">
        <f>EXP(-LN(2)/2)*BR102+(1-EXP(-LN(2)/2))/(LN(2)/2)*BL103*BO103*VLOOKUP('Données projet'!$B$11,Paramètres!$A$1:$I$89,3,0)*0.475*44/12</f>
        <v>1.2774564772330092E-5</v>
      </c>
      <c r="BS103" s="22">
        <f t="shared" si="63"/>
        <v>77.937534607322277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277.68039254707935</v>
      </c>
      <c r="S104" s="59">
        <f ca="1">AVERAGE(OFFSET($R$3,0,0,'Données projet'!$E$9+1,1))-AVERAGE(OFFSET($H$3,0,0,'Données projet'!$E$9+1,1))</f>
        <v>507.66185230065889</v>
      </c>
      <c r="T104" s="59">
        <f t="shared" si="88"/>
        <v>640.14375617778342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165.07216047797755</v>
      </c>
      <c r="AA104" s="21">
        <f>EXP(-LN(2)/25)*AA103+(1-EXP(-LN(2)/25))/(LN(2)/25)*Calculateur!V104*Calculateur!X104*VLOOKUP('Données projet'!$B$9,Paramètres!$A$1:$I$89,3,0)*0.475*44/12</f>
        <v>8.188078392151187</v>
      </c>
      <c r="AB104" s="21">
        <f>EXP(-LN(2)/2)*AB103+(1-EXP(-LN(2)/2))/(LN(2)/2)*V104*Y104*VLOOKUP('Données projet'!$B$9,Paramètres!$A$1:$I$89,3,0)*0.475*44/12</f>
        <v>1.8978068672911291E-8</v>
      </c>
      <c r="AC104" s="22">
        <f t="shared" si="57"/>
        <v>173.2602388891068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-1.5961632016114892E-13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332.74717458063787</v>
      </c>
      <c r="AO104" s="59">
        <f t="shared" si="90"/>
        <v>408.69087885751878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114.83000867088766</v>
      </c>
      <c r="AV104" s="21">
        <f>EXP(-LN(2)/25)*AV103+(1-EXP(-LN(2)/25))/(LN(2)/25)*Calculateur!AQ104*Calculateur!AS104*VLOOKUP('Données projet'!$B$10,Paramètres!$A$1:$I$89,3,0)*0.475*44/12</f>
        <v>9.3751893324948838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124.20519800338255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1.9895196601282805E-13</v>
      </c>
      <c r="BE104" s="13">
        <f>BD104*VLOOKUP('Données projet'!$B$11,Paramètres!$A$1:$I$89,3,0)*VLOOKUP('Données projet'!$B$11,Paramètres!$A$1:$I$89,5,0)</f>
        <v>1.738044375088066E-13</v>
      </c>
      <c r="BF104" s="13">
        <f t="shared" si="91"/>
        <v>2.4483293633950478E-12</v>
      </c>
      <c r="BG104" s="20">
        <f t="shared" si="61"/>
        <v>4.566883036574213E-12</v>
      </c>
      <c r="BH104" s="59">
        <f t="shared" si="62"/>
        <v>277.68039254707895</v>
      </c>
      <c r="BI104" s="59">
        <f ca="1">AVERAGE(OFFSET($BH$3,0,0,'Données projet'!$E$11+1,1))-AVERAGE(OFFSET($H$3,0,0,'Données projet'!$E$11+1,1))</f>
        <v>341.62910675299065</v>
      </c>
      <c r="BJ104" s="59">
        <f t="shared" si="92"/>
        <v>407.15938341104709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55.962997839846693</v>
      </c>
      <c r="BQ104" s="21">
        <f>EXP(-LN(2)/25)*BQ103+(1-EXP(-LN(2)/25))/(LN(2)/25)*Calculateur!BL104*Calculateur!BN104*VLOOKUP('Données projet'!$B$11,Paramètres!$A$1:$I$89,3,0)*0.475*44/12</f>
        <v>20.284888139195747</v>
      </c>
      <c r="BR104" s="21">
        <f>EXP(-LN(2)/2)*BR103+(1-EXP(-LN(2)/2))/(LN(2)/2)*BL104*BO104*VLOOKUP('Données projet'!$B$11,Paramètres!$A$1:$I$89,3,0)*0.475*44/12</f>
        <v>9.0329813772213927E-6</v>
      </c>
      <c r="BS104" s="22">
        <f t="shared" si="63"/>
        <v>76.247895012023818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277.95193607498788</v>
      </c>
      <c r="S105" s="59">
        <f ca="1">AVERAGE(OFFSET($R$3,0,0,'Données projet'!$E$9+1,1))-AVERAGE(OFFSET($H$3,0,0,'Données projet'!$E$9+1,1))</f>
        <v>507.66185230065889</v>
      </c>
      <c r="T105" s="59">
        <f t="shared" si="88"/>
        <v>640.14375617778342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161.83519609508056</v>
      </c>
      <c r="AA105" s="21">
        <f>EXP(-LN(2)/25)*AA104+(1-EXP(-LN(2)/25))/(LN(2)/25)*Calculateur!V105*Calculateur!X105*VLOOKUP('Données projet'!$B$9,Paramètres!$A$1:$I$89,3,0)*0.475*44/12</f>
        <v>7.9641749579254846</v>
      </c>
      <c r="AB105" s="21">
        <f>EXP(-LN(2)/2)*AB104+(1-EXP(-LN(2)/2))/(LN(2)/2)*V105*Y105*VLOOKUP('Données projet'!$B$9,Paramètres!$A$1:$I$89,3,0)*0.475*44/12</f>
        <v>1.3419521052439557E-8</v>
      </c>
      <c r="AC105" s="22">
        <f t="shared" si="57"/>
        <v>169.79937106642555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-1.5961632016114892E-13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332.74717458063787</v>
      </c>
      <c r="AO105" s="59">
        <f t="shared" si="90"/>
        <v>408.69087885751878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112.57826224024103</v>
      </c>
      <c r="AV105" s="21">
        <f>EXP(-LN(2)/25)*AV104+(1-EXP(-LN(2)/25))/(LN(2)/25)*Calculateur!AQ105*Calculateur!AS105*VLOOKUP('Données projet'!$B$10,Paramètres!$A$1:$I$89,3,0)*0.475*44/12</f>
        <v>9.1188242871780307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121.69708652741906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1.9895196601282805E-13</v>
      </c>
      <c r="BE105" s="13">
        <f>BD105*VLOOKUP('Données projet'!$B$11,Paramètres!$A$1:$I$89,3,0)*VLOOKUP('Données projet'!$B$11,Paramètres!$A$1:$I$89,5,0)</f>
        <v>1.738044375088066E-13</v>
      </c>
      <c r="BF105" s="13">
        <f t="shared" si="91"/>
        <v>2.4483293633950478E-12</v>
      </c>
      <c r="BG105" s="20">
        <f t="shared" si="61"/>
        <v>4.566883036574213E-12</v>
      </c>
      <c r="BH105" s="59">
        <f t="shared" si="62"/>
        <v>277.95193607498749</v>
      </c>
      <c r="BI105" s="59">
        <f ca="1">AVERAGE(OFFSET($BH$3,0,0,'Données projet'!$E$11+1,1))-AVERAGE(OFFSET($H$3,0,0,'Données projet'!$E$11+1,1))</f>
        <v>341.62910675299065</v>
      </c>
      <c r="BJ105" s="59">
        <f t="shared" si="92"/>
        <v>407.15938341104709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54.865597586265523</v>
      </c>
      <c r="BQ105" s="21">
        <f>EXP(-LN(2)/25)*BQ104+(1-EXP(-LN(2)/25))/(LN(2)/25)*Calculateur!BL105*Calculateur!BN105*VLOOKUP('Données projet'!$B$11,Paramètres!$A$1:$I$89,3,0)*0.475*44/12</f>
        <v>19.730196806293534</v>
      </c>
      <c r="BR105" s="21">
        <f>EXP(-LN(2)/2)*BR104+(1-EXP(-LN(2)/2))/(LN(2)/2)*BL105*BO105*VLOOKUP('Données projet'!$B$11,Paramètres!$A$1:$I$89,3,0)*0.475*44/12</f>
        <v>6.3872823861650461E-6</v>
      </c>
      <c r="BS105" s="22">
        <f t="shared" si="63"/>
        <v>74.59580077984144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278.21876892976763</v>
      </c>
      <c r="S106" s="59">
        <f ca="1">AVERAGE(OFFSET($R$3,0,0,'Données projet'!$E$9+1,1))-AVERAGE(OFFSET($H$3,0,0,'Données projet'!$E$9+1,1))</f>
        <v>507.66185230065889</v>
      </c>
      <c r="T106" s="59">
        <f t="shared" si="88"/>
        <v>640.14375617778342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158.66170660937888</v>
      </c>
      <c r="AA106" s="21">
        <f>EXP(-LN(2)/25)*AA105+(1-EXP(-LN(2)/25))/(LN(2)/25)*Calculateur!V106*Calculateur!X106*VLOOKUP('Données projet'!$B$9,Paramètres!$A$1:$I$89,3,0)*0.475*44/12</f>
        <v>7.7463941748832532</v>
      </c>
      <c r="AB106" s="21">
        <f>EXP(-LN(2)/2)*AB105+(1-EXP(-LN(2)/2))/(LN(2)/2)*V106*Y106*VLOOKUP('Données projet'!$B$9,Paramètres!$A$1:$I$89,3,0)*0.475*44/12</f>
        <v>9.4890343364556454E-9</v>
      </c>
      <c r="AC106" s="22">
        <f t="shared" si="57"/>
        <v>166.40810079375117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-1.5961632016114892E-13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332.74717458063787</v>
      </c>
      <c r="AO106" s="59">
        <f t="shared" si="90"/>
        <v>408.69087885751878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110.37067118366967</v>
      </c>
      <c r="AV106" s="21">
        <f>EXP(-LN(2)/25)*AV105+(1-EXP(-LN(2)/25))/(LN(2)/25)*Calculateur!AQ106*Calculateur!AS106*VLOOKUP('Données projet'!$B$10,Paramètres!$A$1:$I$89,3,0)*0.475*44/12</f>
        <v>8.8694695575070188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119.24014074117669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1.9895196601282805E-13</v>
      </c>
      <c r="BE106" s="13">
        <f>BD106*VLOOKUP('Données projet'!$B$11,Paramètres!$A$1:$I$89,3,0)*VLOOKUP('Données projet'!$B$11,Paramètres!$A$1:$I$89,5,0)</f>
        <v>1.738044375088066E-13</v>
      </c>
      <c r="BF106" s="13">
        <f t="shared" si="91"/>
        <v>2.4483293633950478E-12</v>
      </c>
      <c r="BG106" s="20">
        <f t="shared" si="61"/>
        <v>4.566883036574213E-12</v>
      </c>
      <c r="BH106" s="59">
        <f t="shared" si="62"/>
        <v>278.21876892976724</v>
      </c>
      <c r="BI106" s="59">
        <f ca="1">AVERAGE(OFFSET($BH$3,0,0,'Données projet'!$E$11+1,1))-AVERAGE(OFFSET($H$3,0,0,'Données projet'!$E$11+1,1))</f>
        <v>341.62910675299065</v>
      </c>
      <c r="BJ106" s="59">
        <f t="shared" si="92"/>
        <v>407.15938341104709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53.78971668230902</v>
      </c>
      <c r="BQ106" s="21">
        <f>EXP(-LN(2)/25)*BQ105+(1-EXP(-LN(2)/25))/(LN(2)/25)*Calculateur!BL106*Calculateur!BN106*VLOOKUP('Données projet'!$B$11,Paramètres!$A$1:$I$89,3,0)*0.475*44/12</f>
        <v>19.190673537059482</v>
      </c>
      <c r="BR106" s="21">
        <f>EXP(-LN(2)/2)*BR105+(1-EXP(-LN(2)/2))/(LN(2)/2)*BL106*BO106*VLOOKUP('Données projet'!$B$11,Paramètres!$A$1:$I$89,3,0)*0.475*44/12</f>
        <v>4.5164906886106963E-6</v>
      </c>
      <c r="BS106" s="22">
        <f t="shared" si="63"/>
        <v>72.980394735859193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278.48097283106586</v>
      </c>
      <c r="S107" s="59">
        <f ca="1">AVERAGE(OFFSET($R$3,0,0,'Données projet'!$E$9+1,1))-AVERAGE(OFFSET($H$3,0,0,'Données projet'!$E$9+1,1))</f>
        <v>507.66185230065889</v>
      </c>
      <c r="T107" s="59">
        <f t="shared" si="88"/>
        <v>640.14375617778342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155.55044731685436</v>
      </c>
      <c r="AA107" s="21">
        <f>EXP(-LN(2)/25)*AA106+(1-EXP(-LN(2)/25))/(LN(2)/25)*Calculateur!V107*Calculateur!X107*VLOOKUP('Données projet'!$B$9,Paramètres!$A$1:$I$89,3,0)*0.475*44/12</f>
        <v>7.5345686188059053</v>
      </c>
      <c r="AB107" s="21">
        <f>EXP(-LN(2)/2)*AB106+(1-EXP(-LN(2)/2))/(LN(2)/2)*V107*Y107*VLOOKUP('Données projet'!$B$9,Paramètres!$A$1:$I$89,3,0)*0.475*44/12</f>
        <v>6.7097605262197783E-9</v>
      </c>
      <c r="AC107" s="22">
        <f t="shared" si="57"/>
        <v>163.08501594237003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-1.5961632016114892E-13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332.74717458063787</v>
      </c>
      <c r="AO107" s="59">
        <f t="shared" si="90"/>
        <v>408.69087885751878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108.20636964122009</v>
      </c>
      <c r="AV107" s="21">
        <f>EXP(-LN(2)/25)*AV106+(1-EXP(-LN(2)/25))/(LN(2)/25)*Calculateur!AQ107*Calculateur!AS107*VLOOKUP('Données projet'!$B$10,Paramètres!$A$1:$I$89,3,0)*0.475*44/12</f>
        <v>8.6269334460318561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116.83330308725195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1.9895196601282805E-13</v>
      </c>
      <c r="BE107" s="13">
        <f>BD107*VLOOKUP('Données projet'!$B$11,Paramètres!$A$1:$I$89,3,0)*VLOOKUP('Données projet'!$B$11,Paramètres!$A$1:$I$89,5,0)</f>
        <v>1.738044375088066E-13</v>
      </c>
      <c r="BF107" s="13">
        <f t="shared" si="91"/>
        <v>2.4483293633950478E-12</v>
      </c>
      <c r="BG107" s="20">
        <f t="shared" si="61"/>
        <v>4.566883036574213E-12</v>
      </c>
      <c r="BH107" s="59">
        <f t="shared" si="62"/>
        <v>278.48097283106546</v>
      </c>
      <c r="BI107" s="59">
        <f ca="1">AVERAGE(OFFSET($BH$3,0,0,'Données projet'!$E$11+1,1))-AVERAGE(OFFSET($H$3,0,0,'Données projet'!$E$11+1,1))</f>
        <v>341.62910675299065</v>
      </c>
      <c r="BJ107" s="59">
        <f t="shared" si="92"/>
        <v>407.15938341104709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52.734933146656545</v>
      </c>
      <c r="BQ107" s="21">
        <f>EXP(-LN(2)/25)*BQ106+(1-EXP(-LN(2)/25))/(LN(2)/25)*Calculateur!BL107*Calculateur!BN107*VLOOKUP('Données projet'!$B$11,Paramètres!$A$1:$I$89,3,0)*0.475*44/12</f>
        <v>18.665903559994931</v>
      </c>
      <c r="BR107" s="21">
        <f>EXP(-LN(2)/2)*BR106+(1-EXP(-LN(2)/2))/(LN(2)/2)*BL107*BO107*VLOOKUP('Données projet'!$B$11,Paramètres!$A$1:$I$89,3,0)*0.475*44/12</f>
        <v>3.1936411930825231E-6</v>
      </c>
      <c r="BS107" s="22">
        <f t="shared" si="63"/>
        <v>71.400839900292667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278.73862808087671</v>
      </c>
      <c r="S108" s="59">
        <f ca="1">AVERAGE(OFFSET($R$3,0,0,'Données projet'!$E$9+1,1))-AVERAGE(OFFSET($H$3,0,0,'Données projet'!$E$9+1,1))</f>
        <v>507.66185230065889</v>
      </c>
      <c r="T108" s="59">
        <f t="shared" si="88"/>
        <v>640.14375617778342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152.50019792137545</v>
      </c>
      <c r="AA108" s="21">
        <f>EXP(-LN(2)/25)*AA107+(1-EXP(-LN(2)/25))/(LN(2)/25)*Calculateur!V108*Calculateur!X108*VLOOKUP('Données projet'!$B$9,Paramètres!$A$1:$I$89,3,0)*0.475*44/12</f>
        <v>7.3285354436989145</v>
      </c>
      <c r="AB108" s="21">
        <f>EXP(-LN(2)/2)*AB107+(1-EXP(-LN(2)/2))/(LN(2)/2)*V108*Y108*VLOOKUP('Données projet'!$B$9,Paramètres!$A$1:$I$89,3,0)*0.475*44/12</f>
        <v>4.7445171682278227E-9</v>
      </c>
      <c r="AC108" s="22">
        <f t="shared" si="57"/>
        <v>159.82873336981888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-1.5961632016114892E-13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332.74717458063787</v>
      </c>
      <c r="AO108" s="59">
        <f t="shared" si="90"/>
        <v>408.69087885751878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106.08450873192434</v>
      </c>
      <c r="AV108" s="21">
        <f>EXP(-LN(2)/25)*AV107+(1-EXP(-LN(2)/25))/(LN(2)/25)*Calculateur!AQ108*Calculateur!AS108*VLOOKUP('Données projet'!$B$10,Paramètres!$A$1:$I$89,3,0)*0.475*44/12</f>
        <v>8.3910294972794013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114.47553822920375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1.9895196601282805E-13</v>
      </c>
      <c r="BE108" s="13">
        <f>BD108*VLOOKUP('Données projet'!$B$11,Paramètres!$A$1:$I$89,3,0)*VLOOKUP('Données projet'!$B$11,Paramètres!$A$1:$I$89,5,0)</f>
        <v>1.738044375088066E-13</v>
      </c>
      <c r="BF108" s="13">
        <f t="shared" si="91"/>
        <v>2.4483293633950478E-12</v>
      </c>
      <c r="BG108" s="20">
        <f t="shared" si="61"/>
        <v>4.566883036574213E-12</v>
      </c>
      <c r="BH108" s="59">
        <f t="shared" si="62"/>
        <v>278.73862808087631</v>
      </c>
      <c r="BI108" s="59">
        <f ca="1">AVERAGE(OFFSET($BH$3,0,0,'Données projet'!$E$11+1,1))-AVERAGE(OFFSET($H$3,0,0,'Données projet'!$E$11+1,1))</f>
        <v>341.62910675299065</v>
      </c>
      <c r="BJ108" s="59">
        <f t="shared" si="92"/>
        <v>407.15938341104709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51.700833272783782</v>
      </c>
      <c r="BQ108" s="21">
        <f>EXP(-LN(2)/25)*BQ107+(1-EXP(-LN(2)/25))/(LN(2)/25)*Calculateur!BL108*Calculateur!BN108*VLOOKUP('Données projet'!$B$11,Paramètres!$A$1:$I$89,3,0)*0.475*44/12</f>
        <v>18.155483445549663</v>
      </c>
      <c r="BR108" s="21">
        <f>EXP(-LN(2)/2)*BR107+(1-EXP(-LN(2)/2))/(LN(2)/2)*BL108*BO108*VLOOKUP('Données projet'!$B$11,Paramètres!$A$1:$I$89,3,0)*0.475*44/12</f>
        <v>2.2582453443053482E-6</v>
      </c>
      <c r="BS108" s="22">
        <f t="shared" si="63"/>
        <v>69.856318976578791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278.99181358813405</v>
      </c>
      <c r="S109" s="59">
        <f ca="1">AVERAGE(OFFSET($R$3,0,0,'Données projet'!$E$9+1,1))-AVERAGE(OFFSET($H$3,0,0,'Données projet'!$E$9+1,1))</f>
        <v>507.66185230065889</v>
      </c>
      <c r="T109" s="59">
        <f t="shared" si="88"/>
        <v>640.14375617778342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149.50976205607344</v>
      </c>
      <c r="AA109" s="21">
        <f>EXP(-LN(2)/25)*AA108+(1-EXP(-LN(2)/25))/(LN(2)/25)*Calculateur!V109*Calculateur!X109*VLOOKUP('Données projet'!$B$9,Paramètres!$A$1:$I$89,3,0)*0.475*44/12</f>
        <v>7.1281362566000386</v>
      </c>
      <c r="AB109" s="21">
        <f>EXP(-LN(2)/2)*AB108+(1-EXP(-LN(2)/2))/(LN(2)/2)*V109*Y109*VLOOKUP('Données projet'!$B$9,Paramètres!$A$1:$I$89,3,0)*0.475*44/12</f>
        <v>3.3548802631098891E-9</v>
      </c>
      <c r="AC109" s="22">
        <f t="shared" si="57"/>
        <v>156.63789831602836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-1.5961632016114892E-13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332.74717458063787</v>
      </c>
      <c r="AO109" s="59">
        <f t="shared" si="90"/>
        <v>408.69087885751878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104.00425622085253</v>
      </c>
      <c r="AV109" s="21">
        <f>EXP(-LN(2)/25)*AV108+(1-EXP(-LN(2)/25))/(LN(2)/25)*Calculateur!AQ109*Calculateur!AS109*VLOOKUP('Données projet'!$B$10,Paramètres!$A$1:$I$89,3,0)*0.475*44/12</f>
        <v>8.161576354411233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112.16583257526376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1.9895196601282805E-13</v>
      </c>
      <c r="BE109" s="13">
        <f>BD109*VLOOKUP('Données projet'!$B$11,Paramètres!$A$1:$I$89,3,0)*VLOOKUP('Données projet'!$B$11,Paramètres!$A$1:$I$89,5,0)</f>
        <v>1.738044375088066E-13</v>
      </c>
      <c r="BF109" s="13">
        <f t="shared" si="91"/>
        <v>2.4483293633950478E-12</v>
      </c>
      <c r="BG109" s="20">
        <f t="shared" si="61"/>
        <v>4.566883036574213E-12</v>
      </c>
      <c r="BH109" s="59">
        <f t="shared" si="62"/>
        <v>278.99181358813365</v>
      </c>
      <c r="BI109" s="59">
        <f ca="1">AVERAGE(OFFSET($BH$3,0,0,'Données projet'!$E$11+1,1))-AVERAGE(OFFSET($H$3,0,0,'Données projet'!$E$11+1,1))</f>
        <v>341.62910675299065</v>
      </c>
      <c r="BJ109" s="59">
        <f t="shared" si="92"/>
        <v>407.15938341104709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50.687011466699026</v>
      </c>
      <c r="BQ109" s="21">
        <f>EXP(-LN(2)/25)*BQ108+(1-EXP(-LN(2)/25))/(LN(2)/25)*Calculateur!BL109*Calculateur!BN109*VLOOKUP('Données projet'!$B$11,Paramètres!$A$1:$I$89,3,0)*0.475*44/12</f>
        <v>17.659020795975728</v>
      </c>
      <c r="BR109" s="21">
        <f>EXP(-LN(2)/2)*BR108+(1-EXP(-LN(2)/2))/(LN(2)/2)*BL109*BO109*VLOOKUP('Données projet'!$B$11,Paramètres!$A$1:$I$89,3,0)*0.475*44/12</f>
        <v>1.5968205965412615E-6</v>
      </c>
      <c r="BS109" s="22">
        <f t="shared" si="63"/>
        <v>68.34603385949535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279.24060689287859</v>
      </c>
      <c r="S110" s="59">
        <f ca="1">AVERAGE(OFFSET($R$3,0,0,'Données projet'!$E$9+1,1))-AVERAGE(OFFSET($H$3,0,0,'Données projet'!$E$9+1,1))</f>
        <v>507.66185230065889</v>
      </c>
      <c r="T110" s="59">
        <f t="shared" si="88"/>
        <v>640.14375617778342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146.57796681410423</v>
      </c>
      <c r="AA110" s="21">
        <f>EXP(-LN(2)/25)*AA109+(1-EXP(-LN(2)/25))/(LN(2)/25)*Calculateur!V110*Calculateur!X110*VLOOKUP('Données projet'!$B$9,Paramètres!$A$1:$I$89,3,0)*0.475*44/12</f>
        <v>6.9332169958109162</v>
      </c>
      <c r="AB110" s="21">
        <f>EXP(-LN(2)/2)*AB109+(1-EXP(-LN(2)/2))/(LN(2)/2)*V110*Y110*VLOOKUP('Données projet'!$B$9,Paramètres!$A$1:$I$89,3,0)*0.475*44/12</f>
        <v>2.3722585841139113E-9</v>
      </c>
      <c r="AC110" s="22">
        <f t="shared" si="57"/>
        <v>153.51118381228738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-1.5961632016114892E-13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332.74717458063787</v>
      </c>
      <c r="AO110" s="59">
        <f t="shared" si="90"/>
        <v>408.69087885751878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101.96479619269408</v>
      </c>
      <c r="AV110" s="21">
        <f>EXP(-LN(2)/25)*AV109+(1-EXP(-LN(2)/25))/(LN(2)/25)*Calculateur!AQ110*Calculateur!AS110*VLOOKUP('Données projet'!$B$10,Paramètres!$A$1:$I$89,3,0)*0.475*44/12</f>
        <v>7.9383976198012105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109.90319381249529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1.9895196601282805E-13</v>
      </c>
      <c r="BE110" s="13">
        <f>BD110*VLOOKUP('Données projet'!$B$11,Paramètres!$A$1:$I$89,3,0)*VLOOKUP('Données projet'!$B$11,Paramètres!$A$1:$I$89,5,0)</f>
        <v>1.738044375088066E-13</v>
      </c>
      <c r="BF110" s="13">
        <f t="shared" si="91"/>
        <v>2.4483293633950478E-12</v>
      </c>
      <c r="BG110" s="20">
        <f t="shared" si="61"/>
        <v>4.566883036574213E-12</v>
      </c>
      <c r="BH110" s="59">
        <f t="shared" si="62"/>
        <v>279.24060689287819</v>
      </c>
      <c r="BI110" s="59">
        <f ca="1">AVERAGE(OFFSET($BH$3,0,0,'Données projet'!$E$11+1,1))-AVERAGE(OFFSET($H$3,0,0,'Données projet'!$E$11+1,1))</f>
        <v>341.62910675299065</v>
      </c>
      <c r="BJ110" s="59">
        <f t="shared" si="92"/>
        <v>407.15938341104709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49.693070087861351</v>
      </c>
      <c r="BQ110" s="21">
        <f>EXP(-LN(2)/25)*BQ109+(1-EXP(-LN(2)/25))/(LN(2)/25)*Calculateur!BL110*Calculateur!BN110*VLOOKUP('Données projet'!$B$11,Paramètres!$A$1:$I$89,3,0)*0.475*44/12</f>
        <v>17.176133943662229</v>
      </c>
      <c r="BR110" s="21">
        <f>EXP(-LN(2)/2)*BR109+(1-EXP(-LN(2)/2))/(LN(2)/2)*BL110*BO110*VLOOKUP('Données projet'!$B$11,Paramètres!$A$1:$I$89,3,0)*0.475*44/12</f>
        <v>1.1291226721526741E-6</v>
      </c>
      <c r="BS110" s="22">
        <f t="shared" si="63"/>
        <v>66.869205160646246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279.48508419000427</v>
      </c>
      <c r="S111" s="59">
        <f ca="1">AVERAGE(OFFSET($R$3,0,0,'Données projet'!$E$9+1,1))-AVERAGE(OFFSET($H$3,0,0,'Données projet'!$E$9+1,1))</f>
        <v>507.66185230065889</v>
      </c>
      <c r="T111" s="59">
        <f t="shared" si="88"/>
        <v>640.14375617778342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143.70366228861153</v>
      </c>
      <c r="AA111" s="21">
        <f>EXP(-LN(2)/25)*AA110+(1-EXP(-LN(2)/25))/(LN(2)/25)*Calculateur!V111*Calculateur!X111*VLOOKUP('Données projet'!$B$9,Paramètres!$A$1:$I$89,3,0)*0.475*44/12</f>
        <v>6.7436278124584312</v>
      </c>
      <c r="AB111" s="21">
        <f>EXP(-LN(2)/2)*AB110+(1-EXP(-LN(2)/2))/(LN(2)/2)*V111*Y111*VLOOKUP('Données projet'!$B$9,Paramètres!$A$1:$I$89,3,0)*0.475*44/12</f>
        <v>1.6774401315549446E-9</v>
      </c>
      <c r="AC111" s="22">
        <f t="shared" si="57"/>
        <v>150.44729010274742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-1.5961632016114892E-13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332.74717458063787</v>
      </c>
      <c r="AO111" s="59">
        <f t="shared" si="90"/>
        <v>408.69087885751878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99.965328731740044</v>
      </c>
      <c r="AV111" s="21">
        <f>EXP(-LN(2)/25)*AV110+(1-EXP(-LN(2)/25))/(LN(2)/25)*Calculateur!AQ111*Calculateur!AS111*VLOOKUP('Données projet'!$B$10,Paramètres!$A$1:$I$89,3,0)*0.475*44/12</f>
        <v>7.7213217194255588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107.6866504511656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1.9895196601282805E-13</v>
      </c>
      <c r="BE111" s="13">
        <f>BD111*VLOOKUP('Données projet'!$B$11,Paramètres!$A$1:$I$89,3,0)*VLOOKUP('Données projet'!$B$11,Paramètres!$A$1:$I$89,5,0)</f>
        <v>1.738044375088066E-13</v>
      </c>
      <c r="BF111" s="13">
        <f t="shared" si="91"/>
        <v>2.4483293633950478E-12</v>
      </c>
      <c r="BG111" s="20">
        <f t="shared" si="61"/>
        <v>4.566883036574213E-12</v>
      </c>
      <c r="BH111" s="59">
        <f t="shared" si="62"/>
        <v>279.48508419000387</v>
      </c>
      <c r="BI111" s="59">
        <f ca="1">AVERAGE(OFFSET($BH$3,0,0,'Données projet'!$E$11+1,1))-AVERAGE(OFFSET($H$3,0,0,'Données projet'!$E$11+1,1))</f>
        <v>341.62910675299065</v>
      </c>
      <c r="BJ111" s="59">
        <f t="shared" si="92"/>
        <v>407.15938341104709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48.718619293218303</v>
      </c>
      <c r="BQ111" s="21">
        <f>EXP(-LN(2)/25)*BQ110+(1-EXP(-LN(2)/25))/(LN(2)/25)*Calculateur!BL111*Calculateur!BN111*VLOOKUP('Données projet'!$B$11,Paramètres!$A$1:$I$89,3,0)*0.475*44/12</f>
        <v>16.706451657719157</v>
      </c>
      <c r="BR111" s="21">
        <f>EXP(-LN(2)/2)*BR110+(1-EXP(-LN(2)/2))/(LN(2)/2)*BL111*BO111*VLOOKUP('Données projet'!$B$11,Paramètres!$A$1:$I$89,3,0)*0.475*44/12</f>
        <v>7.9841029827063077E-7</v>
      </c>
      <c r="BS111" s="22">
        <f t="shared" si="63"/>
        <v>65.425071749347751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279.72532035259422</v>
      </c>
      <c r="S112" s="59">
        <f ca="1">AVERAGE(OFFSET($R$3,0,0,'Données projet'!$E$9+1,1))-AVERAGE(OFFSET($H$3,0,0,'Données projet'!$E$9+1,1))</f>
        <v>507.66185230065889</v>
      </c>
      <c r="T112" s="59">
        <f t="shared" si="88"/>
        <v>640.14375617778342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140.88572112171107</v>
      </c>
      <c r="AA112" s="21">
        <f>EXP(-LN(2)/25)*AA111+(1-EXP(-LN(2)/25))/(LN(2)/25)*Calculateur!V112*Calculateur!X112*VLOOKUP('Données projet'!$B$9,Paramètres!$A$1:$I$89,3,0)*0.475*44/12</f>
        <v>6.5592229552947812</v>
      </c>
      <c r="AB112" s="21">
        <f>EXP(-LN(2)/2)*AB111+(1-EXP(-LN(2)/2))/(LN(2)/2)*V112*Y112*VLOOKUP('Données projet'!$B$9,Paramètres!$A$1:$I$89,3,0)*0.475*44/12</f>
        <v>1.1861292920569557E-9</v>
      </c>
      <c r="AC112" s="22">
        <f t="shared" si="57"/>
        <v>147.44494407819198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-1.5961632016114892E-13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332.74717458063787</v>
      </c>
      <c r="AO112" s="59">
        <f t="shared" si="90"/>
        <v>408.69087885751878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98.005069608140587</v>
      </c>
      <c r="AV112" s="21">
        <f>EXP(-LN(2)/25)*AV111+(1-EXP(-LN(2)/25))/(LN(2)/25)*Calculateur!AQ112*Calculateur!AS112*VLOOKUP('Données projet'!$B$10,Paramètres!$A$1:$I$89,3,0)*0.475*44/12</f>
        <v>7.5101817709612053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105.5152513791018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1.9895196601282805E-13</v>
      </c>
      <c r="BE112" s="13">
        <f>BD112*VLOOKUP('Données projet'!$B$11,Paramètres!$A$1:$I$89,3,0)*VLOOKUP('Données projet'!$B$11,Paramètres!$A$1:$I$89,5,0)</f>
        <v>1.738044375088066E-13</v>
      </c>
      <c r="BF112" s="13">
        <f t="shared" si="91"/>
        <v>2.4483293633950478E-12</v>
      </c>
      <c r="BG112" s="20">
        <f t="shared" si="61"/>
        <v>4.566883036574213E-12</v>
      </c>
      <c r="BH112" s="59">
        <f t="shared" si="62"/>
        <v>279.72532035259383</v>
      </c>
      <c r="BI112" s="59">
        <f ca="1">AVERAGE(OFFSET($BH$3,0,0,'Données projet'!$E$11+1,1))-AVERAGE(OFFSET($H$3,0,0,'Données projet'!$E$11+1,1))</f>
        <v>341.62910675299065</v>
      </c>
      <c r="BJ112" s="59">
        <f t="shared" si="92"/>
        <v>407.15938341104709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47.763276884301909</v>
      </c>
      <c r="BQ112" s="21">
        <f>EXP(-LN(2)/25)*BQ111+(1-EXP(-LN(2)/25))/(LN(2)/25)*Calculateur!BL112*Calculateur!BN112*VLOOKUP('Données projet'!$B$11,Paramètres!$A$1:$I$89,3,0)*0.475*44/12</f>
        <v>16.249612858584715</v>
      </c>
      <c r="BR112" s="21">
        <f>EXP(-LN(2)/2)*BR111+(1-EXP(-LN(2)/2))/(LN(2)/2)*BL112*BO112*VLOOKUP('Données projet'!$B$11,Paramètres!$A$1:$I$89,3,0)*0.475*44/12</f>
        <v>5.6456133607633704E-7</v>
      </c>
      <c r="BS112" s="22">
        <f t="shared" si="63"/>
        <v>64.012890307447961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279.9613889548508</v>
      </c>
      <c r="S113" s="59">
        <f ca="1">AVERAGE(OFFSET($R$3,0,0,'Données projet'!$E$9+1,1))-AVERAGE(OFFSET($H$3,0,0,'Données projet'!$E$9+1,1))</f>
        <v>507.66185230065889</v>
      </c>
      <c r="T113" s="59">
        <f t="shared" si="88"/>
        <v>640.14375617778342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138.12303806231915</v>
      </c>
      <c r="AA113" s="21">
        <f>EXP(-LN(2)/25)*AA112+(1-EXP(-LN(2)/25))/(LN(2)/25)*Calculateur!V113*Calculateur!X113*VLOOKUP('Données projet'!$B$9,Paramètres!$A$1:$I$89,3,0)*0.475*44/12</f>
        <v>6.3798606586477016</v>
      </c>
      <c r="AB113" s="21">
        <f>EXP(-LN(2)/2)*AB112+(1-EXP(-LN(2)/2))/(LN(2)/2)*V113*Y113*VLOOKUP('Données projet'!$B$9,Paramètres!$A$1:$I$89,3,0)*0.475*44/12</f>
        <v>8.3872006577747228E-10</v>
      </c>
      <c r="AC113" s="22">
        <f t="shared" si="57"/>
        <v>144.50289872180559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-1.5961632016114892E-13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332.74717458063787</v>
      </c>
      <c r="AO113" s="59">
        <f t="shared" si="90"/>
        <v>408.69087885751878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96.08324997031491</v>
      </c>
      <c r="AV113" s="21">
        <f>EXP(-LN(2)/25)*AV112+(1-EXP(-LN(2)/25))/(LN(2)/25)*Calculateur!AQ113*Calculateur!AS113*VLOOKUP('Données projet'!$B$10,Paramètres!$A$1:$I$89,3,0)*0.475*44/12</f>
        <v>7.304815455490977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103.38806542580589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1.9895196601282805E-13</v>
      </c>
      <c r="BE113" s="13">
        <f>BD113*VLOOKUP('Données projet'!$B$11,Paramètres!$A$1:$I$89,3,0)*VLOOKUP('Données projet'!$B$11,Paramètres!$A$1:$I$89,5,0)</f>
        <v>1.738044375088066E-13</v>
      </c>
      <c r="BF113" s="13">
        <f t="shared" si="91"/>
        <v>2.4483293633950478E-12</v>
      </c>
      <c r="BG113" s="20">
        <f t="shared" si="61"/>
        <v>4.566883036574213E-12</v>
      </c>
      <c r="BH113" s="59">
        <f t="shared" si="62"/>
        <v>279.96138895485041</v>
      </c>
      <c r="BI113" s="59">
        <f ca="1">AVERAGE(OFFSET($BH$3,0,0,'Données projet'!$E$11+1,1))-AVERAGE(OFFSET($H$3,0,0,'Données projet'!$E$11+1,1))</f>
        <v>341.62910675299065</v>
      </c>
      <c r="BJ113" s="59">
        <f t="shared" si="92"/>
        <v>407.15938341104709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46.826668157323034</v>
      </c>
      <c r="BQ113" s="21">
        <f>EXP(-LN(2)/25)*BQ112+(1-EXP(-LN(2)/25))/(LN(2)/25)*Calculateur!BL113*Calculateur!BN113*VLOOKUP('Données projet'!$B$11,Paramètres!$A$1:$I$89,3,0)*0.475*44/12</f>
        <v>15.805266340436715</v>
      </c>
      <c r="BR113" s="21">
        <f>EXP(-LN(2)/2)*BR112+(1-EXP(-LN(2)/2))/(LN(2)/2)*BL113*BO113*VLOOKUP('Données projet'!$B$11,Paramètres!$A$1:$I$89,3,0)*0.475*44/12</f>
        <v>3.9920514913531538E-7</v>
      </c>
      <c r="BS113" s="22">
        <f t="shared" si="63"/>
        <v>62.6319348969649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280.19336229462851</v>
      </c>
      <c r="S114" s="59">
        <f ca="1">AVERAGE(OFFSET($R$3,0,0,'Données projet'!$E$9+1,1))-AVERAGE(OFFSET($H$3,0,0,'Données projet'!$E$9+1,1))</f>
        <v>507.66185230065889</v>
      </c>
      <c r="T114" s="59">
        <f t="shared" si="88"/>
        <v>640.14375617778342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135.41452953265161</v>
      </c>
      <c r="AA114" s="21">
        <f>EXP(-LN(2)/25)*AA113+(1-EXP(-LN(2)/25))/(LN(2)/25)*Calculateur!V114*Calculateur!X114*VLOOKUP('Données projet'!$B$9,Paramètres!$A$1:$I$89,3,0)*0.475*44/12</f>
        <v>6.2054030334346892</v>
      </c>
      <c r="AB114" s="21">
        <f>EXP(-LN(2)/2)*AB113+(1-EXP(-LN(2)/2))/(LN(2)/2)*V114*Y114*VLOOKUP('Données projet'!$B$9,Paramètres!$A$1:$I$89,3,0)*0.475*44/12</f>
        <v>5.9306464602847784E-10</v>
      </c>
      <c r="AC114" s="22">
        <f t="shared" si="57"/>
        <v>141.61993256667938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-1.5961632016114892E-13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332.74717458063787</v>
      </c>
      <c r="AO114" s="59">
        <f t="shared" si="90"/>
        <v>408.69087885751878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94.199116043392749</v>
      </c>
      <c r="AV114" s="21">
        <f>EXP(-LN(2)/25)*AV113+(1-EXP(-LN(2)/25))/(LN(2)/25)*Calculateur!AQ114*Calculateur!AS114*VLOOKUP('Données projet'!$B$10,Paramètres!$A$1:$I$89,3,0)*0.475*44/12</f>
        <v>7.105064892717027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101.30418093610977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1.9895196601282805E-13</v>
      </c>
      <c r="BE114" s="13">
        <f>BD114*VLOOKUP('Données projet'!$B$11,Paramètres!$A$1:$I$89,3,0)*VLOOKUP('Données projet'!$B$11,Paramètres!$A$1:$I$89,5,0)</f>
        <v>1.738044375088066E-13</v>
      </c>
      <c r="BF114" s="13">
        <f t="shared" si="91"/>
        <v>2.4483293633950478E-12</v>
      </c>
      <c r="BG114" s="20">
        <f t="shared" si="61"/>
        <v>4.566883036574213E-12</v>
      </c>
      <c r="BH114" s="59">
        <f t="shared" si="62"/>
        <v>280.19336229462812</v>
      </c>
      <c r="BI114" s="59">
        <f ca="1">AVERAGE(OFFSET($BH$3,0,0,'Données projet'!$E$11+1,1))-AVERAGE(OFFSET($H$3,0,0,'Données projet'!$E$11+1,1))</f>
        <v>341.62910675299065</v>
      </c>
      <c r="BJ114" s="59">
        <f t="shared" si="92"/>
        <v>407.15938341104709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45.908425756205297</v>
      </c>
      <c r="BQ114" s="21">
        <f>EXP(-LN(2)/25)*BQ113+(1-EXP(-LN(2)/25))/(LN(2)/25)*Calculateur!BL114*Calculateur!BN114*VLOOKUP('Données projet'!$B$11,Paramètres!$A$1:$I$89,3,0)*0.475*44/12</f>
        <v>15.37307050119464</v>
      </c>
      <c r="BR114" s="21">
        <f>EXP(-LN(2)/2)*BR113+(1-EXP(-LN(2)/2))/(LN(2)/2)*BL114*BO114*VLOOKUP('Données projet'!$B$11,Paramètres!$A$1:$I$89,3,0)*0.475*44/12</f>
        <v>2.8228066803816852E-7</v>
      </c>
      <c r="BS114" s="22">
        <f t="shared" si="63"/>
        <v>61.281496539680603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280.42131141557581</v>
      </c>
      <c r="S115" s="59">
        <f ca="1">AVERAGE(OFFSET($R$3,0,0,'Données projet'!$E$9+1,1))-AVERAGE(OFFSET($H$3,0,0,'Données projet'!$E$9+1,1))</f>
        <v>507.66185230065889</v>
      </c>
      <c r="T115" s="59">
        <f t="shared" si="88"/>
        <v>640.14375617778342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132.75913320322377</v>
      </c>
      <c r="AA115" s="21">
        <f>EXP(-LN(2)/25)*AA114+(1-EXP(-LN(2)/25))/(LN(2)/25)*Calculateur!V115*Calculateur!X115*VLOOKUP('Données projet'!$B$9,Paramètres!$A$1:$I$89,3,0)*0.475*44/12</f>
        <v>6.0357159611574547</v>
      </c>
      <c r="AB115" s="21">
        <f>EXP(-LN(2)/2)*AB114+(1-EXP(-LN(2)/2))/(LN(2)/2)*V115*Y115*VLOOKUP('Données projet'!$B$9,Paramètres!$A$1:$I$89,3,0)*0.475*44/12</f>
        <v>4.1936003288873614E-10</v>
      </c>
      <c r="AC115" s="22">
        <f t="shared" si="57"/>
        <v>138.79484916480058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-1.5961632016114892E-13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332.74717458063787</v>
      </c>
      <c r="AO115" s="59">
        <f t="shared" si="90"/>
        <v>408.69087885751878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92.351928833569318</v>
      </c>
      <c r="AV115" s="21">
        <f>EXP(-LN(2)/25)*AV114+(1-EXP(-LN(2)/25))/(LN(2)/25)*Calculateur!AQ115*Calculateur!AS115*VLOOKUP('Données projet'!$B$10,Paramètres!$A$1:$I$89,3,0)*0.475*44/12</f>
        <v>6.9107765195865563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99.26270535315588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1.9895196601282805E-13</v>
      </c>
      <c r="BE115" s="13">
        <f>BD115*VLOOKUP('Données projet'!$B$11,Paramètres!$A$1:$I$89,3,0)*VLOOKUP('Données projet'!$B$11,Paramètres!$A$1:$I$89,5,0)</f>
        <v>1.738044375088066E-13</v>
      </c>
      <c r="BF115" s="13">
        <f t="shared" si="91"/>
        <v>2.4483293633950478E-12</v>
      </c>
      <c r="BG115" s="20">
        <f t="shared" si="61"/>
        <v>4.566883036574213E-12</v>
      </c>
      <c r="BH115" s="59">
        <f t="shared" si="62"/>
        <v>280.42131141557542</v>
      </c>
      <c r="BI115" s="59">
        <f ca="1">AVERAGE(OFFSET($BH$3,0,0,'Données projet'!$E$11+1,1))-AVERAGE(OFFSET($H$3,0,0,'Données projet'!$E$11+1,1))</f>
        <v>341.62910675299065</v>
      </c>
      <c r="BJ115" s="59">
        <f t="shared" si="92"/>
        <v>407.15938341104709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45.008189528500914</v>
      </c>
      <c r="BQ115" s="21">
        <f>EXP(-LN(2)/25)*BQ114+(1-EXP(-LN(2)/25))/(LN(2)/25)*Calculateur!BL115*Calculateur!BN115*VLOOKUP('Données projet'!$B$11,Paramètres!$A$1:$I$89,3,0)*0.475*44/12</f>
        <v>14.952693079904831</v>
      </c>
      <c r="BR115" s="21">
        <f>EXP(-LN(2)/2)*BR114+(1-EXP(-LN(2)/2))/(LN(2)/2)*BL115*BO115*VLOOKUP('Données projet'!$B$11,Paramètres!$A$1:$I$89,3,0)*0.475*44/12</f>
        <v>1.9960257456765769E-7</v>
      </c>
      <c r="BS115" s="22">
        <f t="shared" si="63"/>
        <v>59.960882808008321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280.64530612889257</v>
      </c>
      <c r="S116" s="59">
        <f ca="1">AVERAGE(OFFSET($R$3,0,0,'Données projet'!$E$9+1,1))-AVERAGE(OFFSET($H$3,0,0,'Données projet'!$E$9+1,1))</f>
        <v>507.66185230065889</v>
      </c>
      <c r="T116" s="59">
        <f t="shared" si="88"/>
        <v>640.14375617778342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130.15580757618417</v>
      </c>
      <c r="AA116" s="21">
        <f>EXP(-LN(2)/25)*AA115+(1-EXP(-LN(2)/25))/(LN(2)/25)*Calculateur!V116*Calculateur!X116*VLOOKUP('Données projet'!$B$9,Paramètres!$A$1:$I$89,3,0)*0.475*44/12</f>
        <v>5.8706689907950969</v>
      </c>
      <c r="AB116" s="21">
        <f>EXP(-LN(2)/2)*AB115+(1-EXP(-LN(2)/2))/(LN(2)/2)*V116*Y116*VLOOKUP('Données projet'!$B$9,Paramètres!$A$1:$I$89,3,0)*0.475*44/12</f>
        <v>2.9653232301423892E-10</v>
      </c>
      <c r="AC116" s="22">
        <f t="shared" si="57"/>
        <v>136.02647656727581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-1.5961632016114892E-13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332.74717458063787</v>
      </c>
      <c r="AO116" s="59">
        <f t="shared" si="90"/>
        <v>408.69087885751878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90.540963838257568</v>
      </c>
      <c r="AV116" s="21">
        <f>EXP(-LN(2)/25)*AV115+(1-EXP(-LN(2)/25))/(LN(2)/25)*Calculateur!AQ116*Calculateur!AS116*VLOOKUP('Données projet'!$B$10,Paramètres!$A$1:$I$89,3,0)*0.475*44/12</f>
        <v>6.7218009722365197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97.26276481049409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1.9895196601282805E-13</v>
      </c>
      <c r="BE116" s="13">
        <f>BD116*VLOOKUP('Données projet'!$B$11,Paramètres!$A$1:$I$89,3,0)*VLOOKUP('Données projet'!$B$11,Paramètres!$A$1:$I$89,5,0)</f>
        <v>1.738044375088066E-13</v>
      </c>
      <c r="BF116" s="13">
        <f t="shared" si="91"/>
        <v>2.4483293633950478E-12</v>
      </c>
      <c r="BG116" s="20">
        <f t="shared" si="61"/>
        <v>4.566883036574213E-12</v>
      </c>
      <c r="BH116" s="59">
        <f t="shared" si="62"/>
        <v>280.64530612889217</v>
      </c>
      <c r="BI116" s="59">
        <f ca="1">AVERAGE(OFFSET($BH$3,0,0,'Données projet'!$E$11+1,1))-AVERAGE(OFFSET($H$3,0,0,'Données projet'!$E$11+1,1))</f>
        <v>341.62910675299065</v>
      </c>
      <c r="BJ116" s="59">
        <f t="shared" si="92"/>
        <v>407.15938341104709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44.125606384131935</v>
      </c>
      <c r="BQ116" s="21">
        <f>EXP(-LN(2)/25)*BQ115+(1-EXP(-LN(2)/25))/(LN(2)/25)*Calculateur!BL116*Calculateur!BN116*VLOOKUP('Données projet'!$B$11,Paramètres!$A$1:$I$89,3,0)*0.475*44/12</f>
        <v>14.543810901306879</v>
      </c>
      <c r="BR116" s="21">
        <f>EXP(-LN(2)/2)*BR115+(1-EXP(-LN(2)/2))/(LN(2)/2)*BL116*BO116*VLOOKUP('Données projet'!$B$11,Paramètres!$A$1:$I$89,3,0)*0.475*44/12</f>
        <v>1.4114033401908426E-7</v>
      </c>
      <c r="BS116" s="22">
        <f t="shared" si="63"/>
        <v>58.669417426579145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280.8654150347104</v>
      </c>
      <c r="S117" s="59">
        <f ca="1">AVERAGE(OFFSET($R$3,0,0,'Données projet'!$E$9+1,1))-AVERAGE(OFFSET($H$3,0,0,'Données projet'!$E$9+1,1))</f>
        <v>507.66185230065889</v>
      </c>
      <c r="T117" s="59">
        <f t="shared" si="88"/>
        <v>640.14375617778342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127.60353157681899</v>
      </c>
      <c r="AA117" s="21">
        <f>EXP(-LN(2)/25)*AA116+(1-EXP(-LN(2)/25))/(LN(2)/25)*Calculateur!V117*Calculateur!X117*VLOOKUP('Données projet'!$B$9,Paramètres!$A$1:$I$89,3,0)*0.475*44/12</f>
        <v>5.7101352385167399</v>
      </c>
      <c r="AB117" s="21">
        <f>EXP(-LN(2)/2)*AB116+(1-EXP(-LN(2)/2))/(LN(2)/2)*V117*Y117*VLOOKUP('Données projet'!$B$9,Paramètres!$A$1:$I$89,3,0)*0.475*44/12</f>
        <v>2.0968001644436807E-10</v>
      </c>
      <c r="AC117" s="22">
        <f t="shared" si="57"/>
        <v>133.31366681554539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-1.5961632016114892E-13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332.74717458063787</v>
      </c>
      <c r="AO117" s="59">
        <f t="shared" si="90"/>
        <v>408.69087885751878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88.765510761924304</v>
      </c>
      <c r="AV117" s="21">
        <f>EXP(-LN(2)/25)*AV116+(1-EXP(-LN(2)/25))/(LN(2)/25)*Calculateur!AQ117*Calculateur!AS117*VLOOKUP('Données projet'!$B$10,Paramètres!$A$1:$I$89,3,0)*0.475*44/12</f>
        <v>6.5379929711665614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95.303503733090864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1.9895196601282805E-13</v>
      </c>
      <c r="BE117" s="13">
        <f>BD117*VLOOKUP('Données projet'!$B$11,Paramètres!$A$1:$I$89,3,0)*VLOOKUP('Données projet'!$B$11,Paramètres!$A$1:$I$89,5,0)</f>
        <v>1.738044375088066E-13</v>
      </c>
      <c r="BF117" s="13">
        <f t="shared" si="91"/>
        <v>2.4483293633950478E-12</v>
      </c>
      <c r="BG117" s="20">
        <f t="shared" si="61"/>
        <v>4.566883036574213E-12</v>
      </c>
      <c r="BH117" s="59">
        <f t="shared" si="62"/>
        <v>280.86541503471</v>
      </c>
      <c r="BI117" s="59">
        <f ca="1">AVERAGE(OFFSET($BH$3,0,0,'Données projet'!$E$11+1,1))-AVERAGE(OFFSET($H$3,0,0,'Données projet'!$E$11+1,1))</f>
        <v>341.62910675299065</v>
      </c>
      <c r="BJ117" s="59">
        <f t="shared" si="92"/>
        <v>407.15938341104709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43.260330156901468</v>
      </c>
      <c r="BQ117" s="21">
        <f>EXP(-LN(2)/25)*BQ116+(1-EXP(-LN(2)/25))/(LN(2)/25)*Calculateur!BL117*Calculateur!BN117*VLOOKUP('Données projet'!$B$11,Paramètres!$A$1:$I$89,3,0)*0.475*44/12</f>
        <v>14.146109627384867</v>
      </c>
      <c r="BR117" s="21">
        <f>EXP(-LN(2)/2)*BR116+(1-EXP(-LN(2)/2))/(LN(2)/2)*BL117*BO117*VLOOKUP('Données projet'!$B$11,Paramètres!$A$1:$I$89,3,0)*0.475*44/12</f>
        <v>9.9801287283828846E-8</v>
      </c>
      <c r="BS117" s="22">
        <f t="shared" si="63"/>
        <v>57.406439884087625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281.0817055431022</v>
      </c>
      <c r="S118" s="59">
        <f ca="1">AVERAGE(OFFSET($R$3,0,0,'Données projet'!$E$9+1,1))-AVERAGE(OFFSET($H$3,0,0,'Données projet'!$E$9+1,1))</f>
        <v>507.66185230065889</v>
      </c>
      <c r="T118" s="59">
        <f t="shared" si="88"/>
        <v>640.14375617778342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125.10130415306672</v>
      </c>
      <c r="AA118" s="21">
        <f>EXP(-LN(2)/25)*AA117+(1-EXP(-LN(2)/25))/(LN(2)/25)*Calculateur!V118*Calculateur!X118*VLOOKUP('Données projet'!$B$9,Paramètres!$A$1:$I$89,3,0)*0.475*44/12</f>
        <v>5.5539912901365378</v>
      </c>
      <c r="AB118" s="21">
        <f>EXP(-LN(2)/2)*AB117+(1-EXP(-LN(2)/2))/(LN(2)/2)*V118*Y118*VLOOKUP('Données projet'!$B$9,Paramètres!$A$1:$I$89,3,0)*0.475*44/12</f>
        <v>1.4826616150711946E-10</v>
      </c>
      <c r="AC118" s="22">
        <f t="shared" si="57"/>
        <v>130.65529544335155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-1.5961632016114892E-13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332.74717458063787</v>
      </c>
      <c r="AO118" s="59">
        <f t="shared" si="90"/>
        <v>408.69087885751878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87.024873237498497</v>
      </c>
      <c r="AV118" s="21">
        <f>EXP(-LN(2)/25)*AV117+(1-EXP(-LN(2)/25))/(LN(2)/25)*Calculateur!AQ118*Calculateur!AS118*VLOOKUP('Données projet'!$B$10,Paramètres!$A$1:$I$89,3,0)*0.475*44/12</f>
        <v>6.359211209551904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93.384084447050398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1.9895196601282805E-13</v>
      </c>
      <c r="BE118" s="13">
        <f>BD118*VLOOKUP('Données projet'!$B$11,Paramètres!$A$1:$I$89,3,0)*VLOOKUP('Données projet'!$B$11,Paramètres!$A$1:$I$89,5,0)</f>
        <v>1.738044375088066E-13</v>
      </c>
      <c r="BF118" s="13">
        <f t="shared" si="91"/>
        <v>2.4483293633950478E-12</v>
      </c>
      <c r="BG118" s="20">
        <f t="shared" si="61"/>
        <v>4.566883036574213E-12</v>
      </c>
      <c r="BH118" s="59">
        <f t="shared" si="62"/>
        <v>281.0817055431018</v>
      </c>
      <c r="BI118" s="59">
        <f ca="1">AVERAGE(OFFSET($BH$3,0,0,'Données projet'!$E$11+1,1))-AVERAGE(OFFSET($H$3,0,0,'Données projet'!$E$11+1,1))</f>
        <v>341.62910675299065</v>
      </c>
      <c r="BJ118" s="59">
        <f t="shared" si="92"/>
        <v>407.15938341104709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42.412021468720603</v>
      </c>
      <c r="BQ118" s="21">
        <f>EXP(-LN(2)/25)*BQ117+(1-EXP(-LN(2)/25))/(LN(2)/25)*Calculateur!BL118*Calculateur!BN118*VLOOKUP('Données projet'!$B$11,Paramètres!$A$1:$I$89,3,0)*0.475*44/12</f>
        <v>13.759283515712454</v>
      </c>
      <c r="BR118" s="21">
        <f>EXP(-LN(2)/2)*BR117+(1-EXP(-LN(2)/2))/(LN(2)/2)*BL118*BO118*VLOOKUP('Données projet'!$B$11,Paramètres!$A$1:$I$89,3,0)*0.475*44/12</f>
        <v>7.057016700954213E-8</v>
      </c>
      <c r="BS118" s="22">
        <f t="shared" si="63"/>
        <v>56.171305055003224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281.29424389472643</v>
      </c>
      <c r="S119" s="59">
        <f ca="1">AVERAGE(OFFSET($R$3,0,0,'Données projet'!$E$9+1,1))-AVERAGE(OFFSET($H$3,0,0,'Données projet'!$E$9+1,1))</f>
        <v>507.66185230065889</v>
      </c>
      <c r="T119" s="59">
        <f t="shared" si="88"/>
        <v>640.14375617778342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122.6481438828862</v>
      </c>
      <c r="AA119" s="21">
        <f>EXP(-LN(2)/25)*AA118+(1-EXP(-LN(2)/25))/(LN(2)/25)*Calculateur!V119*Calculateur!X119*VLOOKUP('Données projet'!$B$9,Paramètres!$A$1:$I$89,3,0)*0.475*44/12</f>
        <v>5.4021171062360462</v>
      </c>
      <c r="AB119" s="21">
        <f>EXP(-LN(2)/2)*AB118+(1-EXP(-LN(2)/2))/(LN(2)/2)*V119*Y119*VLOOKUP('Données projet'!$B$9,Paramètres!$A$1:$I$89,3,0)*0.475*44/12</f>
        <v>1.0484000822218404E-10</v>
      </c>
      <c r="AC119" s="22">
        <f t="shared" si="57"/>
        <v>128.0502609892271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-1.5961632016114892E-13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332.74717458063787</v>
      </c>
      <c r="AO119" s="59">
        <f t="shared" si="90"/>
        <v>408.69087885751878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85.318368553242621</v>
      </c>
      <c r="AV119" s="21">
        <f>EXP(-LN(2)/25)*AV118+(1-EXP(-LN(2)/25))/(LN(2)/25)*Calculateur!AQ119*Calculateur!AS119*VLOOKUP('Données projet'!$B$10,Paramètres!$A$1:$I$89,3,0)*0.475*44/12</f>
        <v>6.1853182446103236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91.50368679785295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1.9895196601282805E-13</v>
      </c>
      <c r="BE119" s="13">
        <f>BD119*VLOOKUP('Données projet'!$B$11,Paramètres!$A$1:$I$89,3,0)*VLOOKUP('Données projet'!$B$11,Paramètres!$A$1:$I$89,5,0)</f>
        <v>1.738044375088066E-13</v>
      </c>
      <c r="BF119" s="13">
        <f t="shared" si="91"/>
        <v>2.4483293633950478E-12</v>
      </c>
      <c r="BG119" s="20">
        <f t="shared" si="61"/>
        <v>4.566883036574213E-12</v>
      </c>
      <c r="BH119" s="59">
        <f t="shared" si="62"/>
        <v>281.29424389472604</v>
      </c>
      <c r="BI119" s="59">
        <f ca="1">AVERAGE(OFFSET($BH$3,0,0,'Données projet'!$E$11+1,1))-AVERAGE(OFFSET($H$3,0,0,'Données projet'!$E$11+1,1))</f>
        <v>341.62910675299065</v>
      </c>
      <c r="BJ119" s="59">
        <f t="shared" si="92"/>
        <v>407.15938341104709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41.580347596497759</v>
      </c>
      <c r="BQ119" s="21">
        <f>EXP(-LN(2)/25)*BQ118+(1-EXP(-LN(2)/25))/(LN(2)/25)*Calculateur!BL119*Calculateur!BN119*VLOOKUP('Données projet'!$B$11,Paramètres!$A$1:$I$89,3,0)*0.475*44/12</f>
        <v>13.383035184406024</v>
      </c>
      <c r="BR119" s="21">
        <f>EXP(-LN(2)/2)*BR118+(1-EXP(-LN(2)/2))/(LN(2)/2)*BL119*BO119*VLOOKUP('Données projet'!$B$11,Paramètres!$A$1:$I$89,3,0)*0.475*44/12</f>
        <v>4.9900643641914423E-8</v>
      </c>
      <c r="BS119" s="22">
        <f t="shared" si="63"/>
        <v>54.963382830804427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281.50309518111459</v>
      </c>
      <c r="S120" s="59">
        <f ca="1">AVERAGE(OFFSET($R$3,0,0,'Données projet'!$E$9+1,1))-AVERAGE(OFFSET($H$3,0,0,'Données projet'!$E$9+1,1))</f>
        <v>507.66185230065889</v>
      </c>
      <c r="T120" s="59">
        <f t="shared" si="88"/>
        <v>640.14375617778342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120.2430885893239</v>
      </c>
      <c r="AA120" s="21">
        <f>EXP(-LN(2)/25)*AA119+(1-EXP(-LN(2)/25))/(LN(2)/25)*Calculateur!V120*Calculateur!X120*VLOOKUP('Données projet'!$B$9,Paramètres!$A$1:$I$89,3,0)*0.475*44/12</f>
        <v>5.2543959298810297</v>
      </c>
      <c r="AB120" s="21">
        <f>EXP(-LN(2)/2)*AB119+(1-EXP(-LN(2)/2))/(LN(2)/2)*V120*Y120*VLOOKUP('Données projet'!$B$9,Paramètres!$A$1:$I$89,3,0)*0.475*44/12</f>
        <v>7.413308075355973E-11</v>
      </c>
      <c r="AC120" s="22">
        <f t="shared" si="57"/>
        <v>125.49748451927907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-1.5961632016114892E-13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332.74717458063787</v>
      </c>
      <c r="AO120" s="59">
        <f t="shared" si="90"/>
        <v>408.69087885751878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83.645327384979922</v>
      </c>
      <c r="AV120" s="21">
        <f>EXP(-LN(2)/25)*AV119+(1-EXP(-LN(2)/25))/(LN(2)/25)*Calculateur!AQ120*Calculateur!AS120*VLOOKUP('Données projet'!$B$10,Paramètres!$A$1:$I$89,3,0)*0.475*44/12</f>
        <v>6.016180391939705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89.66150777691962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1.9895196601282805E-13</v>
      </c>
      <c r="BE120" s="13">
        <f>BD120*VLOOKUP('Données projet'!$B$11,Paramètres!$A$1:$I$89,3,0)*VLOOKUP('Données projet'!$B$11,Paramètres!$A$1:$I$89,5,0)</f>
        <v>1.738044375088066E-13</v>
      </c>
      <c r="BF120" s="13">
        <f t="shared" si="91"/>
        <v>2.4483293633950478E-12</v>
      </c>
      <c r="BG120" s="20">
        <f t="shared" si="61"/>
        <v>4.566883036574213E-12</v>
      </c>
      <c r="BH120" s="59">
        <f t="shared" si="62"/>
        <v>281.50309518111419</v>
      </c>
      <c r="BI120" s="59">
        <f ca="1">AVERAGE(OFFSET($BH$3,0,0,'Données projet'!$E$11+1,1))-AVERAGE(OFFSET($H$3,0,0,'Données projet'!$E$11+1,1))</f>
        <v>341.62910675299065</v>
      </c>
      <c r="BJ120" s="59">
        <f t="shared" si="92"/>
        <v>407.15938341104709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40.76498234163823</v>
      </c>
      <c r="BQ120" s="21">
        <f>EXP(-LN(2)/25)*BQ119+(1-EXP(-LN(2)/25))/(LN(2)/25)*Calculateur!BL120*Calculateur!BN120*VLOOKUP('Données projet'!$B$11,Paramètres!$A$1:$I$89,3,0)*0.475*44/12</f>
        <v>13.017075383505208</v>
      </c>
      <c r="BR120" s="21">
        <f>EXP(-LN(2)/2)*BR119+(1-EXP(-LN(2)/2))/(LN(2)/2)*BL120*BO120*VLOOKUP('Données projet'!$B$11,Paramètres!$A$1:$I$89,3,0)*0.475*44/12</f>
        <v>3.5285083504771065E-8</v>
      </c>
      <c r="BS120" s="22">
        <f t="shared" si="63"/>
        <v>53.782057760428522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281.70832336460535</v>
      </c>
      <c r="S121" s="59">
        <f ca="1">AVERAGE(OFFSET($R$3,0,0,'Données projet'!$E$9+1,1))-AVERAGE(OFFSET($H$3,0,0,'Données projet'!$E$9+1,1))</f>
        <v>507.66185230065889</v>
      </c>
      <c r="T121" s="59">
        <f t="shared" si="88"/>
        <v>640.14375617778342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117.88519496312948</v>
      </c>
      <c r="AA121" s="21">
        <f>EXP(-LN(2)/25)*AA120+(1-EXP(-LN(2)/25))/(LN(2)/25)*Calculateur!V121*Calculateur!X121*VLOOKUP('Données projet'!$B$9,Paramètres!$A$1:$I$89,3,0)*0.475*44/12</f>
        <v>5.1107141968617604</v>
      </c>
      <c r="AB121" s="21">
        <f>EXP(-LN(2)/2)*AB120+(1-EXP(-LN(2)/2))/(LN(2)/2)*V121*Y121*VLOOKUP('Données projet'!$B$9,Paramètres!$A$1:$I$89,3,0)*0.475*44/12</f>
        <v>5.2420004111092018E-11</v>
      </c>
      <c r="AC121" s="22">
        <f t="shared" si="57"/>
        <v>122.99590916004367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-1.5961632016114892E-13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332.74717458063787</v>
      </c>
      <c r="AO121" s="59">
        <f t="shared" si="90"/>
        <v>408.69087885751878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82.005093533572506</v>
      </c>
      <c r="AV121" s="21">
        <f>EXP(-LN(2)/25)*AV120+(1-EXP(-LN(2)/25))/(LN(2)/25)*Calculateur!AQ121*Calculateur!AS121*VLOOKUP('Données projet'!$B$10,Paramètres!$A$1:$I$89,3,0)*0.475*44/12</f>
        <v>5.8516676227449373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87.856761156317447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1.9895196601282805E-13</v>
      </c>
      <c r="BE121" s="13">
        <f>BD121*VLOOKUP('Données projet'!$B$11,Paramètres!$A$1:$I$89,3,0)*VLOOKUP('Données projet'!$B$11,Paramètres!$A$1:$I$89,5,0)</f>
        <v>1.738044375088066E-13</v>
      </c>
      <c r="BF121" s="13">
        <f t="shared" si="91"/>
        <v>2.4483293633950478E-12</v>
      </c>
      <c r="BG121" s="20">
        <f t="shared" si="61"/>
        <v>4.566883036574213E-12</v>
      </c>
      <c r="BH121" s="59">
        <f t="shared" si="62"/>
        <v>281.70832336460495</v>
      </c>
      <c r="BI121" s="59">
        <f ca="1">AVERAGE(OFFSET($BH$3,0,0,'Données projet'!$E$11+1,1))-AVERAGE(OFFSET($H$3,0,0,'Données projet'!$E$11+1,1))</f>
        <v>341.62910675299065</v>
      </c>
      <c r="BJ121" s="59">
        <f t="shared" si="92"/>
        <v>407.15938341104709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39.965605902102801</v>
      </c>
      <c r="BQ121" s="21">
        <f>EXP(-LN(2)/25)*BQ120+(1-EXP(-LN(2)/25))/(LN(2)/25)*Calculateur!BL121*Calculateur!BN121*VLOOKUP('Données projet'!$B$11,Paramètres!$A$1:$I$89,3,0)*0.475*44/12</f>
        <v>12.661122772605015</v>
      </c>
      <c r="BR121" s="21">
        <f>EXP(-LN(2)/2)*BR120+(1-EXP(-LN(2)/2))/(LN(2)/2)*BL121*BO121*VLOOKUP('Données projet'!$B$11,Paramètres!$A$1:$I$89,3,0)*0.475*44/12</f>
        <v>2.4950321820957212E-8</v>
      </c>
      <c r="BS121" s="22">
        <f t="shared" si="63"/>
        <v>52.626728699658145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281.90999129793408</v>
      </c>
      <c r="S122" s="59">
        <f ca="1">AVERAGE(OFFSET($R$3,0,0,'Données projet'!$E$9+1,1))-AVERAGE(OFFSET($H$3,0,0,'Données projet'!$E$9+1,1))</f>
        <v>507.66185230065889</v>
      </c>
      <c r="T122" s="59">
        <f t="shared" si="88"/>
        <v>640.14375617778342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115.57353819277162</v>
      </c>
      <c r="AA122" s="21">
        <f>EXP(-LN(2)/25)*AA121+(1-EXP(-LN(2)/25))/(LN(2)/25)*Calculateur!V122*Calculateur!X122*VLOOKUP('Données projet'!$B$9,Paramètres!$A$1:$I$89,3,0)*0.475*44/12</f>
        <v>4.9709614483877971</v>
      </c>
      <c r="AB122" s="21">
        <f>EXP(-LN(2)/2)*AB121+(1-EXP(-LN(2)/2))/(LN(2)/2)*V122*Y122*VLOOKUP('Données projet'!$B$9,Paramètres!$A$1:$I$89,3,0)*0.475*44/12</f>
        <v>3.7066540376779865E-11</v>
      </c>
      <c r="AC122" s="22">
        <f t="shared" si="57"/>
        <v>120.54449964119648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-1.5961632016114892E-13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332.74717458063787</v>
      </c>
      <c r="AO122" s="59">
        <f t="shared" si="90"/>
        <v>408.69087885751878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80.397023667547316</v>
      </c>
      <c r="AV122" s="21">
        <f>EXP(-LN(2)/25)*AV121+(1-EXP(-LN(2)/25))/(LN(2)/25)*Calculateur!AQ122*Calculateur!AS122*VLOOKUP('Données projet'!$B$10,Paramètres!$A$1:$I$89,3,0)*0.475*44/12</f>
        <v>5.6916534638751513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86.088677131422472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1.9895196601282805E-13</v>
      </c>
      <c r="BE122" s="13">
        <f>BD122*VLOOKUP('Données projet'!$B$11,Paramètres!$A$1:$I$89,3,0)*VLOOKUP('Données projet'!$B$11,Paramètres!$A$1:$I$89,5,0)</f>
        <v>1.738044375088066E-13</v>
      </c>
      <c r="BF122" s="13">
        <f t="shared" si="91"/>
        <v>2.4483293633950478E-12</v>
      </c>
      <c r="BG122" s="20">
        <f t="shared" si="61"/>
        <v>4.566883036574213E-12</v>
      </c>
      <c r="BH122" s="59">
        <f t="shared" si="62"/>
        <v>281.90999129793369</v>
      </c>
      <c r="BI122" s="59">
        <f ca="1">AVERAGE(OFFSET($BH$3,0,0,'Données projet'!$E$11+1,1))-AVERAGE(OFFSET($H$3,0,0,'Données projet'!$E$11+1,1))</f>
        <v>341.62910675299065</v>
      </c>
      <c r="BJ122" s="59">
        <f t="shared" si="92"/>
        <v>407.15938341104709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39.181904746975178</v>
      </c>
      <c r="BQ122" s="21">
        <f>EXP(-LN(2)/25)*BQ121+(1-EXP(-LN(2)/25))/(LN(2)/25)*Calculateur!BL122*Calculateur!BN122*VLOOKUP('Données projet'!$B$11,Paramètres!$A$1:$I$89,3,0)*0.475*44/12</f>
        <v>12.314903704568621</v>
      </c>
      <c r="BR122" s="21">
        <f>EXP(-LN(2)/2)*BR121+(1-EXP(-LN(2)/2))/(LN(2)/2)*BL122*BO122*VLOOKUP('Données projet'!$B$11,Paramètres!$A$1:$I$89,3,0)*0.475*44/12</f>
        <v>1.7642541752385533E-8</v>
      </c>
      <c r="BS122" s="22">
        <f t="shared" si="63"/>
        <v>51.496808469186341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282.10816074348156</v>
      </c>
      <c r="S123" s="59">
        <f ca="1">AVERAGE(OFFSET($R$3,0,0,'Données projet'!$E$9+1,1))-AVERAGE(OFFSET($H$3,0,0,'Données projet'!$E$9+1,1))</f>
        <v>507.66185230065889</v>
      </c>
      <c r="T123" s="59">
        <f t="shared" si="88"/>
        <v>640.14375617778342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113.30721160170907</v>
      </c>
      <c r="AA123" s="21">
        <f>EXP(-LN(2)/25)*AA122+(1-EXP(-LN(2)/25))/(LN(2)/25)*Calculateur!V123*Calculateur!X123*VLOOKUP('Données projet'!$B$9,Paramètres!$A$1:$I$89,3,0)*0.475*44/12</f>
        <v>4.8350302461701311</v>
      </c>
      <c r="AB123" s="21">
        <f>EXP(-LN(2)/2)*AB122+(1-EXP(-LN(2)/2))/(LN(2)/2)*V123*Y123*VLOOKUP('Données projet'!$B$9,Paramètres!$A$1:$I$89,3,0)*0.475*44/12</f>
        <v>2.6210002055546009E-11</v>
      </c>
      <c r="AC123" s="22">
        <f t="shared" si="57"/>
        <v>118.14224184790541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-1.5961632016114892E-13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332.74717458063787</v>
      </c>
      <c r="AO123" s="59">
        <f t="shared" si="90"/>
        <v>408.69087885751878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78.820487070769119</v>
      </c>
      <c r="AV123" s="21">
        <f>EXP(-LN(2)/25)*AV122+(1-EXP(-LN(2)/25))/(LN(2)/25)*Calculateur!AQ123*Calculateur!AS123*VLOOKUP('Données projet'!$B$10,Paramètres!$A$1:$I$89,3,0)*0.475*44/12</f>
        <v>5.5360149005944379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84.356501971363556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1.9895196601282805E-13</v>
      </c>
      <c r="BE123" s="13">
        <f>BD123*VLOOKUP('Données projet'!$B$11,Paramètres!$A$1:$I$89,3,0)*VLOOKUP('Données projet'!$B$11,Paramètres!$A$1:$I$89,5,0)</f>
        <v>1.738044375088066E-13</v>
      </c>
      <c r="BF123" s="13">
        <f t="shared" si="91"/>
        <v>2.4483293633950478E-12</v>
      </c>
      <c r="BG123" s="20">
        <f t="shared" si="61"/>
        <v>4.566883036574213E-12</v>
      </c>
      <c r="BH123" s="59">
        <f t="shared" si="62"/>
        <v>282.10816074348116</v>
      </c>
      <c r="BI123" s="59">
        <f ca="1">AVERAGE(OFFSET($BH$3,0,0,'Données projet'!$E$11+1,1))-AVERAGE(OFFSET($H$3,0,0,'Données projet'!$E$11+1,1))</f>
        <v>341.62910675299065</v>
      </c>
      <c r="BJ123" s="59">
        <f t="shared" si="92"/>
        <v>407.15938341104709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38.413571493489101</v>
      </c>
      <c r="BQ123" s="21">
        <f>EXP(-LN(2)/25)*BQ122+(1-EXP(-LN(2)/25))/(LN(2)/25)*Calculateur!BL123*Calculateur!BN123*VLOOKUP('Données projet'!$B$11,Paramètres!$A$1:$I$89,3,0)*0.475*44/12</f>
        <v>11.978152015154553</v>
      </c>
      <c r="BR123" s="21">
        <f>EXP(-LN(2)/2)*BR122+(1-EXP(-LN(2)/2))/(LN(2)/2)*BL123*BO123*VLOOKUP('Données projet'!$B$11,Paramètres!$A$1:$I$89,3,0)*0.475*44/12</f>
        <v>1.2475160910478606E-8</v>
      </c>
      <c r="BS123" s="22">
        <f t="shared" si="63"/>
        <v>50.391723521118813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282.30289239218934</v>
      </c>
      <c r="S124" s="59">
        <f ca="1">AVERAGE(OFFSET($R$3,0,0,'Données projet'!$E$9+1,1))-AVERAGE(OFFSET($H$3,0,0,'Données projet'!$E$9+1,1))</f>
        <v>507.66185230065889</v>
      </c>
      <c r="T124" s="59">
        <f t="shared" si="88"/>
        <v>640.14375617778342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111.08532629277452</v>
      </c>
      <c r="AA124" s="21">
        <f>EXP(-LN(2)/25)*AA123+(1-EXP(-LN(2)/25))/(LN(2)/25)*Calculateur!V124*Calculateur!X124*VLOOKUP('Données projet'!$B$9,Paramètres!$A$1:$I$89,3,0)*0.475*44/12</f>
        <v>4.7028160898254185</v>
      </c>
      <c r="AB124" s="21">
        <f>EXP(-LN(2)/2)*AB123+(1-EXP(-LN(2)/2))/(LN(2)/2)*V124*Y124*VLOOKUP('Données projet'!$B$9,Paramètres!$A$1:$I$89,3,0)*0.475*44/12</f>
        <v>1.8533270188389932E-11</v>
      </c>
      <c r="AC124" s="22">
        <f t="shared" si="57"/>
        <v>115.78814238261847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-1.5961632016114892E-13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332.74717458063787</v>
      </c>
      <c r="AO124" s="59">
        <f t="shared" si="90"/>
        <v>408.69087885751878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77.274865395061369</v>
      </c>
      <c r="AV124" s="21">
        <f>EXP(-LN(2)/25)*AV123+(1-EXP(-LN(2)/25))/(LN(2)/25)*Calculateur!AQ124*Calculateur!AS124*VLOOKUP('Données projet'!$B$10,Paramètres!$A$1:$I$89,3,0)*0.475*44/12</f>
        <v>5.3846322820113119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82.659497677072679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1.9895196601282805E-13</v>
      </c>
      <c r="BE124" s="13">
        <f>BD124*VLOOKUP('Données projet'!$B$11,Paramètres!$A$1:$I$89,3,0)*VLOOKUP('Données projet'!$B$11,Paramètres!$A$1:$I$89,5,0)</f>
        <v>1.738044375088066E-13</v>
      </c>
      <c r="BF124" s="13">
        <f t="shared" si="91"/>
        <v>2.4483293633950478E-12</v>
      </c>
      <c r="BG124" s="20">
        <f t="shared" si="61"/>
        <v>4.566883036574213E-12</v>
      </c>
      <c r="BH124" s="59">
        <f t="shared" si="62"/>
        <v>282.30289239218894</v>
      </c>
      <c r="BI124" s="59">
        <f ca="1">AVERAGE(OFFSET($BH$3,0,0,'Données projet'!$E$11+1,1))-AVERAGE(OFFSET($H$3,0,0,'Données projet'!$E$11+1,1))</f>
        <v>341.62910675299065</v>
      </c>
      <c r="BJ124" s="59">
        <f t="shared" si="92"/>
        <v>407.15938341104709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37.660304786466874</v>
      </c>
      <c r="BQ124" s="21">
        <f>EXP(-LN(2)/25)*BQ123+(1-EXP(-LN(2)/25))/(LN(2)/25)*Calculateur!BL124*Calculateur!BN124*VLOOKUP('Données projet'!$B$11,Paramètres!$A$1:$I$89,3,0)*0.475*44/12</f>
        <v>11.650608818396513</v>
      </c>
      <c r="BR124" s="21">
        <f>EXP(-LN(2)/2)*BR123+(1-EXP(-LN(2)/2))/(LN(2)/2)*BL124*BO124*VLOOKUP('Données projet'!$B$11,Paramètres!$A$1:$I$89,3,0)*0.475*44/12</f>
        <v>8.8212708761927663E-9</v>
      </c>
      <c r="BS124" s="22">
        <f t="shared" si="63"/>
        <v>49.310913613684662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282.49424588214674</v>
      </c>
      <c r="S125" s="59">
        <f ca="1">AVERAGE(OFFSET($R$3,0,0,'Données projet'!$E$9+1,1))-AVERAGE(OFFSET($H$3,0,0,'Données projet'!$E$9+1,1))</f>
        <v>507.66185230065889</v>
      </c>
      <c r="T125" s="59">
        <f t="shared" si="88"/>
        <v>640.14375617778342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108.90701079953197</v>
      </c>
      <c r="AA125" s="21">
        <f>EXP(-LN(2)/25)*AA124+(1-EXP(-LN(2)/25))/(LN(2)/25)*Calculateur!V125*Calculateur!X125*VLOOKUP('Données projet'!$B$9,Paramètres!$A$1:$I$89,3,0)*0.475*44/12</f>
        <v>4.5742173365387924</v>
      </c>
      <c r="AB125" s="21">
        <f>EXP(-LN(2)/2)*AB124+(1-EXP(-LN(2)/2))/(LN(2)/2)*V125*Y125*VLOOKUP('Données projet'!$B$9,Paramètres!$A$1:$I$89,3,0)*0.475*44/12</f>
        <v>1.3105001027773004E-11</v>
      </c>
      <c r="AC125" s="22">
        <f t="shared" si="57"/>
        <v>113.48122813608387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-1.5961632016114892E-13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332.74717458063787</v>
      </c>
      <c r="AO125" s="59">
        <f t="shared" si="90"/>
        <v>408.69087885751878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75.759552417678108</v>
      </c>
      <c r="AV125" s="21">
        <f>EXP(-LN(2)/25)*AV124+(1-EXP(-LN(2)/25))/(LN(2)/25)*Calculateur!AQ125*Calculateur!AS125*VLOOKUP('Données projet'!$B$10,Paramètres!$A$1:$I$89,3,0)*0.475*44/12</f>
        <v>5.2373892290942079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80.996941646772314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1.9895196601282805E-13</v>
      </c>
      <c r="BE125" s="13">
        <f>BD125*VLOOKUP('Données projet'!$B$11,Paramètres!$A$1:$I$89,3,0)*VLOOKUP('Données projet'!$B$11,Paramètres!$A$1:$I$89,5,0)</f>
        <v>1.738044375088066E-13</v>
      </c>
      <c r="BF125" s="13">
        <f t="shared" si="91"/>
        <v>2.4483293633950478E-12</v>
      </c>
      <c r="BG125" s="20">
        <f t="shared" si="61"/>
        <v>4.566883036574213E-12</v>
      </c>
      <c r="BH125" s="59">
        <f t="shared" si="62"/>
        <v>282.49424588214634</v>
      </c>
      <c r="BI125" s="59">
        <f ca="1">AVERAGE(OFFSET($BH$3,0,0,'Données projet'!$E$11+1,1))-AVERAGE(OFFSET($H$3,0,0,'Données projet'!$E$11+1,1))</f>
        <v>341.62910675299065</v>
      </c>
      <c r="BJ125" s="59">
        <f t="shared" si="92"/>
        <v>407.15938341104709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36.921809180122025</v>
      </c>
      <c r="BQ125" s="21">
        <f>EXP(-LN(2)/25)*BQ124+(1-EXP(-LN(2)/25))/(LN(2)/25)*Calculateur!BL125*Calculateur!BN125*VLOOKUP('Données projet'!$B$11,Paramètres!$A$1:$I$89,3,0)*0.475*44/12</f>
        <v>11.332022307578571</v>
      </c>
      <c r="BR125" s="21">
        <f>EXP(-LN(2)/2)*BR124+(1-EXP(-LN(2)/2))/(LN(2)/2)*BL125*BO125*VLOOKUP('Données projet'!$B$11,Paramètres!$A$1:$I$89,3,0)*0.475*44/12</f>
        <v>6.2375804552393029E-9</v>
      </c>
      <c r="BS125" s="22">
        <f t="shared" si="63"/>
        <v>48.253831493938172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282.68227981685561</v>
      </c>
      <c r="S126" s="59">
        <f ca="1">AVERAGE(OFFSET($R$3,0,0,'Données projet'!$E$9+1,1))-AVERAGE(OFFSET($H$3,0,0,'Données projet'!$E$9+1,1))</f>
        <v>507.66185230065889</v>
      </c>
      <c r="T126" s="59">
        <f t="shared" si="88"/>
        <v>640.14375617778342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106.77141074447064</v>
      </c>
      <c r="AA126" s="21">
        <f>EXP(-LN(2)/25)*AA125+(1-EXP(-LN(2)/25))/(LN(2)/25)*Calculateur!V126*Calculateur!X126*VLOOKUP('Données projet'!$B$9,Paramètres!$A$1:$I$89,3,0)*0.475*44/12</f>
        <v>4.4491351229235034</v>
      </c>
      <c r="AB126" s="21">
        <f>EXP(-LN(2)/2)*AB125+(1-EXP(-LN(2)/2))/(LN(2)/2)*V126*Y126*VLOOKUP('Données projet'!$B$9,Paramètres!$A$1:$I$89,3,0)*0.475*44/12</f>
        <v>9.2666350941949662E-12</v>
      </c>
      <c r="AC126" s="22">
        <f t="shared" si="57"/>
        <v>111.22054586740342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-1.5961632016114892E-13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332.74717458063787</v>
      </c>
      <c r="AO126" s="59">
        <f t="shared" si="90"/>
        <v>408.69087885751878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74.273953803531683</v>
      </c>
      <c r="AV126" s="21">
        <f>EXP(-LN(2)/25)*AV125+(1-EXP(-LN(2)/25))/(LN(2)/25)*Calculateur!AQ126*Calculateur!AS126*VLOOKUP('Données projet'!$B$10,Paramètres!$A$1:$I$89,3,0)*0.475*44/12</f>
        <v>5.094172545202297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79.368126348733981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1.9895196601282805E-13</v>
      </c>
      <c r="BE126" s="13">
        <f>BD126*VLOOKUP('Données projet'!$B$11,Paramètres!$A$1:$I$89,3,0)*VLOOKUP('Données projet'!$B$11,Paramètres!$A$1:$I$89,5,0)</f>
        <v>1.738044375088066E-13</v>
      </c>
      <c r="BF126" s="13">
        <f t="shared" si="91"/>
        <v>2.4483293633950478E-12</v>
      </c>
      <c r="BG126" s="20">
        <f t="shared" si="61"/>
        <v>4.566883036574213E-12</v>
      </c>
      <c r="BH126" s="59">
        <f t="shared" si="62"/>
        <v>282.68227981685521</v>
      </c>
      <c r="BI126" s="59">
        <f ca="1">AVERAGE(OFFSET($BH$3,0,0,'Données projet'!$E$11+1,1))-AVERAGE(OFFSET($H$3,0,0,'Données projet'!$E$11+1,1))</f>
        <v>341.62910675299065</v>
      </c>
      <c r="BJ126" s="59">
        <f t="shared" si="92"/>
        <v>407.15938341104709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36.197795022179761</v>
      </c>
      <c r="BQ126" s="21">
        <f>EXP(-LN(2)/25)*BQ125+(1-EXP(-LN(2)/25))/(LN(2)/25)*Calculateur!BL126*Calculateur!BN126*VLOOKUP('Données projet'!$B$11,Paramètres!$A$1:$I$89,3,0)*0.475*44/12</f>
        <v>11.022147561652682</v>
      </c>
      <c r="BR126" s="21">
        <f>EXP(-LN(2)/2)*BR125+(1-EXP(-LN(2)/2))/(LN(2)/2)*BL126*BO126*VLOOKUP('Données projet'!$B$11,Paramètres!$A$1:$I$89,3,0)*0.475*44/12</f>
        <v>4.4106354380963831E-9</v>
      </c>
      <c r="BS126" s="22">
        <f t="shared" si="63"/>
        <v>47.219942588243079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282.86705178317828</v>
      </c>
      <c r="S127" s="59">
        <f ca="1">AVERAGE(OFFSET($R$3,0,0,'Données projet'!$E$9+1,1))-AVERAGE(OFFSET($H$3,0,0,'Données projet'!$E$9+1,1))</f>
        <v>507.66185230065889</v>
      </c>
      <c r="T127" s="59">
        <f t="shared" si="88"/>
        <v>640.14375617778342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104.67768850390165</v>
      </c>
      <c r="AA127" s="21">
        <f>EXP(-LN(2)/25)*AA126+(1-EXP(-LN(2)/25))/(LN(2)/25)*Calculateur!V127*Calculateur!X127*VLOOKUP('Données projet'!$B$9,Paramètres!$A$1:$I$89,3,0)*0.475*44/12</f>
        <v>4.3274732890173127</v>
      </c>
      <c r="AB127" s="21">
        <f>EXP(-LN(2)/2)*AB126+(1-EXP(-LN(2)/2))/(LN(2)/2)*V127*Y127*VLOOKUP('Données projet'!$B$9,Paramètres!$A$1:$I$89,3,0)*0.475*44/12</f>
        <v>6.5525005138865022E-12</v>
      </c>
      <c r="AC127" s="22">
        <f t="shared" si="57"/>
        <v>109.00516179292551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-1.5961632016114892E-13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332.74717458063787</v>
      </c>
      <c r="AO127" s="59">
        <f t="shared" si="90"/>
        <v>408.69087885751878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72.817486872082981</v>
      </c>
      <c r="AV127" s="21">
        <f>EXP(-LN(2)/25)*AV126+(1-EXP(-LN(2)/25))/(LN(2)/25)*Calculateur!AQ127*Calculateur!AS127*VLOOKUP('Données projet'!$B$10,Paramètres!$A$1:$I$89,3,0)*0.475*44/12</f>
        <v>4.9548721290628492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77.77235900114583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1.9895196601282805E-13</v>
      </c>
      <c r="BE127" s="13">
        <f>BD127*VLOOKUP('Données projet'!$B$11,Paramètres!$A$1:$I$89,3,0)*VLOOKUP('Données projet'!$B$11,Paramètres!$A$1:$I$89,5,0)</f>
        <v>1.738044375088066E-13</v>
      </c>
      <c r="BF127" s="13">
        <f t="shared" si="91"/>
        <v>2.4483293633950478E-12</v>
      </c>
      <c r="BG127" s="20">
        <f t="shared" si="61"/>
        <v>4.566883036574213E-12</v>
      </c>
      <c r="BH127" s="59">
        <f t="shared" si="62"/>
        <v>282.86705178317789</v>
      </c>
      <c r="BI127" s="59">
        <f ca="1">AVERAGE(OFFSET($BH$3,0,0,'Données projet'!$E$11+1,1))-AVERAGE(OFFSET($H$3,0,0,'Données projet'!$E$11+1,1))</f>
        <v>341.62910675299065</v>
      </c>
      <c r="BJ127" s="59">
        <f t="shared" si="92"/>
        <v>407.15938341104709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35.487978340269713</v>
      </c>
      <c r="BQ127" s="21">
        <f>EXP(-LN(2)/25)*BQ126+(1-EXP(-LN(2)/25))/(LN(2)/25)*Calculateur!BL127*Calculateur!BN127*VLOOKUP('Données projet'!$B$11,Paramètres!$A$1:$I$89,3,0)*0.475*44/12</f>
        <v>10.720746356949741</v>
      </c>
      <c r="BR127" s="21">
        <f>EXP(-LN(2)/2)*BR126+(1-EXP(-LN(2)/2))/(LN(2)/2)*BL127*BO127*VLOOKUP('Données projet'!$B$11,Paramètres!$A$1:$I$89,3,0)*0.475*44/12</f>
        <v>3.1187902276196514E-9</v>
      </c>
      <c r="BS127" s="22">
        <f t="shared" si="63"/>
        <v>46.208724700338244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283.04861836897345</v>
      </c>
      <c r="S128" s="59">
        <f ca="1">AVERAGE(OFFSET($R$3,0,0,'Données projet'!$E$9+1,1))-AVERAGE(OFFSET($H$3,0,0,'Données projet'!$E$9+1,1))</f>
        <v>507.66185230065889</v>
      </c>
      <c r="T128" s="59">
        <f t="shared" si="88"/>
        <v>640.14375617778342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102.62502287942574</v>
      </c>
      <c r="AA128" s="21">
        <f>EXP(-LN(2)/25)*AA127+(1-EXP(-LN(2)/25))/(LN(2)/25)*Calculateur!V128*Calculateur!X128*VLOOKUP('Données projet'!$B$9,Paramètres!$A$1:$I$89,3,0)*0.475*44/12</f>
        <v>4.2091383043572046</v>
      </c>
      <c r="AB128" s="21">
        <f>EXP(-LN(2)/2)*AB127+(1-EXP(-LN(2)/2))/(LN(2)/2)*V128*Y128*VLOOKUP('Données projet'!$B$9,Paramètres!$A$1:$I$89,3,0)*0.475*44/12</f>
        <v>4.6333175470974831E-12</v>
      </c>
      <c r="AC128" s="22">
        <f t="shared" si="57"/>
        <v>106.83416118378759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-1.5961632016114892E-13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332.74717458063787</v>
      </c>
      <c r="AO128" s="59">
        <f t="shared" si="90"/>
        <v>408.69087885751878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71.389580368802882</v>
      </c>
      <c r="AV128" s="21">
        <f>EXP(-LN(2)/25)*AV127+(1-EXP(-LN(2)/25))/(LN(2)/25)*Calculateur!AQ128*Calculateur!AS128*VLOOKUP('Données projet'!$B$10,Paramètres!$A$1:$I$89,3,0)*0.475*44/12</f>
        <v>4.8193808901282251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76.208961258931112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1.9895196601282805E-13</v>
      </c>
      <c r="BE128" s="13">
        <f>BD128*VLOOKUP('Données projet'!$B$11,Paramètres!$A$1:$I$89,3,0)*VLOOKUP('Données projet'!$B$11,Paramètres!$A$1:$I$89,5,0)</f>
        <v>1.738044375088066E-13</v>
      </c>
      <c r="BF128" s="13">
        <f t="shared" si="91"/>
        <v>2.4483293633950478E-12</v>
      </c>
      <c r="BG128" s="20">
        <f t="shared" si="61"/>
        <v>4.566883036574213E-12</v>
      </c>
      <c r="BH128" s="59">
        <f t="shared" si="62"/>
        <v>283.04861836897305</v>
      </c>
      <c r="BI128" s="59">
        <f ca="1">AVERAGE(OFFSET($BH$3,0,0,'Données projet'!$E$11+1,1))-AVERAGE(OFFSET($H$3,0,0,'Données projet'!$E$11+1,1))</f>
        <v>341.62910675299065</v>
      </c>
      <c r="BJ128" s="59">
        <f t="shared" si="92"/>
        <v>407.15938341104709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34.792080730546495</v>
      </c>
      <c r="BQ128" s="21">
        <f>EXP(-LN(2)/25)*BQ127+(1-EXP(-LN(2)/25))/(LN(2)/25)*Calculateur!BL128*Calculateur!BN128*VLOOKUP('Données projet'!$B$11,Paramètres!$A$1:$I$89,3,0)*0.475*44/12</f>
        <v>10.427586984039403</v>
      </c>
      <c r="BR128" s="21">
        <f>EXP(-LN(2)/2)*BR127+(1-EXP(-LN(2)/2))/(LN(2)/2)*BL128*BO128*VLOOKUP('Données projet'!$B$11,Paramètres!$A$1:$I$89,3,0)*0.475*44/12</f>
        <v>2.2053177190481916E-9</v>
      </c>
      <c r="BS128" s="22">
        <f t="shared" si="63"/>
        <v>45.219667716791214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283.22703518042715</v>
      </c>
      <c r="S129" s="59">
        <f ca="1">AVERAGE(OFFSET($R$3,0,0,'Données projet'!$E$9+1,1))-AVERAGE(OFFSET($H$3,0,0,'Données projet'!$E$9+1,1))</f>
        <v>507.66185230065889</v>
      </c>
      <c r="T129" s="59">
        <f t="shared" si="88"/>
        <v>640.14375617778342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100.61260877584341</v>
      </c>
      <c r="AA129" s="21">
        <f>EXP(-LN(2)/25)*AA128+(1-EXP(-LN(2)/25))/(LN(2)/25)*Calculateur!V129*Calculateur!X129*VLOOKUP('Données projet'!$B$9,Paramètres!$A$1:$I$89,3,0)*0.475*44/12</f>
        <v>4.0940391960755935</v>
      </c>
      <c r="AB129" s="21">
        <f>EXP(-LN(2)/2)*AB128+(1-EXP(-LN(2)/2))/(LN(2)/2)*V129*Y129*VLOOKUP('Données projet'!$B$9,Paramètres!$A$1:$I$89,3,0)*0.475*44/12</f>
        <v>3.2762502569432511E-12</v>
      </c>
      <c r="AC129" s="22">
        <f t="shared" si="57"/>
        <v>104.70664797192229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-1.5961632016114892E-13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332.74717458063787</v>
      </c>
      <c r="AO129" s="59">
        <f t="shared" si="90"/>
        <v>408.69087885751878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69.989674241115139</v>
      </c>
      <c r="AV129" s="21">
        <f>EXP(-LN(2)/25)*AV128+(1-EXP(-LN(2)/25))/(LN(2)/25)*Calculateur!AQ129*Calculateur!AS129*VLOOKUP('Données projet'!$B$10,Paramètres!$A$1:$I$89,3,0)*0.475*44/12</f>
        <v>4.6875946662474428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74.677268907362588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1.9895196601282805E-13</v>
      </c>
      <c r="BE129" s="13">
        <f>BD129*VLOOKUP('Données projet'!$B$11,Paramètres!$A$1:$I$89,3,0)*VLOOKUP('Données projet'!$B$11,Paramètres!$A$1:$I$89,5,0)</f>
        <v>1.738044375088066E-13</v>
      </c>
      <c r="BF129" s="13">
        <f t="shared" si="91"/>
        <v>2.4483293633950478E-12</v>
      </c>
      <c r="BG129" s="20">
        <f t="shared" si="61"/>
        <v>4.566883036574213E-12</v>
      </c>
      <c r="BH129" s="59">
        <f t="shared" si="62"/>
        <v>283.22703518042675</v>
      </c>
      <c r="BI129" s="59">
        <f ca="1">AVERAGE(OFFSET($BH$3,0,0,'Données projet'!$E$11+1,1))-AVERAGE(OFFSET($H$3,0,0,'Données projet'!$E$11+1,1))</f>
        <v>341.62910675299065</v>
      </c>
      <c r="BJ129" s="59">
        <f t="shared" si="92"/>
        <v>407.15938341104709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34.109829248494314</v>
      </c>
      <c r="BQ129" s="21">
        <f>EXP(-LN(2)/25)*BQ128+(1-EXP(-LN(2)/25))/(LN(2)/25)*Calculateur!BL129*Calculateur!BN129*VLOOKUP('Données projet'!$B$11,Paramètres!$A$1:$I$89,3,0)*0.475*44/12</f>
        <v>10.142444069597879</v>
      </c>
      <c r="BR129" s="21">
        <f>EXP(-LN(2)/2)*BR128+(1-EXP(-LN(2)/2))/(LN(2)/2)*BL129*BO129*VLOOKUP('Données projet'!$B$11,Paramètres!$A$1:$I$89,3,0)*0.475*44/12</f>
        <v>1.5593951138098257E-9</v>
      </c>
      <c r="BS129" s="22">
        <f t="shared" si="63"/>
        <v>44.252273319651586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283.40235685908237</v>
      </c>
      <c r="S130" s="59">
        <f ca="1">AVERAGE(OFFSET($R$3,0,0,'Données projet'!$E$9+1,1))-AVERAGE(OFFSET($H$3,0,0,'Données projet'!$E$9+1,1))</f>
        <v>507.66185230065889</v>
      </c>
      <c r="T130" s="59">
        <f t="shared" si="88"/>
        <v>640.14375617778342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98.63965688538093</v>
      </c>
      <c r="AA130" s="21">
        <f>EXP(-LN(2)/25)*AA129+(1-EXP(-LN(2)/25))/(LN(2)/25)*Calculateur!V130*Calculateur!X130*VLOOKUP('Données projet'!$B$9,Paramètres!$A$1:$I$89,3,0)*0.475*44/12</f>
        <v>3.9820874789627423</v>
      </c>
      <c r="AB130" s="21">
        <f>EXP(-LN(2)/2)*AB129+(1-EXP(-LN(2)/2))/(LN(2)/2)*V130*Y130*VLOOKUP('Données projet'!$B$9,Paramètres!$A$1:$I$89,3,0)*0.475*44/12</f>
        <v>2.3166587735487415E-12</v>
      </c>
      <c r="AC130" s="22">
        <f t="shared" si="57"/>
        <v>102.62174436434599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-1.5961632016114892E-13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332.74717458063787</v>
      </c>
      <c r="AO130" s="59">
        <f t="shared" si="90"/>
        <v>408.69087885751878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68.617219418732915</v>
      </c>
      <c r="AV130" s="21">
        <f>EXP(-LN(2)/25)*AV129+(1-EXP(-LN(2)/25))/(LN(2)/25)*Calculateur!AQ130*Calculateur!AS130*VLOOKUP('Données projet'!$B$10,Paramètres!$A$1:$I$89,3,0)*0.475*44/12</f>
        <v>4.5594121435890163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73.17663156232193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1.9895196601282805E-13</v>
      </c>
      <c r="BE130" s="13">
        <f>BD130*VLOOKUP('Données projet'!$B$11,Paramètres!$A$1:$I$89,3,0)*VLOOKUP('Données projet'!$B$11,Paramètres!$A$1:$I$89,5,0)</f>
        <v>1.738044375088066E-13</v>
      </c>
      <c r="BF130" s="13">
        <f t="shared" si="91"/>
        <v>2.4483293633950478E-12</v>
      </c>
      <c r="BG130" s="20">
        <f t="shared" si="61"/>
        <v>4.566883036574213E-12</v>
      </c>
      <c r="BH130" s="59">
        <f t="shared" si="62"/>
        <v>283.40235685908198</v>
      </c>
      <c r="BI130" s="59">
        <f ca="1">AVERAGE(OFFSET($BH$3,0,0,'Données projet'!$E$11+1,1))-AVERAGE(OFFSET($H$3,0,0,'Données projet'!$E$11+1,1))</f>
        <v>341.62910675299065</v>
      </c>
      <c r="BJ130" s="59">
        <f t="shared" si="92"/>
        <v>407.15938341104709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33.440956301872866</v>
      </c>
      <c r="BQ130" s="21">
        <f>EXP(-LN(2)/25)*BQ129+(1-EXP(-LN(2)/25))/(LN(2)/25)*Calculateur!BL130*Calculateur!BN130*VLOOKUP('Données projet'!$B$11,Paramètres!$A$1:$I$89,3,0)*0.475*44/12</f>
        <v>9.8650984031467726</v>
      </c>
      <c r="BR130" s="21">
        <f>EXP(-LN(2)/2)*BR129+(1-EXP(-LN(2)/2))/(LN(2)/2)*BL130*BO130*VLOOKUP('Données projet'!$B$11,Paramètres!$A$1:$I$89,3,0)*0.475*44/12</f>
        <v>1.1026588595240958E-9</v>
      </c>
      <c r="BS130" s="22">
        <f t="shared" si="63"/>
        <v>43.306054706122296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283.57463709857348</v>
      </c>
      <c r="S131" s="59">
        <f ca="1">AVERAGE(OFFSET($R$3,0,0,'Données projet'!$E$9+1,1))-AVERAGE(OFFSET($H$3,0,0,'Données projet'!$E$9+1,1))</f>
        <v>507.66185230065889</v>
      </c>
      <c r="T131" s="59">
        <f t="shared" si="88"/>
        <v>640.14375617778342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96.705393378108582</v>
      </c>
      <c r="AA131" s="21">
        <f>EXP(-LN(2)/25)*AA130+(1-EXP(-LN(2)/25))/(LN(2)/25)*Calculateur!V131*Calculateur!X131*VLOOKUP('Données projet'!$B$9,Paramètres!$A$1:$I$89,3,0)*0.475*44/12</f>
        <v>3.8731970874416266</v>
      </c>
      <c r="AB131" s="21">
        <f>EXP(-LN(2)/2)*AB130+(1-EXP(-LN(2)/2))/(LN(2)/2)*V131*Y131*VLOOKUP('Données projet'!$B$9,Paramètres!$A$1:$I$89,3,0)*0.475*44/12</f>
        <v>1.6381251284716256E-12</v>
      </c>
      <c r="AC131" s="22">
        <f t="shared" si="57"/>
        <v>100.57859046555184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-1.5961632016114892E-13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332.74717458063787</v>
      </c>
      <c r="AO131" s="59">
        <f t="shared" si="90"/>
        <v>408.69087885751878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67.27167759830283</v>
      </c>
      <c r="AV131" s="21">
        <f>EXP(-LN(2)/25)*AV130+(1-EXP(-LN(2)/25))/(LN(2)/25)*Calculateur!AQ131*Calculateur!AS131*VLOOKUP('Données projet'!$B$10,Paramètres!$A$1:$I$89,3,0)*0.475*44/12</f>
        <v>4.4347347787535103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71.706412377056338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1.9895196601282805E-13</v>
      </c>
      <c r="BE131" s="13">
        <f>BD131*VLOOKUP('Données projet'!$B$11,Paramètres!$A$1:$I$89,3,0)*VLOOKUP('Données projet'!$B$11,Paramètres!$A$1:$I$89,5,0)</f>
        <v>1.738044375088066E-13</v>
      </c>
      <c r="BF131" s="13">
        <f t="shared" si="91"/>
        <v>2.4483293633950478E-12</v>
      </c>
      <c r="BG131" s="20">
        <f t="shared" si="61"/>
        <v>4.566883036574213E-12</v>
      </c>
      <c r="BH131" s="59">
        <f t="shared" si="62"/>
        <v>283.57463709857308</v>
      </c>
      <c r="BI131" s="59">
        <f ca="1">AVERAGE(OFFSET($BH$3,0,0,'Données projet'!$E$11+1,1))-AVERAGE(OFFSET($H$3,0,0,'Données projet'!$E$11+1,1))</f>
        <v>341.62910675299065</v>
      </c>
      <c r="BJ131" s="59">
        <f t="shared" si="92"/>
        <v>407.15938341104709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32.785199545762453</v>
      </c>
      <c r="BQ131" s="21">
        <f>EXP(-LN(2)/25)*BQ130+(1-EXP(-LN(2)/25))/(LN(2)/25)*Calculateur!BL131*Calculateur!BN131*VLOOKUP('Données projet'!$B$11,Paramètres!$A$1:$I$89,3,0)*0.475*44/12</f>
        <v>9.5953367685297462</v>
      </c>
      <c r="BR131" s="21">
        <f>EXP(-LN(2)/2)*BR130+(1-EXP(-LN(2)/2))/(LN(2)/2)*BL131*BO131*VLOOKUP('Données projet'!$B$11,Paramètres!$A$1:$I$89,3,0)*0.475*44/12</f>
        <v>7.7969755690491286E-10</v>
      </c>
      <c r="BS131" s="22">
        <f t="shared" si="63"/>
        <v>42.3805363150719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283.7439286610703</v>
      </c>
      <c r="S132" s="59">
        <f ca="1">AVERAGE(OFFSET($R$3,0,0,'Données projet'!$E$9+1,1))-AVERAGE(OFFSET($H$3,0,0,'Données projet'!$E$9+1,1))</f>
        <v>507.66185230065889</v>
      </c>
      <c r="T132" s="59">
        <f t="shared" si="88"/>
        <v>640.14375617778342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94.809059598429599</v>
      </c>
      <c r="AA132" s="21">
        <f>EXP(-LN(2)/25)*AA131+(1-EXP(-LN(2)/25))/(LN(2)/25)*Calculateur!V132*Calculateur!X132*VLOOKUP('Données projet'!$B$9,Paramètres!$A$1:$I$89,3,0)*0.475*44/12</f>
        <v>3.7672843094029527</v>
      </c>
      <c r="AB132" s="21">
        <f>EXP(-LN(2)/2)*AB131+(1-EXP(-LN(2)/2))/(LN(2)/2)*V132*Y132*VLOOKUP('Données projet'!$B$9,Paramètres!$A$1:$I$89,3,0)*0.475*44/12</f>
        <v>1.1583293867743708E-12</v>
      </c>
      <c r="AC132" s="22">
        <f t="shared" ref="AC132:AC153" si="111">SUM(Z132:AB132)</f>
        <v>98.576343907833717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-1.5961632016114892E-13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332.74717458063787</v>
      </c>
      <c r="AO132" s="59">
        <f t="shared" si="90"/>
        <v>408.69087885751878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65.952521032271903</v>
      </c>
      <c r="AV132" s="21">
        <f>EXP(-LN(2)/25)*AV131+(1-EXP(-LN(2)/25))/(LN(2)/25)*Calculateur!AQ132*Calculateur!AS132*VLOOKUP('Données projet'!$B$10,Paramètres!$A$1:$I$89,3,0)*0.475*44/12</f>
        <v>4.3134667230159289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70.265987755287838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1.9895196601282805E-13</v>
      </c>
      <c r="BE132" s="13">
        <f>BD132*VLOOKUP('Données projet'!$B$11,Paramètres!$A$1:$I$89,3,0)*VLOOKUP('Données projet'!$B$11,Paramètres!$A$1:$I$89,5,0)</f>
        <v>1.738044375088066E-13</v>
      </c>
      <c r="BF132" s="13">
        <f t="shared" si="91"/>
        <v>2.4483293633950478E-12</v>
      </c>
      <c r="BG132" s="20">
        <f t="shared" ref="BG132:BG153" si="115">(BE132+BF132)*0.475*44/12</f>
        <v>4.566883036574213E-12</v>
      </c>
      <c r="BH132" s="59">
        <f t="shared" ref="BH132:BH195" si="116">BG132+(AY132+AZ132)*44/12</f>
        <v>283.7439286610699</v>
      </c>
      <c r="BI132" s="59">
        <f ca="1">AVERAGE(OFFSET($BH$3,0,0,'Données projet'!$E$11+1,1))-AVERAGE(OFFSET($H$3,0,0,'Données projet'!$E$11+1,1))</f>
        <v>341.62910675299065</v>
      </c>
      <c r="BJ132" s="59">
        <f t="shared" si="92"/>
        <v>407.15938341104709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32.142301779667235</v>
      </c>
      <c r="BQ132" s="21">
        <f>EXP(-LN(2)/25)*BQ131+(1-EXP(-LN(2)/25))/(LN(2)/25)*Calculateur!BL132*Calculateur!BN132*VLOOKUP('Données projet'!$B$11,Paramètres!$A$1:$I$89,3,0)*0.475*44/12</f>
        <v>9.3329517799974706</v>
      </c>
      <c r="BR132" s="21">
        <f>EXP(-LN(2)/2)*BR131+(1-EXP(-LN(2)/2))/(LN(2)/2)*BL132*BO132*VLOOKUP('Données projet'!$B$11,Paramètres!$A$1:$I$89,3,0)*0.475*44/12</f>
        <v>5.5132942976204789E-10</v>
      </c>
      <c r="BS132" s="22">
        <f t="shared" ref="BS132:BS153" si="117">SUM(BP132:BR132)</f>
        <v>41.475253560216039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283.91028339343706</v>
      </c>
      <c r="S133" s="59">
        <f ca="1">AVERAGE(OFFSET($R$3,0,0,'Données projet'!$E$9+1,1))-AVERAGE(OFFSET($H$3,0,0,'Données projet'!$E$9+1,1))</f>
        <v>507.66185230065889</v>
      </c>
      <c r="T133" s="59">
        <f t="shared" ref="T133:T196" si="142">$T$3</f>
        <v>640.14375617778342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92.949911767520732</v>
      </c>
      <c r="AA133" s="21">
        <f>EXP(-LN(2)/25)*AA132+(1-EXP(-LN(2)/25))/(LN(2)/25)*Calculateur!V133*Calculateur!X133*VLOOKUP('Données projet'!$B$9,Paramètres!$A$1:$I$89,3,0)*0.475*44/12</f>
        <v>3.6642677218494573</v>
      </c>
      <c r="AB133" s="21">
        <f>EXP(-LN(2)/2)*AB132+(1-EXP(-LN(2)/2))/(LN(2)/2)*V133*Y133*VLOOKUP('Données projet'!$B$9,Paramètres!$A$1:$I$89,3,0)*0.475*44/12</f>
        <v>8.1906256423581278E-13</v>
      </c>
      <c r="AC133" s="22">
        <f t="shared" si="111"/>
        <v>96.614179489371011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-1.5961632016114892E-13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332.74717458063787</v>
      </c>
      <c r="AO133" s="59">
        <f t="shared" ref="AO133:AO196" si="144">$AO$3</f>
        <v>408.69087885751878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64.659232321894791</v>
      </c>
      <c r="AV133" s="21">
        <f>EXP(-LN(2)/25)*AV132+(1-EXP(-LN(2)/25))/(LN(2)/25)*Calculateur!AQ133*Calculateur!AS133*VLOOKUP('Données projet'!$B$10,Paramètres!$A$1:$I$89,3,0)*0.475*44/12</f>
        <v>4.1955147486397015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68.854747070534486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1.9895196601282805E-13</v>
      </c>
      <c r="BE133" s="13">
        <f>BD133*VLOOKUP('Données projet'!$B$11,Paramètres!$A$1:$I$89,3,0)*VLOOKUP('Données projet'!$B$11,Paramètres!$A$1:$I$89,5,0)</f>
        <v>1.738044375088066E-13</v>
      </c>
      <c r="BF133" s="13">
        <f t="shared" ref="BF133:BF153" si="145">EXP(-1.0587+0.8836*LN(BE133)+0.284)</f>
        <v>2.4483293633950478E-12</v>
      </c>
      <c r="BG133" s="20">
        <f t="shared" si="115"/>
        <v>4.566883036574213E-12</v>
      </c>
      <c r="BH133" s="59">
        <f t="shared" si="116"/>
        <v>283.91028339343666</v>
      </c>
      <c r="BI133" s="59">
        <f ca="1">AVERAGE(OFFSET($BH$3,0,0,'Données projet'!$E$11+1,1))-AVERAGE(OFFSET($H$3,0,0,'Données projet'!$E$11+1,1))</f>
        <v>341.62910675299065</v>
      </c>
      <c r="BJ133" s="59">
        <f t="shared" ref="BJ133:BJ196" si="146">$BJ$3</f>
        <v>407.15938341104709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31.512010846636226</v>
      </c>
      <c r="BQ133" s="21">
        <f>EXP(-LN(2)/25)*BQ132+(1-EXP(-LN(2)/25))/(LN(2)/25)*Calculateur!BL133*Calculateur!BN133*VLOOKUP('Données projet'!$B$11,Paramètres!$A$1:$I$89,3,0)*0.475*44/12</f>
        <v>9.0777417227748369</v>
      </c>
      <c r="BR133" s="21">
        <f>EXP(-LN(2)/2)*BR132+(1-EXP(-LN(2)/2))/(LN(2)/2)*BL133*BO133*VLOOKUP('Données projet'!$B$11,Paramètres!$A$1:$I$89,3,0)*0.475*44/12</f>
        <v>3.8984877845245643E-10</v>
      </c>
      <c r="BS133" s="22">
        <f t="shared" si="117"/>
        <v>40.589752569800908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284.07375224311068</v>
      </c>
      <c r="S134" s="59">
        <f ca="1">AVERAGE(OFFSET($R$3,0,0,'Données projet'!$E$9+1,1))-AVERAGE(OFFSET($H$3,0,0,'Données projet'!$E$9+1,1))</f>
        <v>507.66185230065889</v>
      </c>
      <c r="T134" s="59">
        <f t="shared" si="142"/>
        <v>640.14375617778342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91.127220691607775</v>
      </c>
      <c r="AA134" s="21">
        <f>EXP(-LN(2)/25)*AA133+(1-EXP(-LN(2)/25))/(LN(2)/25)*Calculateur!V134*Calculateur!X134*VLOOKUP('Données projet'!$B$9,Paramètres!$A$1:$I$89,3,0)*0.475*44/12</f>
        <v>3.5640681283000193</v>
      </c>
      <c r="AB134" s="21">
        <f>EXP(-LN(2)/2)*AB133+(1-EXP(-LN(2)/2))/(LN(2)/2)*V134*Y134*VLOOKUP('Données projet'!$B$9,Paramètres!$A$1:$I$89,3,0)*0.475*44/12</f>
        <v>5.7916469338718539E-13</v>
      </c>
      <c r="AC134" s="22">
        <f t="shared" si="111"/>
        <v>94.69128881990838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-1.5961632016114892E-13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332.74717458063787</v>
      </c>
      <c r="AO134" s="59">
        <f t="shared" si="144"/>
        <v>408.69087885751878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63.39130421429995</v>
      </c>
      <c r="AV134" s="21">
        <f>EXP(-LN(2)/25)*AV133+(1-EXP(-LN(2)/25))/(LN(2)/25)*Calculateur!AQ134*Calculateur!AS134*VLOOKUP('Données projet'!$B$10,Paramètres!$A$1:$I$89,3,0)*0.475*44/12</f>
        <v>4.0807881772056174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67.472092391505569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1.9895196601282805E-13</v>
      </c>
      <c r="BE134" s="13">
        <f>BD134*VLOOKUP('Données projet'!$B$11,Paramètres!$A$1:$I$89,3,0)*VLOOKUP('Données projet'!$B$11,Paramètres!$A$1:$I$89,5,0)</f>
        <v>1.738044375088066E-13</v>
      </c>
      <c r="BF134" s="13">
        <f t="shared" si="145"/>
        <v>2.4483293633950478E-12</v>
      </c>
      <c r="BG134" s="20">
        <f t="shared" si="115"/>
        <v>4.566883036574213E-12</v>
      </c>
      <c r="BH134" s="59">
        <f t="shared" si="116"/>
        <v>284.07375224311028</v>
      </c>
      <c r="BI134" s="59">
        <f ca="1">AVERAGE(OFFSET($BH$3,0,0,'Données projet'!$E$11+1,1))-AVERAGE(OFFSET($H$3,0,0,'Données projet'!$E$11+1,1))</f>
        <v>341.62910675299065</v>
      </c>
      <c r="BJ134" s="59">
        <f t="shared" si="146"/>
        <v>407.15938341104709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30.894079534362447</v>
      </c>
      <c r="BQ134" s="21">
        <f>EXP(-LN(2)/25)*BQ133+(1-EXP(-LN(2)/25))/(LN(2)/25)*Calculateur!BL134*Calculateur!BN134*VLOOKUP('Données projet'!$B$11,Paramètres!$A$1:$I$89,3,0)*0.475*44/12</f>
        <v>8.8295103979878693</v>
      </c>
      <c r="BR134" s="21">
        <f>EXP(-LN(2)/2)*BR133+(1-EXP(-LN(2)/2))/(LN(2)/2)*BL134*BO134*VLOOKUP('Données projet'!$B$11,Paramètres!$A$1:$I$89,3,0)*0.475*44/12</f>
        <v>2.7566471488102395E-10</v>
      </c>
      <c r="BS134" s="22">
        <f t="shared" si="117"/>
        <v>39.723589932625977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284.23438527370411</v>
      </c>
      <c r="S135" s="59">
        <f ca="1">AVERAGE(OFFSET($R$3,0,0,'Données projet'!$E$9+1,1))-AVERAGE(OFFSET($H$3,0,0,'Données projet'!$E$9+1,1))</f>
        <v>507.66185230065889</v>
      </c>
      <c r="T135" s="59">
        <f t="shared" si="142"/>
        <v>640.14375617778342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89.340271475961686</v>
      </c>
      <c r="AA135" s="21">
        <f>EXP(-LN(2)/25)*AA134+(1-EXP(-LN(2)/25))/(LN(2)/25)*Calculateur!V135*Calculateur!X135*VLOOKUP('Données projet'!$B$9,Paramètres!$A$1:$I$89,3,0)*0.475*44/12</f>
        <v>3.4666084979054581</v>
      </c>
      <c r="AB135" s="21">
        <f>EXP(-LN(2)/2)*AB134+(1-EXP(-LN(2)/2))/(LN(2)/2)*V135*Y135*VLOOKUP('Données projet'!$B$9,Paramètres!$A$1:$I$89,3,0)*0.475*44/12</f>
        <v>4.0953128211790639E-13</v>
      </c>
      <c r="AC135" s="22">
        <f t="shared" si="111"/>
        <v>92.806879973867552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-1.5961632016114892E-13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332.74717458063787</v>
      </c>
      <c r="AO135" s="59">
        <f t="shared" si="144"/>
        <v>408.69087885751878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62.148239403535257</v>
      </c>
      <c r="AV135" s="21">
        <f>EXP(-LN(2)/25)*AV134+(1-EXP(-LN(2)/25))/(LN(2)/25)*Calculateur!AQ135*Calculateur!AS135*VLOOKUP('Données projet'!$B$10,Paramètres!$A$1:$I$89,3,0)*0.475*44/12</f>
        <v>3.9691988099006061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66.117438213435861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1.9895196601282805E-13</v>
      </c>
      <c r="BE135" s="13">
        <f>BD135*VLOOKUP('Données projet'!$B$11,Paramètres!$A$1:$I$89,3,0)*VLOOKUP('Données projet'!$B$11,Paramètres!$A$1:$I$89,5,0)</f>
        <v>1.738044375088066E-13</v>
      </c>
      <c r="BF135" s="13">
        <f t="shared" si="145"/>
        <v>2.4483293633950478E-12</v>
      </c>
      <c r="BG135" s="20">
        <f t="shared" si="115"/>
        <v>4.566883036574213E-12</v>
      </c>
      <c r="BH135" s="59">
        <f t="shared" si="116"/>
        <v>284.23438527370371</v>
      </c>
      <c r="BI135" s="59">
        <f ca="1">AVERAGE(OFFSET($BH$3,0,0,'Données projet'!$E$11+1,1))-AVERAGE(OFFSET($H$3,0,0,'Données projet'!$E$11+1,1))</f>
        <v>341.62910675299065</v>
      </c>
      <c r="BJ135" s="59">
        <f t="shared" si="146"/>
        <v>407.15938341104709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30.288265478221472</v>
      </c>
      <c r="BQ135" s="21">
        <f>EXP(-LN(2)/25)*BQ134+(1-EXP(-LN(2)/25))/(LN(2)/25)*Calculateur!BL135*Calculateur!BN135*VLOOKUP('Données projet'!$B$11,Paramètres!$A$1:$I$89,3,0)*0.475*44/12</f>
        <v>8.58806697183112</v>
      </c>
      <c r="BR135" s="21">
        <f>EXP(-LN(2)/2)*BR134+(1-EXP(-LN(2)/2))/(LN(2)/2)*BL135*BO135*VLOOKUP('Données projet'!$B$11,Paramètres!$A$1:$I$89,3,0)*0.475*44/12</f>
        <v>1.9492438922622821E-10</v>
      </c>
      <c r="BS135" s="22">
        <f t="shared" si="117"/>
        <v>38.876332450247517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284.39223168033834</v>
      </c>
      <c r="S136" s="59">
        <f ca="1">AVERAGE(OFFSET($R$3,0,0,'Données projet'!$E$9+1,1))-AVERAGE(OFFSET($H$3,0,0,'Données projet'!$E$9+1,1))</f>
        <v>507.66185230065889</v>
      </c>
      <c r="T136" s="59">
        <f t="shared" si="142"/>
        <v>640.14375617778342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87.588363244503014</v>
      </c>
      <c r="AA136" s="21">
        <f>EXP(-LN(2)/25)*AA135+(1-EXP(-LN(2)/25))/(LN(2)/25)*Calculateur!V136*Calculateur!X136*VLOOKUP('Données projet'!$B$9,Paramètres!$A$1:$I$89,3,0)*0.475*44/12</f>
        <v>3.3718139062292156</v>
      </c>
      <c r="AB136" s="21">
        <f>EXP(-LN(2)/2)*AB135+(1-EXP(-LN(2)/2))/(LN(2)/2)*V136*Y136*VLOOKUP('Données projet'!$B$9,Paramètres!$A$1:$I$89,3,0)*0.475*44/12</f>
        <v>2.8958234669359269E-13</v>
      </c>
      <c r="AC136" s="22">
        <f t="shared" si="111"/>
        <v>90.96017715073252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-1.5961632016114892E-13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332.74717458063787</v>
      </c>
      <c r="AO136" s="59">
        <f t="shared" si="144"/>
        <v>408.69087885751878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60.929550335514996</v>
      </c>
      <c r="AV136" s="21">
        <f>EXP(-LN(2)/25)*AV135+(1-EXP(-LN(2)/25))/(LN(2)/25)*Calculateur!AQ136*Calculateur!AS136*VLOOKUP('Données projet'!$B$10,Paramètres!$A$1:$I$89,3,0)*0.475*44/12</f>
        <v>3.8606608597127803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64.790211195227783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1.9895196601282805E-13</v>
      </c>
      <c r="BE136" s="13">
        <f>BD136*VLOOKUP('Données projet'!$B$11,Paramètres!$A$1:$I$89,3,0)*VLOOKUP('Données projet'!$B$11,Paramètres!$A$1:$I$89,5,0)</f>
        <v>1.738044375088066E-13</v>
      </c>
      <c r="BF136" s="13">
        <f t="shared" si="145"/>
        <v>2.4483293633950478E-12</v>
      </c>
      <c r="BG136" s="20">
        <f t="shared" si="115"/>
        <v>4.566883036574213E-12</v>
      </c>
      <c r="BH136" s="59">
        <f t="shared" si="116"/>
        <v>284.39223168033794</v>
      </c>
      <c r="BI136" s="59">
        <f ca="1">AVERAGE(OFFSET($BH$3,0,0,'Données projet'!$E$11+1,1))-AVERAGE(OFFSET($H$3,0,0,'Données projet'!$E$11+1,1))</f>
        <v>341.62910675299065</v>
      </c>
      <c r="BJ136" s="59">
        <f t="shared" si="146"/>
        <v>407.15938341104709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29.694331066211333</v>
      </c>
      <c r="BQ136" s="21">
        <f>EXP(-LN(2)/25)*BQ135+(1-EXP(-LN(2)/25))/(LN(2)/25)*Calculateur!BL136*Calculateur!BN136*VLOOKUP('Données projet'!$B$11,Paramètres!$A$1:$I$89,3,0)*0.475*44/12</f>
        <v>8.3532258288595838</v>
      </c>
      <c r="BR136" s="21">
        <f>EXP(-LN(2)/2)*BR135+(1-EXP(-LN(2)/2))/(LN(2)/2)*BL136*BO136*VLOOKUP('Données projet'!$B$11,Paramètres!$A$1:$I$89,3,0)*0.475*44/12</f>
        <v>1.3783235744051197E-10</v>
      </c>
      <c r="BS136" s="22">
        <f t="shared" si="117"/>
        <v>38.04755689520875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284.54733980470922</v>
      </c>
      <c r="S137" s="59">
        <f ca="1">AVERAGE(OFFSET($R$3,0,0,'Données projet'!$E$9+1,1))-AVERAGE(OFFSET($H$3,0,0,'Données projet'!$E$9+1,1))</f>
        <v>507.66185230065889</v>
      </c>
      <c r="T137" s="59">
        <f t="shared" si="142"/>
        <v>640.14375617778342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85.870808864904745</v>
      </c>
      <c r="AA137" s="21">
        <f>EXP(-LN(2)/25)*AA136+(1-EXP(-LN(2)/25))/(LN(2)/25)*Calculateur!V137*Calculateur!X137*VLOOKUP('Données projet'!$B$9,Paramètres!$A$1:$I$89,3,0)*0.475*44/12</f>
        <v>3.2796114776473906</v>
      </c>
      <c r="AB137" s="21">
        <f>EXP(-LN(2)/2)*AB136+(1-EXP(-LN(2)/2))/(LN(2)/2)*V137*Y137*VLOOKUP('Données projet'!$B$9,Paramètres!$A$1:$I$89,3,0)*0.475*44/12</f>
        <v>2.0476564105895319E-13</v>
      </c>
      <c r="AC137" s="22">
        <f t="shared" si="111"/>
        <v>89.150420342552337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-1.5961632016114892E-13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332.74717458063787</v>
      </c>
      <c r="AO137" s="59">
        <f t="shared" si="144"/>
        <v>408.69087885751878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59.734759016791678</v>
      </c>
      <c r="AV137" s="21">
        <f>EXP(-LN(2)/25)*AV136+(1-EXP(-LN(2)/25))/(LN(2)/25)*Calculateur!AQ137*Calculateur!AS137*VLOOKUP('Données projet'!$B$10,Paramètres!$A$1:$I$89,3,0)*0.475*44/12</f>
        <v>3.7550908854806035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63.489849902272283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1.9895196601282805E-13</v>
      </c>
      <c r="BE137" s="13">
        <f>BD137*VLOOKUP('Données projet'!$B$11,Paramètres!$A$1:$I$89,3,0)*VLOOKUP('Données projet'!$B$11,Paramètres!$A$1:$I$89,5,0)</f>
        <v>1.738044375088066E-13</v>
      </c>
      <c r="BF137" s="13">
        <f t="shared" si="145"/>
        <v>2.4483293633950478E-12</v>
      </c>
      <c r="BG137" s="20">
        <f t="shared" si="115"/>
        <v>4.566883036574213E-12</v>
      </c>
      <c r="BH137" s="59">
        <f t="shared" si="116"/>
        <v>284.54733980470883</v>
      </c>
      <c r="BI137" s="59">
        <f ca="1">AVERAGE(OFFSET($BH$3,0,0,'Données projet'!$E$11+1,1))-AVERAGE(OFFSET($H$3,0,0,'Données projet'!$E$11+1,1))</f>
        <v>341.62910675299065</v>
      </c>
      <c r="BJ137" s="59">
        <f t="shared" si="146"/>
        <v>407.15938341104709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29.112043345756494</v>
      </c>
      <c r="BQ137" s="21">
        <f>EXP(-LN(2)/25)*BQ136+(1-EXP(-LN(2)/25))/(LN(2)/25)*Calculateur!BL137*Calculateur!BN137*VLOOKUP('Données projet'!$B$11,Paramètres!$A$1:$I$89,3,0)*0.475*44/12</f>
        <v>8.124806429292363</v>
      </c>
      <c r="BR137" s="21">
        <f>EXP(-LN(2)/2)*BR136+(1-EXP(-LN(2)/2))/(LN(2)/2)*BL137*BO137*VLOOKUP('Données projet'!$B$11,Paramètres!$A$1:$I$89,3,0)*0.475*44/12</f>
        <v>9.7462194613114107E-11</v>
      </c>
      <c r="BS137" s="22">
        <f t="shared" si="117"/>
        <v>37.236849775146318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284.69975714989209</v>
      </c>
      <c r="S138" s="59">
        <f ca="1">AVERAGE(OFFSET($R$3,0,0,'Données projet'!$E$9+1,1))-AVERAGE(OFFSET($H$3,0,0,'Données projet'!$E$9+1,1))</f>
        <v>507.66185230065889</v>
      </c>
      <c r="T138" s="59">
        <f t="shared" si="142"/>
        <v>640.14375617778342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84.186934679085667</v>
      </c>
      <c r="AA138" s="21">
        <f>EXP(-LN(2)/25)*AA137+(1-EXP(-LN(2)/25))/(LN(2)/25)*Calculateur!V138*Calculateur!X138*VLOOKUP('Données projet'!$B$9,Paramètres!$A$1:$I$89,3,0)*0.475*44/12</f>
        <v>3.1899303293238508</v>
      </c>
      <c r="AB138" s="21">
        <f>EXP(-LN(2)/2)*AB137+(1-EXP(-LN(2)/2))/(LN(2)/2)*V138*Y138*VLOOKUP('Données projet'!$B$9,Paramètres!$A$1:$I$89,3,0)*0.475*44/12</f>
        <v>1.4479117334679635E-13</v>
      </c>
      <c r="AC138" s="22">
        <f t="shared" si="111"/>
        <v>87.376865008409666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-1.5961632016114892E-13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332.74717458063787</v>
      </c>
      <c r="AO138" s="59">
        <f t="shared" si="144"/>
        <v>408.69087885751878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58.563396827077774</v>
      </c>
      <c r="AV138" s="21">
        <f>EXP(-LN(2)/25)*AV137+(1-EXP(-LN(2)/25))/(LN(2)/25)*Calculateur!AQ138*Calculateur!AS138*VLOOKUP('Données projet'!$B$10,Paramètres!$A$1:$I$89,3,0)*0.475*44/12</f>
        <v>3.6524077277454889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62.215804554823265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1.9895196601282805E-13</v>
      </c>
      <c r="BE138" s="13">
        <f>BD138*VLOOKUP('Données projet'!$B$11,Paramètres!$A$1:$I$89,3,0)*VLOOKUP('Données projet'!$B$11,Paramètres!$A$1:$I$89,5,0)</f>
        <v>1.738044375088066E-13</v>
      </c>
      <c r="BF138" s="13">
        <f t="shared" si="145"/>
        <v>2.4483293633950478E-12</v>
      </c>
      <c r="BG138" s="20">
        <f t="shared" si="115"/>
        <v>4.566883036574213E-12</v>
      </c>
      <c r="BH138" s="59">
        <f t="shared" si="116"/>
        <v>284.6997571498917</v>
      </c>
      <c r="BI138" s="59">
        <f ca="1">AVERAGE(OFFSET($BH$3,0,0,'Données projet'!$E$11+1,1))-AVERAGE(OFFSET($H$3,0,0,'Données projet'!$E$11+1,1))</f>
        <v>341.62910675299065</v>
      </c>
      <c r="BJ138" s="59">
        <f t="shared" si="146"/>
        <v>407.15938341104709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28.541173932339333</v>
      </c>
      <c r="BQ138" s="21">
        <f>EXP(-LN(2)/25)*BQ137+(1-EXP(-LN(2)/25))/(LN(2)/25)*Calculateur!BL138*Calculateur!BN138*VLOOKUP('Données projet'!$B$11,Paramètres!$A$1:$I$89,3,0)*0.475*44/12</f>
        <v>7.9026331702183628</v>
      </c>
      <c r="BR138" s="21">
        <f>EXP(-LN(2)/2)*BR137+(1-EXP(-LN(2)/2))/(LN(2)/2)*BL138*BO138*VLOOKUP('Données projet'!$B$11,Paramètres!$A$1:$I$89,3,0)*0.475*44/12</f>
        <v>6.8916178720255986E-11</v>
      </c>
      <c r="BS138" s="22">
        <f t="shared" si="117"/>
        <v>36.443807102626614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284.84953039489017</v>
      </c>
      <c r="S139" s="59">
        <f ca="1">AVERAGE(OFFSET($R$3,0,0,'Données projet'!$E$9+1,1))-AVERAGE(OFFSET($H$3,0,0,'Données projet'!$E$9+1,1))</f>
        <v>507.66185230065889</v>
      </c>
      <c r="T139" s="59">
        <f t="shared" si="142"/>
        <v>640.14375617778342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82.53608023898866</v>
      </c>
      <c r="AA139" s="21">
        <f>EXP(-LN(2)/25)*AA138+(1-EXP(-LN(2)/25))/(LN(2)/25)*Calculateur!V139*Calculateur!X139*VLOOKUP('Données projet'!$B$9,Paramètres!$A$1:$I$89,3,0)*0.475*44/12</f>
        <v>3.1027015167173446</v>
      </c>
      <c r="AB139" s="21">
        <f>EXP(-LN(2)/2)*AB138+(1-EXP(-LN(2)/2))/(LN(2)/2)*V139*Y139*VLOOKUP('Données projet'!$B$9,Paramètres!$A$1:$I$89,3,0)*0.475*44/12</f>
        <v>1.023828205294766E-13</v>
      </c>
      <c r="AC139" s="22">
        <f t="shared" si="111"/>
        <v>85.638781755706106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-1.5961632016114892E-13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332.74717458063787</v>
      </c>
      <c r="AO139" s="59">
        <f t="shared" si="144"/>
        <v>408.69087885751878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57.415004335443776</v>
      </c>
      <c r="AV139" s="21">
        <f>EXP(-LN(2)/25)*AV138+(1-EXP(-LN(2)/25))/(LN(2)/25)*Calculateur!AQ139*Calculateur!AS139*VLOOKUP('Données projet'!$B$10,Paramètres!$A$1:$I$89,3,0)*0.475*44/12</f>
        <v>3.552532446358514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60.967536781802288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1.9895196601282805E-13</v>
      </c>
      <c r="BE139" s="13">
        <f>BD139*VLOOKUP('Données projet'!$B$11,Paramètres!$A$1:$I$89,3,0)*VLOOKUP('Données projet'!$B$11,Paramètres!$A$1:$I$89,5,0)</f>
        <v>1.738044375088066E-13</v>
      </c>
      <c r="BF139" s="13">
        <f t="shared" si="145"/>
        <v>2.4483293633950478E-12</v>
      </c>
      <c r="BG139" s="20">
        <f t="shared" si="115"/>
        <v>4.566883036574213E-12</v>
      </c>
      <c r="BH139" s="59">
        <f t="shared" si="116"/>
        <v>284.84953039488977</v>
      </c>
      <c r="BI139" s="59">
        <f ca="1">AVERAGE(OFFSET($BH$3,0,0,'Données projet'!$E$11+1,1))-AVERAGE(OFFSET($H$3,0,0,'Données projet'!$E$11+1,1))</f>
        <v>341.62910675299065</v>
      </c>
      <c r="BJ139" s="59">
        <f t="shared" si="146"/>
        <v>407.15938341104709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27.981498919923322</v>
      </c>
      <c r="BQ139" s="21">
        <f>EXP(-LN(2)/25)*BQ138+(1-EXP(-LN(2)/25))/(LN(2)/25)*Calculateur!BL139*Calculateur!BN139*VLOOKUP('Données projet'!$B$11,Paramètres!$A$1:$I$89,3,0)*0.475*44/12</f>
        <v>7.6865352505973252</v>
      </c>
      <c r="BR139" s="21">
        <f>EXP(-LN(2)/2)*BR138+(1-EXP(-LN(2)/2))/(LN(2)/2)*BL139*BO139*VLOOKUP('Données projet'!$B$11,Paramètres!$A$1:$I$89,3,0)*0.475*44/12</f>
        <v>4.8731097306557054E-11</v>
      </c>
      <c r="BS139" s="22">
        <f t="shared" si="117"/>
        <v>35.668034170569378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284.99670540893032</v>
      </c>
      <c r="S140" s="59">
        <f ca="1">AVERAGE(OFFSET($R$3,0,0,'Données projet'!$E$9+1,1))-AVERAGE(OFFSET($H$3,0,0,'Données projet'!$E$9+1,1))</f>
        <v>507.66185230065889</v>
      </c>
      <c r="T140" s="59">
        <f t="shared" si="142"/>
        <v>640.14375617778342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80.917598047540181</v>
      </c>
      <c r="AA140" s="21">
        <f>EXP(-LN(2)/25)*AA139+(1-EXP(-LN(2)/25))/(LN(2)/25)*Calculateur!V140*Calculateur!X140*VLOOKUP('Données projet'!$B$9,Paramètres!$A$1:$I$89,3,0)*0.475*44/12</f>
        <v>3.0178579805787273</v>
      </c>
      <c r="AB140" s="21">
        <f>EXP(-LN(2)/2)*AB139+(1-EXP(-LN(2)/2))/(LN(2)/2)*V140*Y140*VLOOKUP('Données projet'!$B$9,Paramètres!$A$1:$I$89,3,0)*0.475*44/12</f>
        <v>7.2395586673398173E-14</v>
      </c>
      <c r="AC140" s="22">
        <f t="shared" si="111"/>
        <v>83.935456028118978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-1.5961632016114892E-13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332.74717458063787</v>
      </c>
      <c r="AO140" s="59">
        <f t="shared" si="144"/>
        <v>408.69087885751878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56.289131120120459</v>
      </c>
      <c r="AV140" s="21">
        <f>EXP(-LN(2)/25)*AV139+(1-EXP(-LN(2)/25))/(LN(2)/25)*Calculateur!AQ140*Calculateur!AS140*VLOOKUP('Données projet'!$B$10,Paramètres!$A$1:$I$89,3,0)*0.475*44/12</f>
        <v>3.4553882597932786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59.74451937991374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1.9895196601282805E-13</v>
      </c>
      <c r="BE140" s="13">
        <f>BD140*VLOOKUP('Données projet'!$B$11,Paramètres!$A$1:$I$89,3,0)*VLOOKUP('Données projet'!$B$11,Paramètres!$A$1:$I$89,5,0)</f>
        <v>1.738044375088066E-13</v>
      </c>
      <c r="BF140" s="13">
        <f t="shared" si="145"/>
        <v>2.4483293633950478E-12</v>
      </c>
      <c r="BG140" s="20">
        <f t="shared" si="115"/>
        <v>4.566883036574213E-12</v>
      </c>
      <c r="BH140" s="59">
        <f t="shared" si="116"/>
        <v>284.99670540892993</v>
      </c>
      <c r="BI140" s="59">
        <f ca="1">AVERAGE(OFFSET($BH$3,0,0,'Données projet'!$E$11+1,1))-AVERAGE(OFFSET($H$3,0,0,'Données projet'!$E$11+1,1))</f>
        <v>341.62910675299065</v>
      </c>
      <c r="BJ140" s="59">
        <f t="shared" si="146"/>
        <v>407.15938341104709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27.432798793132736</v>
      </c>
      <c r="BQ140" s="21">
        <f>EXP(-LN(2)/25)*BQ139+(1-EXP(-LN(2)/25))/(LN(2)/25)*Calculateur!BL140*Calculateur!BN140*VLOOKUP('Données projet'!$B$11,Paramètres!$A$1:$I$89,3,0)*0.475*44/12</f>
        <v>7.47634653995242</v>
      </c>
      <c r="BR140" s="21">
        <f>EXP(-LN(2)/2)*BR139+(1-EXP(-LN(2)/2))/(LN(2)/2)*BL140*BO140*VLOOKUP('Données projet'!$B$11,Paramètres!$A$1:$I$89,3,0)*0.475*44/12</f>
        <v>3.4458089360127993E-11</v>
      </c>
      <c r="BS140" s="22">
        <f t="shared" si="117"/>
        <v>34.909145333119618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285.14132726551088</v>
      </c>
      <c r="S141" s="59">
        <f ca="1">AVERAGE(OFFSET($R$3,0,0,'Données projet'!$E$9+1,1))-AVERAGE(OFFSET($H$3,0,0,'Données projet'!$E$9+1,1))</f>
        <v>507.66185230065889</v>
      </c>
      <c r="T141" s="59">
        <f t="shared" si="142"/>
        <v>640.14375617778342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79.330853304689342</v>
      </c>
      <c r="AA141" s="21">
        <f>EXP(-LN(2)/25)*AA140+(1-EXP(-LN(2)/25))/(LN(2)/25)*Calculateur!V141*Calculateur!X141*VLOOKUP('Données projet'!$B$9,Paramètres!$A$1:$I$89,3,0)*0.475*44/12</f>
        <v>2.9353344953975484</v>
      </c>
      <c r="AB141" s="21">
        <f>EXP(-LN(2)/2)*AB140+(1-EXP(-LN(2)/2))/(LN(2)/2)*V141*Y141*VLOOKUP('Données projet'!$B$9,Paramètres!$A$1:$I$89,3,0)*0.475*44/12</f>
        <v>5.1191410264738299E-14</v>
      </c>
      <c r="AC141" s="22">
        <f t="shared" si="111"/>
        <v>82.266187800086954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-1.5961632016114892E-13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332.74717458063787</v>
      </c>
      <c r="AO141" s="59">
        <f t="shared" si="144"/>
        <v>408.69087885751878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55.185335591834779</v>
      </c>
      <c r="AV141" s="21">
        <f>EXP(-LN(2)/25)*AV140+(1-EXP(-LN(2)/25))/(LN(2)/25)*Calculateur!AQ141*Calculateur!AS141*VLOOKUP('Données projet'!$B$10,Paramètres!$A$1:$I$89,3,0)*0.475*44/12</f>
        <v>3.3609004861182603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58.54623607795304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1.9895196601282805E-13</v>
      </c>
      <c r="BE141" s="13">
        <f>BD141*VLOOKUP('Données projet'!$B$11,Paramètres!$A$1:$I$89,3,0)*VLOOKUP('Données projet'!$B$11,Paramètres!$A$1:$I$89,5,0)</f>
        <v>1.738044375088066E-13</v>
      </c>
      <c r="BF141" s="13">
        <f t="shared" si="145"/>
        <v>2.4483293633950478E-12</v>
      </c>
      <c r="BG141" s="20">
        <f t="shared" si="115"/>
        <v>4.566883036574213E-12</v>
      </c>
      <c r="BH141" s="59">
        <f t="shared" si="116"/>
        <v>285.14132726551048</v>
      </c>
      <c r="BI141" s="59">
        <f ca="1">AVERAGE(OFFSET($BH$3,0,0,'Données projet'!$E$11+1,1))-AVERAGE(OFFSET($H$3,0,0,'Données projet'!$E$11+1,1))</f>
        <v>341.62910675299065</v>
      </c>
      <c r="BJ141" s="59">
        <f t="shared" si="146"/>
        <v>407.15938341104709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26.894858341154485</v>
      </c>
      <c r="BQ141" s="21">
        <f>EXP(-LN(2)/25)*BQ140+(1-EXP(-LN(2)/25))/(LN(2)/25)*Calculateur!BL141*Calculateur!BN141*VLOOKUP('Données projet'!$B$11,Paramètres!$A$1:$I$89,3,0)*0.475*44/12</f>
        <v>7.2719054506534437</v>
      </c>
      <c r="BR141" s="21">
        <f>EXP(-LN(2)/2)*BR140+(1-EXP(-LN(2)/2))/(LN(2)/2)*BL141*BO141*VLOOKUP('Données projet'!$B$11,Paramètres!$A$1:$I$89,3,0)*0.475*44/12</f>
        <v>2.4365548653278527E-11</v>
      </c>
      <c r="BS141" s="22">
        <f t="shared" si="117"/>
        <v>34.166763791832295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285.28344025620584</v>
      </c>
      <c r="S142" s="59">
        <f ca="1">AVERAGE(OFFSET($R$3,0,0,'Données projet'!$E$9+1,1))-AVERAGE(OFFSET($H$3,0,0,'Données projet'!$E$9+1,1))</f>
        <v>507.66185230065889</v>
      </c>
      <c r="T142" s="59">
        <f t="shared" si="142"/>
        <v>640.14375617778342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77.77522365842708</v>
      </c>
      <c r="AA142" s="21">
        <f>EXP(-LN(2)/25)*AA141+(1-EXP(-LN(2)/25))/(LN(2)/25)*Calculateur!V142*Calculateur!X142*VLOOKUP('Données projet'!$B$9,Paramètres!$A$1:$I$89,3,0)*0.475*44/12</f>
        <v>2.8550676192583699</v>
      </c>
      <c r="AB142" s="21">
        <f>EXP(-LN(2)/2)*AB141+(1-EXP(-LN(2)/2))/(LN(2)/2)*V142*Y142*VLOOKUP('Données projet'!$B$9,Paramètres!$A$1:$I$89,3,0)*0.475*44/12</f>
        <v>3.6197793336699087E-14</v>
      </c>
      <c r="AC142" s="22">
        <f t="shared" si="111"/>
        <v>80.630291277685487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-1.5961632016114892E-13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332.74717458063787</v>
      </c>
      <c r="AO142" s="59">
        <f t="shared" si="144"/>
        <v>408.69087885751878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54.103184820609989</v>
      </c>
      <c r="AV142" s="21">
        <f>EXP(-LN(2)/25)*AV141+(1-EXP(-LN(2)/25))/(LN(2)/25)*Calculateur!AQ142*Calculateur!AS142*VLOOKUP('Données projet'!$B$10,Paramètres!$A$1:$I$89,3,0)*0.475*44/12</f>
        <v>3.2689964855832812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57.372181306193269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1.9895196601282805E-13</v>
      </c>
      <c r="BE142" s="13">
        <f>BD142*VLOOKUP('Données projet'!$B$11,Paramètres!$A$1:$I$89,3,0)*VLOOKUP('Données projet'!$B$11,Paramètres!$A$1:$I$89,5,0)</f>
        <v>1.738044375088066E-13</v>
      </c>
      <c r="BF142" s="13">
        <f t="shared" si="145"/>
        <v>2.4483293633950478E-12</v>
      </c>
      <c r="BG142" s="20">
        <f t="shared" si="115"/>
        <v>4.566883036574213E-12</v>
      </c>
      <c r="BH142" s="59">
        <f t="shared" si="116"/>
        <v>285.28344025620544</v>
      </c>
      <c r="BI142" s="59">
        <f ca="1">AVERAGE(OFFSET($BH$3,0,0,'Données projet'!$E$11+1,1))-AVERAGE(OFFSET($H$3,0,0,'Données projet'!$E$11+1,1))</f>
        <v>341.62910675299065</v>
      </c>
      <c r="BJ142" s="59">
        <f t="shared" si="146"/>
        <v>407.15938341104709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26.367466573328251</v>
      </c>
      <c r="BQ142" s="21">
        <f>EXP(-LN(2)/25)*BQ141+(1-EXP(-LN(2)/25))/(LN(2)/25)*Calculateur!BL142*Calculateur!BN142*VLOOKUP('Données projet'!$B$11,Paramètres!$A$1:$I$89,3,0)*0.475*44/12</f>
        <v>7.0730548136924378</v>
      </c>
      <c r="BR142" s="21">
        <f>EXP(-LN(2)/2)*BR141+(1-EXP(-LN(2)/2))/(LN(2)/2)*BL142*BO142*VLOOKUP('Données projet'!$B$11,Paramètres!$A$1:$I$89,3,0)*0.475*44/12</f>
        <v>1.7229044680063997E-11</v>
      </c>
      <c r="BS142" s="22">
        <f t="shared" si="117"/>
        <v>33.440521387037919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285.42308790422931</v>
      </c>
      <c r="S143" s="59">
        <f ca="1">AVERAGE(OFFSET($R$3,0,0,'Données projet'!$E$9+1,1))-AVERAGE(OFFSET($H$3,0,0,'Données projet'!$E$9+1,1))</f>
        <v>507.66185230065889</v>
      </c>
      <c r="T143" s="59">
        <f t="shared" si="142"/>
        <v>640.14375617778342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76.250098960687623</v>
      </c>
      <c r="AA143" s="21">
        <f>EXP(-LN(2)/25)*AA142+(1-EXP(-LN(2)/25))/(LN(2)/25)*Calculateur!V143*Calculateur!X143*VLOOKUP('Données projet'!$B$9,Paramètres!$A$1:$I$89,3,0)*0.475*44/12</f>
        <v>2.7769956450682689</v>
      </c>
      <c r="AB143" s="21">
        <f>EXP(-LN(2)/2)*AB142+(1-EXP(-LN(2)/2))/(LN(2)/2)*V143*Y143*VLOOKUP('Données projet'!$B$9,Paramètres!$A$1:$I$89,3,0)*0.475*44/12</f>
        <v>2.5595705132369149E-14</v>
      </c>
      <c r="AC143" s="22">
        <f t="shared" si="111"/>
        <v>79.02709460575592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-1.5961632016114892E-13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332.74717458063787</v>
      </c>
      <c r="AO143" s="59">
        <f t="shared" si="144"/>
        <v>408.69087885751878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53.042254365962123</v>
      </c>
      <c r="AV143" s="21">
        <f>EXP(-LN(2)/25)*AV142+(1-EXP(-LN(2)/25))/(LN(2)/25)*Calculateur!AQ143*Calculateur!AS143*VLOOKUP('Données projet'!$B$10,Paramètres!$A$1:$I$89,3,0)*0.475*44/12</f>
        <v>3.1796056047759524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56.221859970738073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1.9895196601282805E-13</v>
      </c>
      <c r="BE143" s="13">
        <f>BD143*VLOOKUP('Données projet'!$B$11,Paramètres!$A$1:$I$89,3,0)*VLOOKUP('Données projet'!$B$11,Paramètres!$A$1:$I$89,5,0)</f>
        <v>1.738044375088066E-13</v>
      </c>
      <c r="BF143" s="13">
        <f t="shared" si="145"/>
        <v>2.4483293633950478E-12</v>
      </c>
      <c r="BG143" s="20">
        <f t="shared" si="115"/>
        <v>4.566883036574213E-12</v>
      </c>
      <c r="BH143" s="59">
        <f t="shared" si="116"/>
        <v>285.42308790422891</v>
      </c>
      <c r="BI143" s="59">
        <f ca="1">AVERAGE(OFFSET($BH$3,0,0,'Données projet'!$E$11+1,1))-AVERAGE(OFFSET($H$3,0,0,'Données projet'!$E$11+1,1))</f>
        <v>341.62910675299065</v>
      </c>
      <c r="BJ143" s="59">
        <f t="shared" si="146"/>
        <v>407.15938341104709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25.850416636391873</v>
      </c>
      <c r="BQ143" s="21">
        <f>EXP(-LN(2)/25)*BQ142+(1-EXP(-LN(2)/25))/(LN(2)/25)*Calculateur!BL143*Calculateur!BN143*VLOOKUP('Données projet'!$B$11,Paramètres!$A$1:$I$89,3,0)*0.475*44/12</f>
        <v>6.8796417578562314</v>
      </c>
      <c r="BR143" s="21">
        <f>EXP(-LN(2)/2)*BR142+(1-EXP(-LN(2)/2))/(LN(2)/2)*BL143*BO143*VLOOKUP('Données projet'!$B$11,Paramètres!$A$1:$I$89,3,0)*0.475*44/12</f>
        <v>1.2182774326639263E-11</v>
      </c>
      <c r="BS143" s="22">
        <f t="shared" si="117"/>
        <v>32.73005839426029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285.56031297776497</v>
      </c>
      <c r="S144" s="59">
        <f ca="1">AVERAGE(OFFSET($R$3,0,0,'Données projet'!$E$9+1,1))-AVERAGE(OFFSET($H$3,0,0,'Données projet'!$E$9+1,1))</f>
        <v>507.66185230065889</v>
      </c>
      <c r="T144" s="59">
        <f t="shared" si="142"/>
        <v>640.14375617778342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74.754881028036621</v>
      </c>
      <c r="AA144" s="21">
        <f>EXP(-LN(2)/25)*AA143+(1-EXP(-LN(2)/25))/(LN(2)/25)*Calculateur!V144*Calculateur!X144*VLOOKUP('Données projet'!$B$9,Paramètres!$A$1:$I$89,3,0)*0.475*44/12</f>
        <v>2.7010585531180231</v>
      </c>
      <c r="AB144" s="21">
        <f>EXP(-LN(2)/2)*AB143+(1-EXP(-LN(2)/2))/(LN(2)/2)*V144*Y144*VLOOKUP('Données projet'!$B$9,Paramètres!$A$1:$I$89,3,0)*0.475*44/12</f>
        <v>1.8098896668349543E-14</v>
      </c>
      <c r="AC144" s="22">
        <f t="shared" si="111"/>
        <v>77.455939581154652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-1.5961632016114892E-13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332.74717458063787</v>
      </c>
      <c r="AO144" s="59">
        <f t="shared" si="144"/>
        <v>408.69087885751878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52.00212811042622</v>
      </c>
      <c r="AV144" s="21">
        <f>EXP(-LN(2)/25)*AV143+(1-EXP(-LN(2)/25))/(LN(2)/25)*Calculateur!AQ144*Calculateur!AS144*VLOOKUP('Données projet'!$B$10,Paramètres!$A$1:$I$89,3,0)*0.475*44/12</f>
        <v>3.0926591223051623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55.094787232731385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1.9895196601282805E-13</v>
      </c>
      <c r="BE144" s="13">
        <f>BD144*VLOOKUP('Données projet'!$B$11,Paramètres!$A$1:$I$89,3,0)*VLOOKUP('Données projet'!$B$11,Paramètres!$A$1:$I$89,5,0)</f>
        <v>1.738044375088066E-13</v>
      </c>
      <c r="BF144" s="13">
        <f t="shared" si="145"/>
        <v>2.4483293633950478E-12</v>
      </c>
      <c r="BG144" s="20">
        <f t="shared" si="115"/>
        <v>4.566883036574213E-12</v>
      </c>
      <c r="BH144" s="59">
        <f t="shared" si="116"/>
        <v>285.56031297776457</v>
      </c>
      <c r="BI144" s="59">
        <f ca="1">AVERAGE(OFFSET($BH$3,0,0,'Données projet'!$E$11+1,1))-AVERAGE(OFFSET($H$3,0,0,'Données projet'!$E$11+1,1))</f>
        <v>341.62910675299065</v>
      </c>
      <c r="BJ144" s="59">
        <f t="shared" si="146"/>
        <v>407.15938341104709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25.343505733349495</v>
      </c>
      <c r="BQ144" s="21">
        <f>EXP(-LN(2)/25)*BQ143+(1-EXP(-LN(2)/25))/(LN(2)/25)*Calculateur!BL144*Calculateur!BN144*VLOOKUP('Données projet'!$B$11,Paramètres!$A$1:$I$89,3,0)*0.475*44/12</f>
        <v>6.6915175922030166</v>
      </c>
      <c r="BR144" s="21">
        <f>EXP(-LN(2)/2)*BR143+(1-EXP(-LN(2)/2))/(LN(2)/2)*BL144*BO144*VLOOKUP('Données projet'!$B$11,Paramètres!$A$1:$I$89,3,0)*0.475*44/12</f>
        <v>8.6145223400319983E-12</v>
      </c>
      <c r="BS144" s="22">
        <f t="shared" si="117"/>
        <v>32.035023325561127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285.69515750306402</v>
      </c>
      <c r="S145" s="59">
        <f ca="1">AVERAGE(OFFSET($R$3,0,0,'Données projet'!$E$9+1,1))-AVERAGE(OFFSET($H$3,0,0,'Données projet'!$E$9+1,1))</f>
        <v>507.66185230065889</v>
      </c>
      <c r="T145" s="59">
        <f t="shared" si="142"/>
        <v>640.14375617778342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73.288983407052015</v>
      </c>
      <c r="AA145" s="21">
        <f>EXP(-LN(2)/25)*AA144+(1-EXP(-LN(2)/25))/(LN(2)/25)*Calculateur!V145*Calculateur!X145*VLOOKUP('Données projet'!$B$9,Paramètres!$A$1:$I$89,3,0)*0.475*44/12</f>
        <v>2.6271979649405148</v>
      </c>
      <c r="AB145" s="21">
        <f>EXP(-LN(2)/2)*AB144+(1-EXP(-LN(2)/2))/(LN(2)/2)*V145*Y145*VLOOKUP('Données projet'!$B$9,Paramètres!$A$1:$I$89,3,0)*0.475*44/12</f>
        <v>1.2797852566184575E-14</v>
      </c>
      <c r="AC145" s="22">
        <f t="shared" si="111"/>
        <v>75.91618137199255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-1.5961632016114892E-13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332.74717458063787</v>
      </c>
      <c r="AO145" s="59">
        <f t="shared" si="144"/>
        <v>408.69087885751878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50.982398096346998</v>
      </c>
      <c r="AV145" s="21">
        <f>EXP(-LN(2)/25)*AV144+(1-EXP(-LN(2)/25))/(LN(2)/25)*Calculateur!AQ145*Calculateur!AS145*VLOOKUP('Données projet'!$B$10,Paramètres!$A$1:$I$89,3,0)*0.475*44/12</f>
        <v>3.0080901959698529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53.990488292316854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1.9895196601282805E-13</v>
      </c>
      <c r="BE145" s="13">
        <f>BD145*VLOOKUP('Données projet'!$B$11,Paramètres!$A$1:$I$89,3,0)*VLOOKUP('Données projet'!$B$11,Paramètres!$A$1:$I$89,5,0)</f>
        <v>1.738044375088066E-13</v>
      </c>
      <c r="BF145" s="13">
        <f t="shared" si="145"/>
        <v>2.4483293633950478E-12</v>
      </c>
      <c r="BG145" s="20">
        <f t="shared" si="115"/>
        <v>4.566883036574213E-12</v>
      </c>
      <c r="BH145" s="59">
        <f t="shared" si="116"/>
        <v>285.69515750306363</v>
      </c>
      <c r="BI145" s="59">
        <f ca="1">AVERAGE(OFFSET($BH$3,0,0,'Données projet'!$E$11+1,1))-AVERAGE(OFFSET($H$3,0,0,'Données projet'!$E$11+1,1))</f>
        <v>341.62910675299065</v>
      </c>
      <c r="BJ145" s="59">
        <f t="shared" si="146"/>
        <v>407.15938341104709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24.846535043930658</v>
      </c>
      <c r="BQ145" s="21">
        <f>EXP(-LN(2)/25)*BQ144+(1-EXP(-LN(2)/25))/(LN(2)/25)*Calculateur!BL145*Calculateur!BN145*VLOOKUP('Données projet'!$B$11,Paramètres!$A$1:$I$89,3,0)*0.475*44/12</f>
        <v>6.5085376917526085</v>
      </c>
      <c r="BR145" s="21">
        <f>EXP(-LN(2)/2)*BR144+(1-EXP(-LN(2)/2))/(LN(2)/2)*BL145*BO145*VLOOKUP('Données projet'!$B$11,Paramètres!$A$1:$I$89,3,0)*0.475*44/12</f>
        <v>6.0913871633196317E-12</v>
      </c>
      <c r="BS145" s="22">
        <f t="shared" si="117"/>
        <v>31.355072735689358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285.82766277731639</v>
      </c>
      <c r="S146" s="59">
        <f ca="1">AVERAGE(OFFSET($R$3,0,0,'Données projet'!$E$9+1,1))-AVERAGE(OFFSET($H$3,0,0,'Données projet'!$E$9+1,1))</f>
        <v>507.66185230065889</v>
      </c>
      <c r="T146" s="59">
        <f t="shared" si="142"/>
        <v>640.14375617778342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71.851831144305663</v>
      </c>
      <c r="AA146" s="21">
        <f>EXP(-LN(2)/25)*AA145+(1-EXP(-LN(2)/25))/(LN(2)/25)*Calculateur!V146*Calculateur!X146*VLOOKUP('Données projet'!$B$9,Paramètres!$A$1:$I$89,3,0)*0.475*44/12</f>
        <v>2.5553570984308802</v>
      </c>
      <c r="AB146" s="21">
        <f>EXP(-LN(2)/2)*AB145+(1-EXP(-LN(2)/2))/(LN(2)/2)*V146*Y146*VLOOKUP('Données projet'!$B$9,Paramètres!$A$1:$I$89,3,0)*0.475*44/12</f>
        <v>9.0494483341747717E-15</v>
      </c>
      <c r="AC146" s="22">
        <f t="shared" si="111"/>
        <v>74.407188242736552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-1.5961632016114892E-13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332.74717458063787</v>
      </c>
      <c r="AO146" s="59">
        <f t="shared" si="144"/>
        <v>408.69087885751878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49.982664365869979</v>
      </c>
      <c r="AV146" s="21">
        <f>EXP(-LN(2)/25)*AV145+(1-EXP(-LN(2)/25))/(LN(2)/25)*Calculateur!AQ146*Calculateur!AS146*VLOOKUP('Données projet'!$B$10,Paramètres!$A$1:$I$89,3,0)*0.475*44/12</f>
        <v>2.9258338113724691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52.90849817724245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1.9895196601282805E-13</v>
      </c>
      <c r="BE146" s="13">
        <f>BD146*VLOOKUP('Données projet'!$B$11,Paramètres!$A$1:$I$89,3,0)*VLOOKUP('Données projet'!$B$11,Paramètres!$A$1:$I$89,5,0)</f>
        <v>1.738044375088066E-13</v>
      </c>
      <c r="BF146" s="13">
        <f t="shared" si="145"/>
        <v>2.4483293633950478E-12</v>
      </c>
      <c r="BG146" s="20">
        <f t="shared" si="115"/>
        <v>4.566883036574213E-12</v>
      </c>
      <c r="BH146" s="59">
        <f t="shared" si="116"/>
        <v>285.82766277731599</v>
      </c>
      <c r="BI146" s="59">
        <f ca="1">AVERAGE(OFFSET($BH$3,0,0,'Données projet'!$E$11+1,1))-AVERAGE(OFFSET($H$3,0,0,'Données projet'!$E$11+1,1))</f>
        <v>341.62910675299065</v>
      </c>
      <c r="BJ146" s="59">
        <f t="shared" si="146"/>
        <v>407.15938341104709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24.359309646609134</v>
      </c>
      <c r="BQ146" s="21">
        <f>EXP(-LN(2)/25)*BQ145+(1-EXP(-LN(2)/25))/(LN(2)/25)*Calculateur!BL146*Calculateur!BN146*VLOOKUP('Données projet'!$B$11,Paramètres!$A$1:$I$89,3,0)*0.475*44/12</f>
        <v>6.3305613863025121</v>
      </c>
      <c r="BR146" s="21">
        <f>EXP(-LN(2)/2)*BR145+(1-EXP(-LN(2)/2))/(LN(2)/2)*BL146*BO146*VLOOKUP('Données projet'!$B$11,Paramètres!$A$1:$I$89,3,0)*0.475*44/12</f>
        <v>4.3072611700159992E-12</v>
      </c>
      <c r="BS146" s="22">
        <f t="shared" si="117"/>
        <v>30.689871032915953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285.95786938129783</v>
      </c>
      <c r="S147" s="59">
        <f ca="1">AVERAGE(OFFSET($R$3,0,0,'Données projet'!$E$9+1,1))-AVERAGE(OFFSET($H$3,0,0,'Données projet'!$E$9+1,1))</f>
        <v>507.66185230065889</v>
      </c>
      <c r="T147" s="59">
        <f t="shared" si="142"/>
        <v>640.14375617778342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70.442860560855436</v>
      </c>
      <c r="AA147" s="21">
        <f>EXP(-LN(2)/25)*AA146+(1-EXP(-LN(2)/25))/(LN(2)/25)*Calculateur!V147*Calculateur!X147*VLOOKUP('Données projet'!$B$9,Paramètres!$A$1:$I$89,3,0)*0.475*44/12</f>
        <v>2.4854807241938985</v>
      </c>
      <c r="AB147" s="21">
        <f>EXP(-LN(2)/2)*AB146+(1-EXP(-LN(2)/2))/(LN(2)/2)*V147*Y147*VLOOKUP('Données projet'!$B$9,Paramètres!$A$1:$I$89,3,0)*0.475*44/12</f>
        <v>6.3989262830922873E-15</v>
      </c>
      <c r="AC147" s="22">
        <f t="shared" si="111"/>
        <v>72.928341285049328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-1.5961632016114892E-13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332.74717458063787</v>
      </c>
      <c r="AO147" s="59">
        <f t="shared" si="144"/>
        <v>408.69087885751878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49.002534804070251</v>
      </c>
      <c r="AV147" s="21">
        <f>EXP(-LN(2)/25)*AV146+(1-EXP(-LN(2)/25))/(LN(2)/25)*Calculateur!AQ147*Calculateur!AS147*VLOOKUP('Données projet'!$B$10,Paramètres!$A$1:$I$89,3,0)*0.475*44/12</f>
        <v>2.8458267319375761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51.848361536007829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1.9895196601282805E-13</v>
      </c>
      <c r="BE147" s="13">
        <f>BD147*VLOOKUP('Données projet'!$B$11,Paramètres!$A$1:$I$89,3,0)*VLOOKUP('Données projet'!$B$11,Paramètres!$A$1:$I$89,5,0)</f>
        <v>1.738044375088066E-13</v>
      </c>
      <c r="BF147" s="13">
        <f t="shared" si="145"/>
        <v>2.4483293633950478E-12</v>
      </c>
      <c r="BG147" s="20">
        <f t="shared" si="115"/>
        <v>4.566883036574213E-12</v>
      </c>
      <c r="BH147" s="59">
        <f t="shared" si="116"/>
        <v>285.95786938129743</v>
      </c>
      <c r="BI147" s="59">
        <f ca="1">AVERAGE(OFFSET($BH$3,0,0,'Données projet'!$E$11+1,1))-AVERAGE(OFFSET($H$3,0,0,'Données projet'!$E$11+1,1))</f>
        <v>341.62910675299065</v>
      </c>
      <c r="BJ147" s="59">
        <f t="shared" si="146"/>
        <v>407.15938341104709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23.881638442150937</v>
      </c>
      <c r="BQ147" s="21">
        <f>EXP(-LN(2)/25)*BQ146+(1-EXP(-LN(2)/25))/(LN(2)/25)*Calculateur!BL147*Calculateur!BN147*VLOOKUP('Données projet'!$B$11,Paramètres!$A$1:$I$89,3,0)*0.475*44/12</f>
        <v>6.1574518522843151</v>
      </c>
      <c r="BR147" s="21">
        <f>EXP(-LN(2)/2)*BR146+(1-EXP(-LN(2)/2))/(LN(2)/2)*BL147*BO147*VLOOKUP('Données projet'!$B$11,Paramètres!$A$1:$I$89,3,0)*0.475*44/12</f>
        <v>3.0456935816598159E-12</v>
      </c>
      <c r="BS147" s="22">
        <f t="shared" si="117"/>
        <v>30.039090294438296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286.08581719179853</v>
      </c>
      <c r="S148" s="59">
        <f ca="1">AVERAGE(OFFSET($R$3,0,0,'Données projet'!$E$9+1,1))-AVERAGE(OFFSET($H$3,0,0,'Données projet'!$E$9+1,1))</f>
        <v>507.66185230065889</v>
      </c>
      <c r="T148" s="59">
        <f t="shared" si="142"/>
        <v>640.14375617778342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69.061519031159477</v>
      </c>
      <c r="AA148" s="21">
        <f>EXP(-LN(2)/25)*AA147+(1-EXP(-LN(2)/25))/(LN(2)/25)*Calculateur!V148*Calculateur!X148*VLOOKUP('Données projet'!$B$9,Paramètres!$A$1:$I$89,3,0)*0.475*44/12</f>
        <v>2.4175151230850656</v>
      </c>
      <c r="AB148" s="21">
        <f>EXP(-LN(2)/2)*AB147+(1-EXP(-LN(2)/2))/(LN(2)/2)*V148*Y148*VLOOKUP('Données projet'!$B$9,Paramètres!$A$1:$I$89,3,0)*0.475*44/12</f>
        <v>4.5247241670873858E-15</v>
      </c>
      <c r="AC148" s="22">
        <f t="shared" si="111"/>
        <v>71.479034154244545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-1.5961632016114892E-13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332.74717458063787</v>
      </c>
      <c r="AO148" s="59">
        <f t="shared" si="144"/>
        <v>408.69087885751878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48.041624985157412</v>
      </c>
      <c r="AV148" s="21">
        <f>EXP(-LN(2)/25)*AV147+(1-EXP(-LN(2)/25))/(LN(2)/25)*Calculateur!AQ148*Calculateur!AS148*VLOOKUP('Données projet'!$B$10,Paramètres!$A$1:$I$89,3,0)*0.475*44/12</f>
        <v>2.7680074502972194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50.809632435454631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1.9895196601282805E-13</v>
      </c>
      <c r="BE148" s="13">
        <f>BD148*VLOOKUP('Données projet'!$B$11,Paramètres!$A$1:$I$89,3,0)*VLOOKUP('Données projet'!$B$11,Paramètres!$A$1:$I$89,5,0)</f>
        <v>1.738044375088066E-13</v>
      </c>
      <c r="BF148" s="13">
        <f t="shared" si="145"/>
        <v>2.4483293633950478E-12</v>
      </c>
      <c r="BG148" s="20">
        <f t="shared" si="115"/>
        <v>4.566883036574213E-12</v>
      </c>
      <c r="BH148" s="59">
        <f t="shared" si="116"/>
        <v>286.08581719179813</v>
      </c>
      <c r="BI148" s="59">
        <f ca="1">AVERAGE(OFFSET($BH$3,0,0,'Données projet'!$E$11+1,1))-AVERAGE(OFFSET($H$3,0,0,'Données projet'!$E$11+1,1))</f>
        <v>341.62910675299065</v>
      </c>
      <c r="BJ148" s="59">
        <f t="shared" si="146"/>
        <v>407.15938341104709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23.413334078661499</v>
      </c>
      <c r="BQ148" s="21">
        <f>EXP(-LN(2)/25)*BQ147+(1-EXP(-LN(2)/25))/(LN(2)/25)*Calculateur!BL148*Calculateur!BN148*VLOOKUP('Données projet'!$B$11,Paramètres!$A$1:$I$89,3,0)*0.475*44/12</f>
        <v>5.9890760075772809</v>
      </c>
      <c r="BR148" s="21">
        <f>EXP(-LN(2)/2)*BR147+(1-EXP(-LN(2)/2))/(LN(2)/2)*BL148*BO148*VLOOKUP('Données projet'!$B$11,Paramètres!$A$1:$I$89,3,0)*0.475*44/12</f>
        <v>2.1536305850079996E-12</v>
      </c>
      <c r="BS148" s="22">
        <f t="shared" si="117"/>
        <v>29.402410086240934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286.21154539383559</v>
      </c>
      <c r="S149" s="59">
        <f ca="1">AVERAGE(OFFSET($R$3,0,0,'Données projet'!$E$9+1,1))-AVERAGE(OFFSET($H$3,0,0,'Données projet'!$E$9+1,1))</f>
        <v>507.66185230065889</v>
      </c>
      <c r="T149" s="59">
        <f t="shared" si="142"/>
        <v>640.14375617778342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67.707264766325707</v>
      </c>
      <c r="AA149" s="21">
        <f>EXP(-LN(2)/25)*AA148+(1-EXP(-LN(2)/25))/(LN(2)/25)*Calculateur!V149*Calculateur!X149*VLOOKUP('Données projet'!$B$9,Paramètres!$A$1:$I$89,3,0)*0.475*44/12</f>
        <v>2.3514080449127093</v>
      </c>
      <c r="AB149" s="21">
        <f>EXP(-LN(2)/2)*AB148+(1-EXP(-LN(2)/2))/(LN(2)/2)*V149*Y149*VLOOKUP('Données projet'!$B$9,Paramètres!$A$1:$I$89,3,0)*0.475*44/12</f>
        <v>3.1994631415461437E-15</v>
      </c>
      <c r="AC149" s="22">
        <f t="shared" si="111"/>
        <v>70.058672811238409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-1.5961632016114892E-13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332.74717458063787</v>
      </c>
      <c r="AO149" s="59">
        <f t="shared" si="144"/>
        <v>408.69087885751878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47.099558021696332</v>
      </c>
      <c r="AV149" s="21">
        <f>EXP(-LN(2)/25)*AV148+(1-EXP(-LN(2)/25))/(LN(2)/25)*Calculateur!AQ149*Calculateur!AS149*VLOOKUP('Données projet'!$B$10,Paramètres!$A$1:$I$89,3,0)*0.475*44/12</f>
        <v>2.6923161410056564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49.791874162701987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1.9895196601282805E-13</v>
      </c>
      <c r="BE149" s="13">
        <f>BD149*VLOOKUP('Données projet'!$B$11,Paramètres!$A$1:$I$89,3,0)*VLOOKUP('Données projet'!$B$11,Paramètres!$A$1:$I$89,5,0)</f>
        <v>1.738044375088066E-13</v>
      </c>
      <c r="BF149" s="13">
        <f t="shared" si="145"/>
        <v>2.4483293633950478E-12</v>
      </c>
      <c r="BG149" s="20">
        <f t="shared" si="115"/>
        <v>4.566883036574213E-12</v>
      </c>
      <c r="BH149" s="59">
        <f t="shared" si="116"/>
        <v>286.21154539383519</v>
      </c>
      <c r="BI149" s="59">
        <f ca="1">AVERAGE(OFFSET($BH$3,0,0,'Données projet'!$E$11+1,1))-AVERAGE(OFFSET($H$3,0,0,'Données projet'!$E$11+1,1))</f>
        <v>341.62910675299065</v>
      </c>
      <c r="BJ149" s="59">
        <f t="shared" si="146"/>
        <v>407.15938341104709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22.954212878102631</v>
      </c>
      <c r="BQ149" s="21">
        <f>EXP(-LN(2)/25)*BQ148+(1-EXP(-LN(2)/25))/(LN(2)/25)*Calculateur!BL149*Calculateur!BN149*VLOOKUP('Données projet'!$B$11,Paramètres!$A$1:$I$89,3,0)*0.475*44/12</f>
        <v>5.8253044091982611</v>
      </c>
      <c r="BR149" s="21">
        <f>EXP(-LN(2)/2)*BR148+(1-EXP(-LN(2)/2))/(LN(2)/2)*BL149*BO149*VLOOKUP('Données projet'!$B$11,Paramètres!$A$1:$I$89,3,0)*0.475*44/12</f>
        <v>1.5228467908299079E-12</v>
      </c>
      <c r="BS149" s="22">
        <f t="shared" si="117"/>
        <v>28.779517287302415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286.33509249265336</v>
      </c>
      <c r="S150" s="59">
        <f ca="1">AVERAGE(OFFSET($R$3,0,0,'Données projet'!$E$9+1,1))-AVERAGE(OFFSET($H$3,0,0,'Données projet'!$E$9+1,1))</f>
        <v>507.66185230065889</v>
      </c>
      <c r="T150" s="59">
        <f t="shared" si="142"/>
        <v>640.14375617778342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66.379566601611799</v>
      </c>
      <c r="AA150" s="21">
        <f>EXP(-LN(2)/25)*AA149+(1-EXP(-LN(2)/25))/(LN(2)/25)*Calculateur!V150*Calculateur!X150*VLOOKUP('Données projet'!$B$9,Paramètres!$A$1:$I$89,3,0)*0.475*44/12</f>
        <v>2.2871086682693962</v>
      </c>
      <c r="AB150" s="21">
        <f>EXP(-LN(2)/2)*AB149+(1-EXP(-LN(2)/2))/(LN(2)/2)*V150*Y150*VLOOKUP('Données projet'!$B$9,Paramètres!$A$1:$I$89,3,0)*0.475*44/12</f>
        <v>2.2623620835436929E-15</v>
      </c>
      <c r="AC150" s="22">
        <f t="shared" si="111"/>
        <v>68.666675269881196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-1.5961632016114892E-13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332.74717458063787</v>
      </c>
      <c r="AO150" s="59">
        <f t="shared" si="144"/>
        <v>408.69087885751878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46.175964416784616</v>
      </c>
      <c r="AV150" s="21">
        <f>EXP(-LN(2)/25)*AV149+(1-EXP(-LN(2)/25))/(LN(2)/25)*Calculateur!AQ150*Calculateur!AS150*VLOOKUP('Données projet'!$B$10,Paramètres!$A$1:$I$89,3,0)*0.475*44/12</f>
        <v>2.6186946145471044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48.794659031331719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1.9895196601282805E-13</v>
      </c>
      <c r="BE150" s="13">
        <f>BD150*VLOOKUP('Données projet'!$B$11,Paramètres!$A$1:$I$89,3,0)*VLOOKUP('Données projet'!$B$11,Paramètres!$A$1:$I$89,5,0)</f>
        <v>1.738044375088066E-13</v>
      </c>
      <c r="BF150" s="13">
        <f t="shared" si="145"/>
        <v>2.4483293633950478E-12</v>
      </c>
      <c r="BG150" s="20">
        <f t="shared" si="115"/>
        <v>4.566883036574213E-12</v>
      </c>
      <c r="BH150" s="59">
        <f t="shared" si="116"/>
        <v>286.33509249265296</v>
      </c>
      <c r="BI150" s="59">
        <f ca="1">AVERAGE(OFFSET($BH$3,0,0,'Données projet'!$E$11+1,1))-AVERAGE(OFFSET($H$3,0,0,'Données projet'!$E$11+1,1))</f>
        <v>341.62910675299065</v>
      </c>
      <c r="BJ150" s="59">
        <f t="shared" si="146"/>
        <v>407.15938341104709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22.504094764250439</v>
      </c>
      <c r="BQ150" s="21">
        <f>EXP(-LN(2)/25)*BQ149+(1-EXP(-LN(2)/25))/(LN(2)/25)*Calculateur!BL150*Calculateur!BN150*VLOOKUP('Données projet'!$B$11,Paramètres!$A$1:$I$89,3,0)*0.475*44/12</f>
        <v>5.6660111537892899</v>
      </c>
      <c r="BR150" s="21">
        <f>EXP(-LN(2)/2)*BR149+(1-EXP(-LN(2)/2))/(LN(2)/2)*BL150*BO150*VLOOKUP('Données projet'!$B$11,Paramètres!$A$1:$I$89,3,0)*0.475*44/12</f>
        <v>1.0768152925039998E-12</v>
      </c>
      <c r="BS150" s="22">
        <f t="shared" si="117"/>
        <v>28.170105918040807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286.45649632551664</v>
      </c>
      <c r="S151" s="59">
        <f ca="1">AVERAGE(OFFSET($R$3,0,0,'Données projet'!$E$9+1,1))-AVERAGE(OFFSET($H$3,0,0,'Données projet'!$E$9+1,1))</f>
        <v>507.66185230065889</v>
      </c>
      <c r="T151" s="59">
        <f t="shared" si="142"/>
        <v>640.14375617778342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65.077903788092001</v>
      </c>
      <c r="AA151" s="21">
        <f>EXP(-LN(2)/25)*AA150+(1-EXP(-LN(2)/25))/(LN(2)/25)*Calculateur!V151*Calculateur!X151*VLOOKUP('Données projet'!$B$9,Paramètres!$A$1:$I$89,3,0)*0.475*44/12</f>
        <v>2.2245675614617517</v>
      </c>
      <c r="AB151" s="21">
        <f>EXP(-LN(2)/2)*AB150+(1-EXP(-LN(2)/2))/(LN(2)/2)*V151*Y151*VLOOKUP('Données projet'!$B$9,Paramètres!$A$1:$I$89,3,0)*0.475*44/12</f>
        <v>1.5997315707730718E-15</v>
      </c>
      <c r="AC151" s="22">
        <f t="shared" si="111"/>
        <v>67.302471349553755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-1.5961632016114892E-13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332.74717458063787</v>
      </c>
      <c r="AO151" s="59">
        <f t="shared" si="144"/>
        <v>408.69087885751878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45.270481919128748</v>
      </c>
      <c r="AV151" s="21">
        <f>EXP(-LN(2)/25)*AV150+(1-EXP(-LN(2)/25))/(LN(2)/25)*Calculateur!AQ151*Calculateur!AS151*VLOOKUP('Données projet'!$B$10,Paramètres!$A$1:$I$89,3,0)*0.475*44/12</f>
        <v>2.5470862726011489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47.817568191729897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1.9895196601282805E-13</v>
      </c>
      <c r="BE151" s="13">
        <f>BD151*VLOOKUP('Données projet'!$B$11,Paramètres!$A$1:$I$89,3,0)*VLOOKUP('Données projet'!$B$11,Paramètres!$A$1:$I$89,5,0)</f>
        <v>1.738044375088066E-13</v>
      </c>
      <c r="BF151" s="13">
        <f t="shared" si="145"/>
        <v>2.4483293633950478E-12</v>
      </c>
      <c r="BG151" s="20">
        <f t="shared" si="115"/>
        <v>4.566883036574213E-12</v>
      </c>
      <c r="BH151" s="59">
        <f t="shared" si="116"/>
        <v>286.45649632551624</v>
      </c>
      <c r="BI151" s="59">
        <f ca="1">AVERAGE(OFFSET($BH$3,0,0,'Données projet'!$E$11+1,1))-AVERAGE(OFFSET($H$3,0,0,'Données projet'!$E$11+1,1))</f>
        <v>341.62910675299065</v>
      </c>
      <c r="BJ151" s="59">
        <f t="shared" si="146"/>
        <v>407.15938341104709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22.06280319206595</v>
      </c>
      <c r="BQ151" s="21">
        <f>EXP(-LN(2)/25)*BQ150+(1-EXP(-LN(2)/25))/(LN(2)/25)*Calculateur!BL151*Calculateur!BN151*VLOOKUP('Données projet'!$B$11,Paramètres!$A$1:$I$89,3,0)*0.475*44/12</f>
        <v>5.5110737808263446</v>
      </c>
      <c r="BR151" s="21">
        <f>EXP(-LN(2)/2)*BR150+(1-EXP(-LN(2)/2))/(LN(2)/2)*BL151*BO151*VLOOKUP('Données projet'!$B$11,Paramètres!$A$1:$I$89,3,0)*0.475*44/12</f>
        <v>7.6142339541495396E-13</v>
      </c>
      <c r="BS151" s="22">
        <f t="shared" si="117"/>
        <v>27.573876972893054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286.57579407329803</v>
      </c>
      <c r="S152" s="59">
        <f ca="1">AVERAGE(OFFSET($R$3,0,0,'Données projet'!$E$9+1,1))-AVERAGE(OFFSET($H$3,0,0,'Données projet'!$E$9+1,1))</f>
        <v>507.66185230065889</v>
      </c>
      <c r="T152" s="59">
        <f t="shared" si="142"/>
        <v>640.14375617778342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63.801765788409412</v>
      </c>
      <c r="AA152" s="21">
        <f>EXP(-LN(2)/25)*AA151+(1-EXP(-LN(2)/25))/(LN(2)/25)*Calculateur!V152*Calculateur!X152*VLOOKUP('Données projet'!$B$9,Paramètres!$A$1:$I$89,3,0)*0.475*44/12</f>
        <v>2.1637366445086563</v>
      </c>
      <c r="AB152" s="21">
        <f>EXP(-LN(2)/2)*AB151+(1-EXP(-LN(2)/2))/(LN(2)/2)*V152*Y152*VLOOKUP('Données projet'!$B$9,Paramètres!$A$1:$I$89,3,0)*0.475*44/12</f>
        <v>1.1311810417718465E-15</v>
      </c>
      <c r="AC152" s="22">
        <f t="shared" si="111"/>
        <v>65.965502432918072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-1.5961632016114892E-13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332.74717458063787</v>
      </c>
      <c r="AO152" s="59">
        <f t="shared" si="144"/>
        <v>408.69087885751878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44.382755380962116</v>
      </c>
      <c r="AV152" s="21">
        <f>EXP(-LN(2)/25)*AV151+(1-EXP(-LN(2)/25))/(LN(2)/25)*Calculateur!AQ152*Calculateur!AS152*VLOOKUP('Données projet'!$B$10,Paramètres!$A$1:$I$89,3,0)*0.475*44/12</f>
        <v>2.4774360645314251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46.860191445493541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1.9895196601282805E-13</v>
      </c>
      <c r="BE152" s="13">
        <f>BD152*VLOOKUP('Données projet'!$B$11,Paramètres!$A$1:$I$89,3,0)*VLOOKUP('Données projet'!$B$11,Paramètres!$A$1:$I$89,5,0)</f>
        <v>1.738044375088066E-13</v>
      </c>
      <c r="BF152" s="13">
        <f t="shared" si="145"/>
        <v>2.4483293633950478E-12</v>
      </c>
      <c r="BG152" s="20">
        <f t="shared" si="115"/>
        <v>4.566883036574213E-12</v>
      </c>
      <c r="BH152" s="59">
        <f t="shared" si="116"/>
        <v>286.57579407329763</v>
      </c>
      <c r="BI152" s="59">
        <f ca="1">AVERAGE(OFFSET($BH$3,0,0,'Données projet'!$E$11+1,1))-AVERAGE(OFFSET($H$3,0,0,'Données projet'!$E$11+1,1))</f>
        <v>341.62910675299065</v>
      </c>
      <c r="BJ152" s="59">
        <f t="shared" si="146"/>
        <v>407.15938341104709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21.630165078450716</v>
      </c>
      <c r="BQ152" s="21">
        <f>EXP(-LN(2)/25)*BQ151+(1-EXP(-LN(2)/25))/(LN(2)/25)*Calculateur!BL152*Calculateur!BN152*VLOOKUP('Données projet'!$B$11,Paramètres!$A$1:$I$89,3,0)*0.475*44/12</f>
        <v>5.360373178474874</v>
      </c>
      <c r="BR152" s="21">
        <f>EXP(-LN(2)/2)*BR151+(1-EXP(-LN(2)/2))/(LN(2)/2)*BL152*BO152*VLOOKUP('Données projet'!$B$11,Paramètres!$A$1:$I$89,3,0)*0.475*44/12</f>
        <v>5.3840764625199989E-13</v>
      </c>
      <c r="BS152" s="22">
        <f t="shared" si="117"/>
        <v>26.990538256926129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286.69302227186529</v>
      </c>
      <c r="S153" s="59">
        <f ca="1">AVERAGE(OFFSET($R$3,0,0,'Données projet'!$E$9+1,1))-AVERAGE(OFFSET($H$3,0,0,'Données projet'!$E$9+1,1))</f>
        <v>507.66185230065889</v>
      </c>
      <c r="T153" s="59">
        <f t="shared" si="142"/>
        <v>640.14375617778342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62.550652076533275</v>
      </c>
      <c r="AA153" s="21">
        <f>EXP(-LN(2)/25)*AA152+(1-EXP(-LN(2)/25))/(LN(2)/25)*Calculateur!V153*Calculateur!X153*VLOOKUP('Données projet'!$B$9,Paramètres!$A$1:$I$89,3,0)*0.475*44/12</f>
        <v>2.1045691521786023</v>
      </c>
      <c r="AB153" s="21">
        <f>EXP(-LN(2)/2)*AB152+(1-EXP(-LN(2)/2))/(LN(2)/2)*V153*Y153*VLOOKUP('Données projet'!$B$9,Paramètres!$A$1:$I$89,3,0)*0.475*44/12</f>
        <v>7.9986578538653592E-16</v>
      </c>
      <c r="AC153" s="22">
        <f t="shared" si="111"/>
        <v>64.655221228711881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-1.5961632016114892E-13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332.74717458063787</v>
      </c>
      <c r="AO153" s="59">
        <f t="shared" si="144"/>
        <v>408.69087885751878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43.512436618749213</v>
      </c>
      <c r="AV153" s="21">
        <f>EXP(-LN(2)/25)*AV152+(1-EXP(-LN(2)/25))/(LN(2)/25)*Calculateur!AQ153*Calculateur!AS153*VLOOKUP('Données projet'!$B$10,Paramètres!$A$1:$I$89,3,0)*0.475*44/12</f>
        <v>2.409690445064113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45.922127063813328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1.9895196601282805E-13</v>
      </c>
      <c r="BE153" s="13">
        <f>BD153*VLOOKUP('Données projet'!$B$11,Paramètres!$A$1:$I$89,3,0)*VLOOKUP('Données projet'!$B$11,Paramètres!$A$1:$I$89,5,0)</f>
        <v>1.738044375088066E-13</v>
      </c>
      <c r="BF153" s="13">
        <f t="shared" si="145"/>
        <v>2.4483293633950478E-12</v>
      </c>
      <c r="BG153" s="20">
        <f t="shared" si="115"/>
        <v>4.566883036574213E-12</v>
      </c>
      <c r="BH153" s="59">
        <f t="shared" si="116"/>
        <v>286.69302227186489</v>
      </c>
      <c r="BI153" s="59">
        <f ca="1">AVERAGE(OFFSET($BH$3,0,0,'Données projet'!$E$11+1,1))-AVERAGE(OFFSET($H$3,0,0,'Données projet'!$E$11+1,1))</f>
        <v>341.62910675299065</v>
      </c>
      <c r="BJ153" s="59">
        <f t="shared" si="146"/>
        <v>407.15938341104709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21.206010734360284</v>
      </c>
      <c r="BQ153" s="21">
        <f>EXP(-LN(2)/25)*BQ152+(1-EXP(-LN(2)/25))/(LN(2)/25)*Calculateur!BL153*Calculateur!BN153*VLOOKUP('Données projet'!$B$11,Paramètres!$A$1:$I$89,3,0)*0.475*44/12</f>
        <v>5.2137934920197049</v>
      </c>
      <c r="BR153" s="21">
        <f>EXP(-LN(2)/2)*BR152+(1-EXP(-LN(2)/2))/(LN(2)/2)*BL153*BO153*VLOOKUP('Données projet'!$B$11,Paramètres!$A$1:$I$89,3,0)*0.475*44/12</f>
        <v>3.8071169770747698E-13</v>
      </c>
      <c r="BS153" s="22">
        <f t="shared" si="117"/>
        <v>26.419804226380368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286.8082168232703</v>
      </c>
      <c r="S154" s="59">
        <f ca="1">AVERAGE(OFFSET($R$3,0,0,'Données projet'!$E$9+1,1))-AVERAGE(OFFSET($H$3,0,0,'Données projet'!$E$9+1,1))</f>
        <v>507.66185230065889</v>
      </c>
      <c r="T154" s="59">
        <f t="shared" si="142"/>
        <v>640.14375617778342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61.324071941443016</v>
      </c>
      <c r="AA154" s="21">
        <f>EXP(-LN(2)/25)*AA153+(1-EXP(-LN(2)/25))/(LN(2)/25)*Calculateur!V154*Calculateur!X154*VLOOKUP('Données projet'!$B$9,Paramètres!$A$1:$I$89,3,0)*0.475*44/12</f>
        <v>2.0470195980377968</v>
      </c>
      <c r="AB154" s="21">
        <f>EXP(-LN(2)/2)*AB153+(1-EXP(-LN(2)/2))/(LN(2)/2)*V154*Y154*VLOOKUP('Données projet'!$B$9,Paramètres!$A$1:$I$89,3,0)*0.475*44/12</f>
        <v>5.6559052088592323E-16</v>
      </c>
      <c r="AC154" s="22">
        <f t="shared" ref="AC154:AC203" si="163">SUM(Z154:AB154)</f>
        <v>63.371091539480815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-1.5961632016114892E-13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332.74717458063787</v>
      </c>
      <c r="AO154" s="59">
        <f t="shared" si="144"/>
        <v>408.69087885751878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42.659184276621275</v>
      </c>
      <c r="AV154" s="21">
        <f>EXP(-LN(2)/25)*AV153+(1-EXP(-LN(2)/25))/(LN(2)/25)*Calculateur!AQ154*Calculateur!AS154*VLOOKUP('Données projet'!$B$10,Paramètres!$A$1:$I$89,3,0)*0.475*44/12</f>
        <v>2.3437973331237218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45.002981609745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1.9895196601282805E-13</v>
      </c>
      <c r="BE154" s="13">
        <f>BD154*VLOOKUP('Données projet'!$B$11,Paramètres!$A$1:$I$89,3,0)*VLOOKUP('Données projet'!$B$11,Paramètres!$A$1:$I$89,5,0)</f>
        <v>1.738044375088066E-13</v>
      </c>
      <c r="BF154" s="13">
        <f t="shared" ref="BF154:BF203" si="167">EXP(-1.0587+0.8836*LN(BE154)+0.284)</f>
        <v>2.4483293633950478E-12</v>
      </c>
      <c r="BG154" s="20">
        <f t="shared" ref="BG154:BG203" si="168">(BE154+BF154)*0.475*44/12</f>
        <v>4.566883036574213E-12</v>
      </c>
      <c r="BH154" s="59">
        <f t="shared" si="116"/>
        <v>286.8082168232699</v>
      </c>
      <c r="BI154" s="59">
        <f ca="1">AVERAGE(OFFSET($BH$3,0,0,'Données projet'!$E$11+1,1))-AVERAGE(OFFSET($H$3,0,0,'Données projet'!$E$11+1,1))</f>
        <v>341.62910675299065</v>
      </c>
      <c r="BJ154" s="59">
        <f t="shared" si="146"/>
        <v>407.15938341104709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20.790173798248862</v>
      </c>
      <c r="BQ154" s="21">
        <f>EXP(-LN(2)/25)*BQ153+(1-EXP(-LN(2)/25))/(LN(2)/25)*Calculateur!BL154*Calculateur!BN154*VLOOKUP('Données projet'!$B$11,Paramètres!$A$1:$I$89,3,0)*0.475*44/12</f>
        <v>5.071222034798943</v>
      </c>
      <c r="BR154" s="21">
        <f>EXP(-LN(2)/2)*BR153+(1-EXP(-LN(2)/2))/(LN(2)/2)*BL154*BO154*VLOOKUP('Données projet'!$B$11,Paramètres!$A$1:$I$89,3,0)*0.475*44/12</f>
        <v>2.6920382312599995E-13</v>
      </c>
      <c r="BS154" s="22">
        <f t="shared" ref="BS154:BS203" si="169">SUM(BP154:BR154)</f>
        <v>25.861395833048075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286.92141300674484</v>
      </c>
      <c r="S155" s="59">
        <f ca="1">AVERAGE(OFFSET($R$3,0,0,'Données projet'!$E$9+1,1))-AVERAGE(OFFSET($H$3,0,0,'Données projet'!$E$9+1,1))</f>
        <v>507.66185230065889</v>
      </c>
      <c r="T155" s="59">
        <f t="shared" si="142"/>
        <v>640.14375617778342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60.121544294661867</v>
      </c>
      <c r="AA155" s="21">
        <f>EXP(-LN(2)/25)*AA154+(1-EXP(-LN(2)/25))/(LN(2)/25)*Calculateur!V155*Calculateur!X155*VLOOKUP('Données projet'!$B$9,Paramètres!$A$1:$I$89,3,0)*0.475*44/12</f>
        <v>1.9910437394813711</v>
      </c>
      <c r="AB155" s="21">
        <f>EXP(-LN(2)/2)*AB154+(1-EXP(-LN(2)/2))/(LN(2)/2)*V155*Y155*VLOOKUP('Données projet'!$B$9,Paramètres!$A$1:$I$89,3,0)*0.475*44/12</f>
        <v>3.9993289269326796E-16</v>
      </c>
      <c r="AC155" s="22">
        <f t="shared" si="163"/>
        <v>62.112588034143236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-1.5961632016114892E-13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332.74717458063787</v>
      </c>
      <c r="AO155" s="59">
        <f t="shared" si="144"/>
        <v>408.69087885751878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41.822663692489925</v>
      </c>
      <c r="AV155" s="21">
        <f>EXP(-LN(2)/25)*AV154+(1-EXP(-LN(2)/25))/(LN(2)/25)*Calculateur!AQ155*Calculateur!AS155*VLOOKUP('Données projet'!$B$10,Paramètres!$A$1:$I$89,3,0)*0.475*44/12</f>
        <v>2.2797060717945086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44.102369764284433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1.9895196601282805E-13</v>
      </c>
      <c r="BE155" s="13">
        <f>BD155*VLOOKUP('Données projet'!$B$11,Paramètres!$A$1:$I$89,3,0)*VLOOKUP('Données projet'!$B$11,Paramètres!$A$1:$I$89,5,0)</f>
        <v>1.738044375088066E-13</v>
      </c>
      <c r="BF155" s="13">
        <f t="shared" si="167"/>
        <v>2.4483293633950478E-12</v>
      </c>
      <c r="BG155" s="20">
        <f t="shared" si="168"/>
        <v>4.566883036574213E-12</v>
      </c>
      <c r="BH155" s="59">
        <f t="shared" si="116"/>
        <v>286.92141300674444</v>
      </c>
      <c r="BI155" s="59">
        <f ca="1">AVERAGE(OFFSET($BH$3,0,0,'Données projet'!$E$11+1,1))-AVERAGE(OFFSET($H$3,0,0,'Données projet'!$E$11+1,1))</f>
        <v>341.62910675299065</v>
      </c>
      <c r="BJ155" s="59">
        <f t="shared" si="146"/>
        <v>407.15938341104709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20.382491170819097</v>
      </c>
      <c r="BQ155" s="21">
        <f>EXP(-LN(2)/25)*BQ154+(1-EXP(-LN(2)/25))/(LN(2)/25)*Calculateur!BL155*Calculateur!BN155*VLOOKUP('Données projet'!$B$11,Paramètres!$A$1:$I$89,3,0)*0.475*44/12</f>
        <v>4.9325492015733898</v>
      </c>
      <c r="BR155" s="21">
        <f>EXP(-LN(2)/2)*BR154+(1-EXP(-LN(2)/2))/(LN(2)/2)*BL155*BO155*VLOOKUP('Données projet'!$B$11,Paramètres!$A$1:$I$89,3,0)*0.475*44/12</f>
        <v>1.9035584885373849E-13</v>
      </c>
      <c r="BS155" s="22">
        <f t="shared" si="169"/>
        <v>25.31504037239268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287.03264548950494</v>
      </c>
      <c r="S156" s="59">
        <f ca="1">AVERAGE(OFFSET($R$3,0,0,'Données projet'!$E$9+1,1))-AVERAGE(OFFSET($H$3,0,0,'Données projet'!$E$9+1,1))</f>
        <v>507.66185230065889</v>
      </c>
      <c r="T156" s="59">
        <f t="shared" si="142"/>
        <v>640.14375617778342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58.942597481564654</v>
      </c>
      <c r="AA156" s="21">
        <f>EXP(-LN(2)/25)*AA155+(1-EXP(-LN(2)/25))/(LN(2)/25)*Calculateur!V156*Calculateur!X156*VLOOKUP('Données projet'!$B$9,Paramètres!$A$1:$I$89,3,0)*0.475*44/12</f>
        <v>1.9365985437208133</v>
      </c>
      <c r="AB156" s="21">
        <f>EXP(-LN(2)/2)*AB155+(1-EXP(-LN(2)/2))/(LN(2)/2)*V156*Y156*VLOOKUP('Données projet'!$B$9,Paramètres!$A$1:$I$89,3,0)*0.475*44/12</f>
        <v>2.8279526044296161E-16</v>
      </c>
      <c r="AC156" s="22">
        <f t="shared" si="163"/>
        <v>60.879196025285466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-1.5961632016114892E-13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332.74717458063787</v>
      </c>
      <c r="AO156" s="59">
        <f t="shared" si="144"/>
        <v>408.69087885751878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41.002546766786217</v>
      </c>
      <c r="AV156" s="21">
        <f>EXP(-LN(2)/25)*AV155+(1-EXP(-LN(2)/25))/(LN(2)/25)*Calculateur!AQ156*Calculateur!AS156*VLOOKUP('Données projet'!$B$10,Paramètres!$A$1:$I$89,3,0)*0.475*44/12</f>
        <v>2.2173673893767556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43.219914156162972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1.9895196601282805E-13</v>
      </c>
      <c r="BE156" s="13">
        <f>BD156*VLOOKUP('Données projet'!$B$11,Paramètres!$A$1:$I$89,3,0)*VLOOKUP('Données projet'!$B$11,Paramètres!$A$1:$I$89,5,0)</f>
        <v>1.738044375088066E-13</v>
      </c>
      <c r="BF156" s="13">
        <f t="shared" si="167"/>
        <v>2.4483293633950478E-12</v>
      </c>
      <c r="BG156" s="20">
        <f t="shared" si="168"/>
        <v>4.566883036574213E-12</v>
      </c>
      <c r="BH156" s="59">
        <f t="shared" si="116"/>
        <v>287.03264548950455</v>
      </c>
      <c r="BI156" s="59">
        <f ca="1">AVERAGE(OFFSET($BH$3,0,0,'Données projet'!$E$11+1,1))-AVERAGE(OFFSET($H$3,0,0,'Données projet'!$E$11+1,1))</f>
        <v>341.62910675299065</v>
      </c>
      <c r="BJ156" s="59">
        <f t="shared" si="146"/>
        <v>407.15938341104709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19.982802951051383</v>
      </c>
      <c r="BQ156" s="21">
        <f>EXP(-LN(2)/25)*BQ155+(1-EXP(-LN(2)/25))/(LN(2)/25)*Calculateur!BL156*Calculateur!BN156*VLOOKUP('Données projet'!$B$11,Paramètres!$A$1:$I$89,3,0)*0.475*44/12</f>
        <v>4.7976683842648766</v>
      </c>
      <c r="BR156" s="21">
        <f>EXP(-LN(2)/2)*BR155+(1-EXP(-LN(2)/2))/(LN(2)/2)*BL156*BO156*VLOOKUP('Données projet'!$B$11,Paramètres!$A$1:$I$89,3,0)*0.475*44/12</f>
        <v>1.3460191156299997E-13</v>
      </c>
      <c r="BS156" s="22">
        <f t="shared" si="169"/>
        <v>24.780471335316395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287.14194833736769</v>
      </c>
      <c r="S157" s="59">
        <f ca="1">AVERAGE(OFFSET($R$3,0,0,'Données projet'!$E$9+1,1))-AVERAGE(OFFSET($H$3,0,0,'Données projet'!$E$9+1,1))</f>
        <v>507.66185230065889</v>
      </c>
      <c r="T157" s="59">
        <f t="shared" si="142"/>
        <v>640.14375617778342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57.786769096385726</v>
      </c>
      <c r="AA157" s="21">
        <f>EXP(-LN(2)/25)*AA156+(1-EXP(-LN(2)/25))/(LN(2)/25)*Calculateur!V157*Calculateur!X157*VLOOKUP('Données projet'!$B$9,Paramètres!$A$1:$I$89,3,0)*0.475*44/12</f>
        <v>1.8836421547014763</v>
      </c>
      <c r="AB157" s="21">
        <f>EXP(-LN(2)/2)*AB156+(1-EXP(-LN(2)/2))/(LN(2)/2)*V157*Y157*VLOOKUP('Données projet'!$B$9,Paramètres!$A$1:$I$89,3,0)*0.475*44/12</f>
        <v>1.9996644634663398E-16</v>
      </c>
      <c r="AC157" s="22">
        <f t="shared" si="163"/>
        <v>59.670411251087202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-1.5961632016114892E-13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332.74717458063787</v>
      </c>
      <c r="AO157" s="59">
        <f t="shared" si="144"/>
        <v>408.69087885751878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40.198511833773622</v>
      </c>
      <c r="AV157" s="21">
        <f>EXP(-LN(2)/25)*AV156+(1-EXP(-LN(2)/25))/(LN(2)/25)*Calculateur!AQ157*Calculateur!AS157*VLOOKUP('Données projet'!$B$10,Paramètres!$A$1:$I$89,3,0)*0.475*44/12</f>
        <v>2.1567333615079649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42.35524519528159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1.9895196601282805E-13</v>
      </c>
      <c r="BE157" s="13">
        <f>BD157*VLOOKUP('Données projet'!$B$11,Paramètres!$A$1:$I$89,3,0)*VLOOKUP('Données projet'!$B$11,Paramètres!$A$1:$I$89,5,0)</f>
        <v>1.738044375088066E-13</v>
      </c>
      <c r="BF157" s="13">
        <f t="shared" si="167"/>
        <v>2.4483293633950478E-12</v>
      </c>
      <c r="BG157" s="20">
        <f t="shared" si="168"/>
        <v>4.566883036574213E-12</v>
      </c>
      <c r="BH157" s="59">
        <f t="shared" si="116"/>
        <v>287.1419483373673</v>
      </c>
      <c r="BI157" s="59">
        <f ca="1">AVERAGE(OFFSET($BH$3,0,0,'Données projet'!$E$11+1,1))-AVERAGE(OFFSET($H$3,0,0,'Données projet'!$E$11+1,1))</f>
        <v>341.62910675299065</v>
      </c>
      <c r="BJ157" s="59">
        <f t="shared" si="146"/>
        <v>407.15938341104709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19.590952373487571</v>
      </c>
      <c r="BQ157" s="21">
        <f>EXP(-LN(2)/25)*BQ156+(1-EXP(-LN(2)/25))/(LN(2)/25)*Calculateur!BL157*Calculateur!BN157*VLOOKUP('Données projet'!$B$11,Paramètres!$A$1:$I$89,3,0)*0.475*44/12</f>
        <v>4.6664758899987389</v>
      </c>
      <c r="BR157" s="21">
        <f>EXP(-LN(2)/2)*BR156+(1-EXP(-LN(2)/2))/(LN(2)/2)*BL157*BO157*VLOOKUP('Données projet'!$B$11,Paramètres!$A$1:$I$89,3,0)*0.475*44/12</f>
        <v>9.5177924426869246E-14</v>
      </c>
      <c r="BS157" s="22">
        <f t="shared" si="169"/>
        <v>24.257428263486407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287.24935502518463</v>
      </c>
      <c r="S158" s="59">
        <f ca="1">AVERAGE(OFFSET($R$3,0,0,'Données projet'!$E$9+1,1))-AVERAGE(OFFSET($H$3,0,0,'Données projet'!$E$9+1,1))</f>
        <v>507.66185230065889</v>
      </c>
      <c r="T158" s="59">
        <f t="shared" si="142"/>
        <v>640.14375617778342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56.65360580085445</v>
      </c>
      <c r="AA158" s="21">
        <f>EXP(-LN(2)/25)*AA157+(1-EXP(-LN(2)/25))/(LN(2)/25)*Calculateur!V158*Calculateur!X158*VLOOKUP('Données projet'!$B$9,Paramètres!$A$1:$I$89,3,0)*0.475*44/12</f>
        <v>1.8321338609247286</v>
      </c>
      <c r="AB158" s="21">
        <f>EXP(-LN(2)/2)*AB157+(1-EXP(-LN(2)/2))/(LN(2)/2)*V158*Y158*VLOOKUP('Données projet'!$B$9,Paramètres!$A$1:$I$89,3,0)*0.475*44/12</f>
        <v>1.4139763022148081E-16</v>
      </c>
      <c r="AC158" s="22">
        <f t="shared" si="163"/>
        <v>58.485739661779178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-1.5961632016114892E-13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332.74717458063787</v>
      </c>
      <c r="AO158" s="59">
        <f t="shared" si="144"/>
        <v>408.69087885751878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39.410243535384524</v>
      </c>
      <c r="AV158" s="21">
        <f>EXP(-LN(2)/25)*AV157+(1-EXP(-LN(2)/25))/(LN(2)/25)*Calculateur!AQ158*Calculateur!AS158*VLOOKUP('Données projet'!$B$10,Paramètres!$A$1:$I$89,3,0)*0.475*44/12</f>
        <v>2.0977573743198512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41.508000909704379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1.9895196601282805E-13</v>
      </c>
      <c r="BE158" s="13">
        <f>BD158*VLOOKUP('Données projet'!$B$11,Paramètres!$A$1:$I$89,3,0)*VLOOKUP('Données projet'!$B$11,Paramètres!$A$1:$I$89,5,0)</f>
        <v>1.738044375088066E-13</v>
      </c>
      <c r="BF158" s="13">
        <f t="shared" si="167"/>
        <v>2.4483293633950478E-12</v>
      </c>
      <c r="BG158" s="20">
        <f t="shared" si="168"/>
        <v>4.566883036574213E-12</v>
      </c>
      <c r="BH158" s="59">
        <f t="shared" si="116"/>
        <v>287.24935502518423</v>
      </c>
      <c r="BI158" s="59">
        <f ca="1">AVERAGE(OFFSET($BH$3,0,0,'Données projet'!$E$11+1,1))-AVERAGE(OFFSET($H$3,0,0,'Données projet'!$E$11+1,1))</f>
        <v>341.62910675299065</v>
      </c>
      <c r="BJ158" s="59">
        <f t="shared" si="146"/>
        <v>407.15938341104709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19.206785746744533</v>
      </c>
      <c r="BQ158" s="21">
        <f>EXP(-LN(2)/25)*BQ157+(1-EXP(-LN(2)/25))/(LN(2)/25)*Calculateur!BL158*Calculateur!BN158*VLOOKUP('Données projet'!$B$11,Paramètres!$A$1:$I$89,3,0)*0.475*44/12</f>
        <v>4.538870861387422</v>
      </c>
      <c r="BR158" s="21">
        <f>EXP(-LN(2)/2)*BR157+(1-EXP(-LN(2)/2))/(LN(2)/2)*BL158*BO158*VLOOKUP('Données projet'!$B$11,Paramètres!$A$1:$I$89,3,0)*0.475*44/12</f>
        <v>6.7300955781499987E-14</v>
      </c>
      <c r="BS158" s="22">
        <f t="shared" si="169"/>
        <v>23.745656608132023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287.35489844709326</v>
      </c>
      <c r="S159" s="59">
        <f ca="1">AVERAGE(OFFSET($R$3,0,0,'Données projet'!$E$9+1,1))-AVERAGE(OFFSET($H$3,0,0,'Données projet'!$E$9+1,1))</f>
        <v>507.66185230065889</v>
      </c>
      <c r="T159" s="59">
        <f t="shared" si="142"/>
        <v>640.14375617778342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55.542663146387184</v>
      </c>
      <c r="AA159" s="21">
        <f>EXP(-LN(2)/25)*AA158+(1-EXP(-LN(2)/25))/(LN(2)/25)*Calculateur!V159*Calculateur!X159*VLOOKUP('Données projet'!$B$9,Paramètres!$A$1:$I$89,3,0)*0.475*44/12</f>
        <v>1.7820340641500096</v>
      </c>
      <c r="AB159" s="21">
        <f>EXP(-LN(2)/2)*AB158+(1-EXP(-LN(2)/2))/(LN(2)/2)*V159*Y159*VLOOKUP('Données projet'!$B$9,Paramètres!$A$1:$I$89,3,0)*0.475*44/12</f>
        <v>9.9983223173316989E-17</v>
      </c>
      <c r="AC159" s="22">
        <f t="shared" si="163"/>
        <v>57.324697210537195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-1.5961632016114892E-13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332.74717458063787</v>
      </c>
      <c r="AO159" s="59">
        <f t="shared" si="144"/>
        <v>408.69087885751878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38.637432697530649</v>
      </c>
      <c r="AV159" s="21">
        <f>EXP(-LN(2)/25)*AV158+(1-EXP(-LN(2)/25))/(LN(2)/25)*Calculateur!AQ159*Calculateur!AS159*VLOOKUP('Données projet'!$B$10,Paramètres!$A$1:$I$89,3,0)*0.475*44/12</f>
        <v>2.0403940886028091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40.677826786133458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1.9895196601282805E-13</v>
      </c>
      <c r="BE159" s="13">
        <f>BD159*VLOOKUP('Données projet'!$B$11,Paramètres!$A$1:$I$89,3,0)*VLOOKUP('Données projet'!$B$11,Paramètres!$A$1:$I$89,5,0)</f>
        <v>1.738044375088066E-13</v>
      </c>
      <c r="BF159" s="13">
        <f t="shared" si="167"/>
        <v>2.4483293633950478E-12</v>
      </c>
      <c r="BG159" s="20">
        <f t="shared" si="168"/>
        <v>4.566883036574213E-12</v>
      </c>
      <c r="BH159" s="59">
        <f t="shared" si="116"/>
        <v>287.35489844709286</v>
      </c>
      <c r="BI159" s="59">
        <f ca="1">AVERAGE(OFFSET($BH$3,0,0,'Données projet'!$E$11+1,1))-AVERAGE(OFFSET($H$3,0,0,'Données projet'!$E$11+1,1))</f>
        <v>341.62910675299065</v>
      </c>
      <c r="BJ159" s="59">
        <f t="shared" si="146"/>
        <v>407.15938341104709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18.830152393233419</v>
      </c>
      <c r="BQ159" s="21">
        <f>EXP(-LN(2)/25)*BQ158+(1-EXP(-LN(2)/25))/(LN(2)/25)*Calculateur!BL159*Calculateur!BN159*VLOOKUP('Données projet'!$B$11,Paramètres!$A$1:$I$89,3,0)*0.475*44/12</f>
        <v>4.4147551989939382</v>
      </c>
      <c r="BR159" s="21">
        <f>EXP(-LN(2)/2)*BR158+(1-EXP(-LN(2)/2))/(LN(2)/2)*BL159*BO159*VLOOKUP('Données projet'!$B$11,Paramètres!$A$1:$I$89,3,0)*0.475*44/12</f>
        <v>4.7588962213434623E-14</v>
      </c>
      <c r="BS159" s="22">
        <f t="shared" si="169"/>
        <v>23.244907592227403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287.45861092659152</v>
      </c>
      <c r="S160" s="59">
        <f ca="1">AVERAGE(OFFSET($R$3,0,0,'Données projet'!$E$9+1,1))-AVERAGE(OFFSET($H$3,0,0,'Données projet'!$E$9+1,1))</f>
        <v>507.66185230065889</v>
      </c>
      <c r="T160" s="59">
        <f t="shared" si="142"/>
        <v>640.14375617778342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54.453505399765909</v>
      </c>
      <c r="AA160" s="21">
        <f>EXP(-LN(2)/25)*AA159+(1-EXP(-LN(2)/25))/(LN(2)/25)*Calculateur!V160*Calculateur!X160*VLOOKUP('Données projet'!$B$9,Paramètres!$A$1:$I$89,3,0)*0.475*44/12</f>
        <v>1.7333042489527291</v>
      </c>
      <c r="AB160" s="21">
        <f>EXP(-LN(2)/2)*AB159+(1-EXP(-LN(2)/2))/(LN(2)/2)*V160*Y160*VLOOKUP('Données projet'!$B$9,Paramètres!$A$1:$I$89,3,0)*0.475*44/12</f>
        <v>7.0698815110740404E-17</v>
      </c>
      <c r="AC160" s="22">
        <f t="shared" si="163"/>
        <v>56.186809648718636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-1.5961632016114892E-13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332.74717458063787</v>
      </c>
      <c r="AO160" s="59">
        <f t="shared" si="144"/>
        <v>408.69087885751878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37.879776208839019</v>
      </c>
      <c r="AV160" s="21">
        <f>EXP(-LN(2)/25)*AV159+(1-EXP(-LN(2)/25))/(LN(2)/25)*Calculateur!AQ160*Calculateur!AS160*VLOOKUP('Données projet'!$B$10,Paramètres!$A$1:$I$89,3,0)*0.475*44/12</f>
        <v>1.9845994049503035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39.864375613789321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1.9895196601282805E-13</v>
      </c>
      <c r="BE160" s="13">
        <f>BD160*VLOOKUP('Données projet'!$B$11,Paramètres!$A$1:$I$89,3,0)*VLOOKUP('Données projet'!$B$11,Paramètres!$A$1:$I$89,5,0)</f>
        <v>1.738044375088066E-13</v>
      </c>
      <c r="BF160" s="13">
        <f t="shared" si="167"/>
        <v>2.4483293633950478E-12</v>
      </c>
      <c r="BG160" s="20">
        <f t="shared" si="168"/>
        <v>4.566883036574213E-12</v>
      </c>
      <c r="BH160" s="59">
        <f t="shared" si="116"/>
        <v>287.45861092659112</v>
      </c>
      <c r="BI160" s="59">
        <f ca="1">AVERAGE(OFFSET($BH$3,0,0,'Données projet'!$E$11+1,1))-AVERAGE(OFFSET($H$3,0,0,'Données projet'!$E$11+1,1))</f>
        <v>341.62910675299065</v>
      </c>
      <c r="BJ160" s="59">
        <f t="shared" si="146"/>
        <v>407.15938341104709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18.460904590060995</v>
      </c>
      <c r="BQ160" s="21">
        <f>EXP(-LN(2)/25)*BQ159+(1-EXP(-LN(2)/25))/(LN(2)/25)*Calculateur!BL160*Calculateur!BN160*VLOOKUP('Données projet'!$B$11,Paramètres!$A$1:$I$89,3,0)*0.475*44/12</f>
        <v>4.2940334859155627</v>
      </c>
      <c r="BR160" s="21">
        <f>EXP(-LN(2)/2)*BR159+(1-EXP(-LN(2)/2))/(LN(2)/2)*BL160*BO160*VLOOKUP('Données projet'!$B$11,Paramètres!$A$1:$I$89,3,0)*0.475*44/12</f>
        <v>3.3650477890749993E-14</v>
      </c>
      <c r="BS160" s="22">
        <f t="shared" si="169"/>
        <v>22.75493807597659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287.56052422643694</v>
      </c>
      <c r="S161" s="59">
        <f ca="1">AVERAGE(OFFSET($R$3,0,0,'Données projet'!$E$9+1,1))-AVERAGE(OFFSET($H$3,0,0,'Données projet'!$E$9+1,1))</f>
        <v>507.66185230065889</v>
      </c>
      <c r="T161" s="59">
        <f t="shared" si="142"/>
        <v>640.14375617778342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53.385705372235243</v>
      </c>
      <c r="AA161" s="21">
        <f>EXP(-LN(2)/25)*AA160+(1-EXP(-LN(2)/25))/(LN(2)/25)*Calculateur!V161*Calculateur!X161*VLOOKUP('Données projet'!$B$9,Paramètres!$A$1:$I$89,3,0)*0.475*44/12</f>
        <v>1.6859069531146078</v>
      </c>
      <c r="AB161" s="21">
        <f>EXP(-LN(2)/2)*AB160+(1-EXP(-LN(2)/2))/(LN(2)/2)*V161*Y161*VLOOKUP('Données projet'!$B$9,Paramètres!$A$1:$I$89,3,0)*0.475*44/12</f>
        <v>4.9991611586658495E-17</v>
      </c>
      <c r="AC161" s="22">
        <f t="shared" si="163"/>
        <v>55.071612325349854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-1.5961632016114892E-13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332.74717458063787</v>
      </c>
      <c r="AO161" s="59">
        <f t="shared" si="144"/>
        <v>408.69087885751878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37.136976901765806</v>
      </c>
      <c r="AV161" s="21">
        <f>EXP(-LN(2)/25)*AV160+(1-EXP(-LN(2)/25))/(LN(2)/25)*Calculateur!AQ161*Calculateur!AS161*VLOOKUP('Données projet'!$B$10,Paramètres!$A$1:$I$89,3,0)*0.475*44/12</f>
        <v>1.9303304298563906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39.067307331622196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1.9895196601282805E-13</v>
      </c>
      <c r="BE161" s="13">
        <f>BD161*VLOOKUP('Données projet'!$B$11,Paramètres!$A$1:$I$89,3,0)*VLOOKUP('Données projet'!$B$11,Paramètres!$A$1:$I$89,5,0)</f>
        <v>1.738044375088066E-13</v>
      </c>
      <c r="BF161" s="13">
        <f t="shared" si="167"/>
        <v>2.4483293633950478E-12</v>
      </c>
      <c r="BG161" s="20">
        <f t="shared" si="168"/>
        <v>4.566883036574213E-12</v>
      </c>
      <c r="BH161" s="59">
        <f t="shared" si="116"/>
        <v>287.56052422643654</v>
      </c>
      <c r="BI161" s="59">
        <f ca="1">AVERAGE(OFFSET($BH$3,0,0,'Données projet'!$E$11+1,1))-AVERAGE(OFFSET($H$3,0,0,'Données projet'!$E$11+1,1))</f>
        <v>341.62910675299065</v>
      </c>
      <c r="BJ161" s="59">
        <f t="shared" si="146"/>
        <v>407.15938341104709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18.098897511089863</v>
      </c>
      <c r="BQ161" s="21">
        <f>EXP(-LN(2)/25)*BQ160+(1-EXP(-LN(2)/25))/(LN(2)/25)*Calculateur!BL161*Calculateur!BN161*VLOOKUP('Données projet'!$B$11,Paramètres!$A$1:$I$89,3,0)*0.475*44/12</f>
        <v>4.1766129144297945</v>
      </c>
      <c r="BR161" s="21">
        <f>EXP(-LN(2)/2)*BR160+(1-EXP(-LN(2)/2))/(LN(2)/2)*BL161*BO161*VLOOKUP('Données projet'!$B$11,Paramètres!$A$1:$I$89,3,0)*0.475*44/12</f>
        <v>2.3794481106717311E-14</v>
      </c>
      <c r="BS161" s="22">
        <f t="shared" si="169"/>
        <v>22.275510425519681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287.66066955837391</v>
      </c>
      <c r="S162" s="59">
        <f ca="1">AVERAGE(OFFSET($R$3,0,0,'Données projet'!$E$9+1,1))-AVERAGE(OFFSET($H$3,0,0,'Données projet'!$E$9+1,1))</f>
        <v>507.66185230065889</v>
      </c>
      <c r="T162" s="59">
        <f t="shared" si="142"/>
        <v>640.14375617778342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52.338844251950754</v>
      </c>
      <c r="AA162" s="21">
        <f>EXP(-LN(2)/25)*AA161+(1-EXP(-LN(2)/25))/(LN(2)/25)*Calculateur!V162*Calculateur!X162*VLOOKUP('Données projet'!$B$9,Paramètres!$A$1:$I$89,3,0)*0.475*44/12</f>
        <v>1.6398057388236953</v>
      </c>
      <c r="AB162" s="21">
        <f>EXP(-LN(2)/2)*AB161+(1-EXP(-LN(2)/2))/(LN(2)/2)*V162*Y162*VLOOKUP('Données projet'!$B$9,Paramètres!$A$1:$I$89,3,0)*0.475*44/12</f>
        <v>3.5349407555370202E-17</v>
      </c>
      <c r="AC162" s="22">
        <f t="shared" si="163"/>
        <v>53.97864999077445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-1.5961632016114892E-13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332.74717458063787</v>
      </c>
      <c r="AO162" s="59">
        <f t="shared" si="144"/>
        <v>408.69087885751878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36.408743436041455</v>
      </c>
      <c r="AV162" s="21">
        <f>EXP(-LN(2)/25)*AV161+(1-EXP(-LN(2)/25))/(LN(2)/25)*Calculateur!AQ162*Calculateur!AS162*VLOOKUP('Données projet'!$B$10,Paramètres!$A$1:$I$89,3,0)*0.475*44/12</f>
        <v>1.8775454427403022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38.286288878781754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1.9895196601282805E-13</v>
      </c>
      <c r="BE162" s="13">
        <f>BD162*VLOOKUP('Données projet'!$B$11,Paramètres!$A$1:$I$89,3,0)*VLOOKUP('Données projet'!$B$11,Paramètres!$A$1:$I$89,5,0)</f>
        <v>1.738044375088066E-13</v>
      </c>
      <c r="BF162" s="13">
        <f t="shared" si="167"/>
        <v>2.4483293633950478E-12</v>
      </c>
      <c r="BG162" s="20">
        <f t="shared" si="168"/>
        <v>4.566883036574213E-12</v>
      </c>
      <c r="BH162" s="59">
        <f t="shared" si="116"/>
        <v>287.66066955837351</v>
      </c>
      <c r="BI162" s="59">
        <f ca="1">AVERAGE(OFFSET($BH$3,0,0,'Données projet'!$E$11+1,1))-AVERAGE(OFFSET($H$3,0,0,'Données projet'!$E$11+1,1))</f>
        <v>341.62910675299065</v>
      </c>
      <c r="BJ162" s="59">
        <f t="shared" si="146"/>
        <v>407.15938341104709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17.743989170134839</v>
      </c>
      <c r="BQ162" s="21">
        <f>EXP(-LN(2)/25)*BQ161+(1-EXP(-LN(2)/25))/(LN(2)/25)*Calculateur!BL162*Calculateur!BN162*VLOOKUP('Données projet'!$B$11,Paramètres!$A$1:$I$89,3,0)*0.475*44/12</f>
        <v>4.0624032146461841</v>
      </c>
      <c r="BR162" s="21">
        <f>EXP(-LN(2)/2)*BR161+(1-EXP(-LN(2)/2))/(LN(2)/2)*BL162*BO162*VLOOKUP('Données projet'!$B$11,Paramètres!$A$1:$I$89,3,0)*0.475*44/12</f>
        <v>1.6825238945374997E-14</v>
      </c>
      <c r="BS162" s="22">
        <f t="shared" si="169"/>
        <v>21.806392384781041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287.7590775926933</v>
      </c>
      <c r="S163" s="59">
        <f ca="1">AVERAGE(OFFSET($R$3,0,0,'Données projet'!$E$9+1,1))-AVERAGE(OFFSET($H$3,0,0,'Données projet'!$E$9+1,1))</f>
        <v>507.66185230065889</v>
      </c>
      <c r="T163" s="59">
        <f t="shared" si="142"/>
        <v>640.14375617778342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51.312511439712807</v>
      </c>
      <c r="AA163" s="21">
        <f>EXP(-LN(2)/25)*AA162+(1-EXP(-LN(2)/25))/(LN(2)/25)*Calculateur!V163*Calculateur!X163*VLOOKUP('Données projet'!$B$9,Paramètres!$A$1:$I$89,3,0)*0.475*44/12</f>
        <v>1.5949651646619254</v>
      </c>
      <c r="AB163" s="21">
        <f>EXP(-LN(2)/2)*AB162+(1-EXP(-LN(2)/2))/(LN(2)/2)*V163*Y163*VLOOKUP('Données projet'!$B$9,Paramètres!$A$1:$I$89,3,0)*0.475*44/12</f>
        <v>2.4995805793329247E-17</v>
      </c>
      <c r="AC163" s="22">
        <f t="shared" si="163"/>
        <v>52.907476604374736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-1.5961632016114892E-13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332.74717458063787</v>
      </c>
      <c r="AO163" s="59">
        <f t="shared" si="144"/>
        <v>408.69087885751878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35.694790184401405</v>
      </c>
      <c r="AV163" s="21">
        <f>EXP(-LN(2)/25)*AV162+(1-EXP(-LN(2)/25))/(LN(2)/25)*Calculateur!AQ163*Calculateur!AS163*VLOOKUP('Données projet'!$B$10,Paramètres!$A$1:$I$89,3,0)*0.475*44/12</f>
        <v>1.8262038638727449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37.520994048274147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1.9895196601282805E-13</v>
      </c>
      <c r="BE163" s="13">
        <f>BD163*VLOOKUP('Données projet'!$B$11,Paramètres!$A$1:$I$89,3,0)*VLOOKUP('Données projet'!$B$11,Paramètres!$A$1:$I$89,5,0)</f>
        <v>1.738044375088066E-13</v>
      </c>
      <c r="BF163" s="13">
        <f t="shared" si="167"/>
        <v>2.4483293633950478E-12</v>
      </c>
      <c r="BG163" s="20">
        <f t="shared" si="168"/>
        <v>4.566883036574213E-12</v>
      </c>
      <c r="BH163" s="59">
        <f t="shared" si="116"/>
        <v>287.7590775926929</v>
      </c>
      <c r="BI163" s="59">
        <f ca="1">AVERAGE(OFFSET($BH$3,0,0,'Données projet'!$E$11+1,1))-AVERAGE(OFFSET($H$3,0,0,'Données projet'!$E$11+1,1))</f>
        <v>341.62910675299065</v>
      </c>
      <c r="BJ163" s="59">
        <f t="shared" si="146"/>
        <v>407.15938341104709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17.39604036527323</v>
      </c>
      <c r="BQ163" s="21">
        <f>EXP(-LN(2)/25)*BQ162+(1-EXP(-LN(2)/25))/(LN(2)/25)*Calculateur!BL163*Calculateur!BN163*VLOOKUP('Données projet'!$B$11,Paramètres!$A$1:$I$89,3,0)*0.475*44/12</f>
        <v>3.951316585109184</v>
      </c>
      <c r="BR163" s="21">
        <f>EXP(-LN(2)/2)*BR162+(1-EXP(-LN(2)/2))/(LN(2)/2)*BL163*BO163*VLOOKUP('Données projet'!$B$11,Paramètres!$A$1:$I$89,3,0)*0.475*44/12</f>
        <v>1.1897240553358656E-14</v>
      </c>
      <c r="BS163" s="22">
        <f t="shared" si="169"/>
        <v>21.347356950382423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287.85577846762465</v>
      </c>
      <c r="S164" s="59">
        <f ca="1">AVERAGE(OFFSET($R$3,0,0,'Données projet'!$E$9+1,1))-AVERAGE(OFFSET($H$3,0,0,'Données projet'!$E$9+1,1))</f>
        <v>507.66185230065889</v>
      </c>
      <c r="T164" s="59">
        <f t="shared" si="142"/>
        <v>640.14375617778342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50.306304387921642</v>
      </c>
      <c r="AA164" s="21">
        <f>EXP(-LN(2)/25)*AA163+(1-EXP(-LN(2)/25))/(LN(2)/25)*Calculateur!V164*Calculateur!X164*VLOOKUP('Données projet'!$B$9,Paramètres!$A$1:$I$89,3,0)*0.475*44/12</f>
        <v>1.5513507583586723</v>
      </c>
      <c r="AB164" s="21">
        <f>EXP(-LN(2)/2)*AB163+(1-EXP(-LN(2)/2))/(LN(2)/2)*V164*Y164*VLOOKUP('Données projet'!$B$9,Paramètres!$A$1:$I$89,3,0)*0.475*44/12</f>
        <v>1.7674703777685101E-17</v>
      </c>
      <c r="AC164" s="22">
        <f t="shared" si="163"/>
        <v>51.857655146280315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-1.5961632016114892E-13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332.74717458063787</v>
      </c>
      <c r="AO164" s="59">
        <f t="shared" si="144"/>
        <v>408.69087885751878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34.994837120557534</v>
      </c>
      <c r="AV164" s="21">
        <f>EXP(-LN(2)/25)*AV163+(1-EXP(-LN(2)/25))/(LN(2)/25)*Calculateur!AQ164*Calculateur!AS164*VLOOKUP('Données projet'!$B$10,Paramètres!$A$1:$I$89,3,0)*0.475*44/12</f>
        <v>1.7762662231792574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36.77110334373679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1.9895196601282805E-13</v>
      </c>
      <c r="BE164" s="13">
        <f>BD164*VLOOKUP('Données projet'!$B$11,Paramètres!$A$1:$I$89,3,0)*VLOOKUP('Données projet'!$B$11,Paramètres!$A$1:$I$89,5,0)</f>
        <v>1.738044375088066E-13</v>
      </c>
      <c r="BF164" s="13">
        <f t="shared" si="167"/>
        <v>2.4483293633950478E-12</v>
      </c>
      <c r="BG164" s="20">
        <f t="shared" si="168"/>
        <v>4.566883036574213E-12</v>
      </c>
      <c r="BH164" s="59">
        <f t="shared" si="116"/>
        <v>287.85577846762425</v>
      </c>
      <c r="BI164" s="59">
        <f ca="1">AVERAGE(OFFSET($BH$3,0,0,'Données projet'!$E$11+1,1))-AVERAGE(OFFSET($H$3,0,0,'Données projet'!$E$11+1,1))</f>
        <v>341.62910675299065</v>
      </c>
      <c r="BJ164" s="59">
        <f t="shared" si="146"/>
        <v>407.15938341104709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17.054914624247139</v>
      </c>
      <c r="BQ164" s="21">
        <f>EXP(-LN(2)/25)*BQ163+(1-EXP(-LN(2)/25))/(LN(2)/25)*Calculateur!BL164*Calculateur!BN164*VLOOKUP('Données projet'!$B$11,Paramètres!$A$1:$I$89,3,0)*0.475*44/12</f>
        <v>3.8432676252986648</v>
      </c>
      <c r="BR164" s="21">
        <f>EXP(-LN(2)/2)*BR163+(1-EXP(-LN(2)/2))/(LN(2)/2)*BL164*BO164*VLOOKUP('Données projet'!$B$11,Paramètres!$A$1:$I$89,3,0)*0.475*44/12</f>
        <v>8.4126194726874983E-15</v>
      </c>
      <c r="BS164" s="22">
        <f t="shared" si="169"/>
        <v>20.898182249545812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287.95080179856666</v>
      </c>
      <c r="S165" s="59">
        <f ca="1">AVERAGE(OFFSET($R$3,0,0,'Données projet'!$E$9+1,1))-AVERAGE(OFFSET($H$3,0,0,'Données projet'!$E$9+1,1))</f>
        <v>507.66185230065889</v>
      </c>
      <c r="T165" s="59">
        <f t="shared" si="142"/>
        <v>640.14375617778342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49.319828442690401</v>
      </c>
      <c r="AA165" s="21">
        <f>EXP(-LN(2)/25)*AA164+(1-EXP(-LN(2)/25))/(LN(2)/25)*Calculateur!V165*Calculateur!X165*VLOOKUP('Données projet'!$B$9,Paramètres!$A$1:$I$89,3,0)*0.475*44/12</f>
        <v>1.5089289902893637</v>
      </c>
      <c r="AB165" s="21">
        <f>EXP(-LN(2)/2)*AB164+(1-EXP(-LN(2)/2))/(LN(2)/2)*V165*Y165*VLOOKUP('Données projet'!$B$9,Paramètres!$A$1:$I$89,3,0)*0.475*44/12</f>
        <v>1.2497902896664624E-17</v>
      </c>
      <c r="AC165" s="22">
        <f t="shared" si="163"/>
        <v>50.828757432979764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-1.5961632016114892E-13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332.74717458063787</v>
      </c>
      <c r="AO165" s="59">
        <f t="shared" si="144"/>
        <v>408.69087885751878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34.308609709366429</v>
      </c>
      <c r="AV165" s="21">
        <f>EXP(-LN(2)/25)*AV164+(1-EXP(-LN(2)/25))/(LN(2)/25)*Calculateur!AQ165*Calculateur!AS165*VLOOKUP('Données projet'!$B$10,Paramètres!$A$1:$I$89,3,0)*0.475*44/12</f>
        <v>1.7276941298966397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36.03630383926307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1.9895196601282805E-13</v>
      </c>
      <c r="BE165" s="13">
        <f>BD165*VLOOKUP('Données projet'!$B$11,Paramètres!$A$1:$I$89,3,0)*VLOOKUP('Données projet'!$B$11,Paramètres!$A$1:$I$89,5,0)</f>
        <v>1.738044375088066E-13</v>
      </c>
      <c r="BF165" s="13">
        <f t="shared" si="167"/>
        <v>2.4483293633950478E-12</v>
      </c>
      <c r="BG165" s="20">
        <f t="shared" si="168"/>
        <v>4.566883036574213E-12</v>
      </c>
      <c r="BH165" s="59">
        <f t="shared" si="116"/>
        <v>287.95080179856626</v>
      </c>
      <c r="BI165" s="59">
        <f ca="1">AVERAGE(OFFSET($BH$3,0,0,'Données projet'!$E$11+1,1))-AVERAGE(OFFSET($H$3,0,0,'Données projet'!$E$11+1,1))</f>
        <v>341.62910675299065</v>
      </c>
      <c r="BJ165" s="59">
        <f t="shared" si="146"/>
        <v>407.15938341104709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16.720478150936415</v>
      </c>
      <c r="BQ165" s="21">
        <f>EXP(-LN(2)/25)*BQ164+(1-EXP(-LN(2)/25))/(LN(2)/25)*Calculateur!BL165*Calculateur!BN165*VLOOKUP('Données projet'!$B$11,Paramètres!$A$1:$I$89,3,0)*0.475*44/12</f>
        <v>3.7381732699762122</v>
      </c>
      <c r="BR165" s="21">
        <f>EXP(-LN(2)/2)*BR164+(1-EXP(-LN(2)/2))/(LN(2)/2)*BL165*BO165*VLOOKUP('Données projet'!$B$11,Paramètres!$A$1:$I$89,3,0)*0.475*44/12</f>
        <v>5.9486202766793278E-15</v>
      </c>
      <c r="BS165" s="22">
        <f t="shared" si="169"/>
        <v>20.458651420912634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288.04417668715718</v>
      </c>
      <c r="S166" s="59">
        <f ca="1">AVERAGE(OFFSET($R$3,0,0,'Données projet'!$E$9+1,1))-AVERAGE(OFFSET($H$3,0,0,'Données projet'!$E$9+1,1))</f>
        <v>507.66185230065889</v>
      </c>
      <c r="T166" s="59">
        <f t="shared" si="142"/>
        <v>640.14375617778342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48.352696689054227</v>
      </c>
      <c r="AA166" s="21">
        <f>EXP(-LN(2)/25)*AA165+(1-EXP(-LN(2)/25))/(LN(2)/25)*Calculateur!V166*Calculateur!X166*VLOOKUP('Données projet'!$B$9,Paramètres!$A$1:$I$89,3,0)*0.475*44/12</f>
        <v>1.4676672476987742</v>
      </c>
      <c r="AB166" s="21">
        <f>EXP(-LN(2)/2)*AB165+(1-EXP(-LN(2)/2))/(LN(2)/2)*V166*Y166*VLOOKUP('Données projet'!$B$9,Paramètres!$A$1:$I$89,3,0)*0.475*44/12</f>
        <v>8.8373518888425505E-18</v>
      </c>
      <c r="AC166" s="22">
        <f t="shared" si="163"/>
        <v>49.820363936753004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-1.5961632016114892E-13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332.74717458063787</v>
      </c>
      <c r="AO166" s="59">
        <f t="shared" si="144"/>
        <v>408.69087885751878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33.635838799151387</v>
      </c>
      <c r="AV166" s="21">
        <f>EXP(-LN(2)/25)*AV165+(1-EXP(-LN(2)/25))/(LN(2)/25)*Calculateur!AQ166*Calculateur!AS166*VLOOKUP('Données projet'!$B$10,Paramètres!$A$1:$I$89,3,0)*0.475*44/12</f>
        <v>1.6804502430591306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35.316289042210514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1.9895196601282805E-13</v>
      </c>
      <c r="BE166" s="13">
        <f>BD166*VLOOKUP('Données projet'!$B$11,Paramètres!$A$1:$I$89,3,0)*VLOOKUP('Données projet'!$B$11,Paramètres!$A$1:$I$89,5,0)</f>
        <v>1.738044375088066E-13</v>
      </c>
      <c r="BF166" s="13">
        <f t="shared" si="167"/>
        <v>2.4483293633950478E-12</v>
      </c>
      <c r="BG166" s="20">
        <f t="shared" si="168"/>
        <v>4.566883036574213E-12</v>
      </c>
      <c r="BH166" s="59">
        <f t="shared" si="116"/>
        <v>288.04417668715678</v>
      </c>
      <c r="BI166" s="59">
        <f ca="1">AVERAGE(OFFSET($BH$3,0,0,'Données projet'!$E$11+1,1))-AVERAGE(OFFSET($H$3,0,0,'Données projet'!$E$11+1,1))</f>
        <v>341.62910675299065</v>
      </c>
      <c r="BJ166" s="59">
        <f t="shared" si="146"/>
        <v>407.15938341104709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16.392599772881209</v>
      </c>
      <c r="BQ166" s="21">
        <f>EXP(-LN(2)/25)*BQ165+(1-EXP(-LN(2)/25))/(LN(2)/25)*Calculateur!BL166*Calculateur!BN166*VLOOKUP('Données projet'!$B$11,Paramètres!$A$1:$I$89,3,0)*0.475*44/12</f>
        <v>3.6359527253267241</v>
      </c>
      <c r="BR166" s="21">
        <f>EXP(-LN(2)/2)*BR165+(1-EXP(-LN(2)/2))/(LN(2)/2)*BL166*BO166*VLOOKUP('Données projet'!$B$11,Paramètres!$A$1:$I$89,3,0)*0.475*44/12</f>
        <v>4.2063097363437492E-15</v>
      </c>
      <c r="BS166" s="22">
        <f t="shared" si="169"/>
        <v>20.028552498207937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288.13593173018563</v>
      </c>
      <c r="S167" s="59">
        <f ca="1">AVERAGE(OFFSET($R$3,0,0,'Données projet'!$E$9+1,1))-AVERAGE(OFFSET($H$3,0,0,'Données projet'!$E$9+1,1))</f>
        <v>507.66185230065889</v>
      </c>
      <c r="T167" s="59">
        <f t="shared" si="142"/>
        <v>640.14375617778342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47.404529799214735</v>
      </c>
      <c r="AA167" s="21">
        <f>EXP(-LN(2)/25)*AA166+(1-EXP(-LN(2)/25))/(LN(2)/25)*Calculateur!V167*Calculateur!X167*VLOOKUP('Données projet'!$B$9,Paramètres!$A$1:$I$89,3,0)*0.475*44/12</f>
        <v>1.427533809629185</v>
      </c>
      <c r="AB167" s="21">
        <f>EXP(-LN(2)/2)*AB166+(1-EXP(-LN(2)/2))/(LN(2)/2)*V167*Y167*VLOOKUP('Données projet'!$B$9,Paramètres!$A$1:$I$89,3,0)*0.475*44/12</f>
        <v>6.2489514483323118E-18</v>
      </c>
      <c r="AC167" s="22">
        <f t="shared" si="163"/>
        <v>48.832063608843917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-1.5961632016114892E-13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332.74717458063787</v>
      </c>
      <c r="AO167" s="59">
        <f t="shared" si="144"/>
        <v>408.69087885751878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32.976260516135923</v>
      </c>
      <c r="AV167" s="21">
        <f>EXP(-LN(2)/25)*AV166+(1-EXP(-LN(2)/25))/(LN(2)/25)*Calculateur!AQ167*Calculateur!AS167*VLOOKUP('Données projet'!$B$10,Paramètres!$A$1:$I$89,3,0)*0.475*44/12</f>
        <v>1.634498242791641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34.610758758927567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1.9895196601282805E-13</v>
      </c>
      <c r="BE167" s="13">
        <f>BD167*VLOOKUP('Données projet'!$B$11,Paramètres!$A$1:$I$89,3,0)*VLOOKUP('Données projet'!$B$11,Paramètres!$A$1:$I$89,5,0)</f>
        <v>1.738044375088066E-13</v>
      </c>
      <c r="BF167" s="13">
        <f t="shared" si="167"/>
        <v>2.4483293633950478E-12</v>
      </c>
      <c r="BG167" s="20">
        <f t="shared" si="168"/>
        <v>4.566883036574213E-12</v>
      </c>
      <c r="BH167" s="59">
        <f t="shared" si="116"/>
        <v>288.13593173018523</v>
      </c>
      <c r="BI167" s="59">
        <f ca="1">AVERAGE(OFFSET($BH$3,0,0,'Données projet'!$E$11+1,1))-AVERAGE(OFFSET($H$3,0,0,'Données projet'!$E$11+1,1))</f>
        <v>341.62910675299065</v>
      </c>
      <c r="BJ167" s="59">
        <f t="shared" si="146"/>
        <v>407.15938341104709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16.0711508898336</v>
      </c>
      <c r="BQ167" s="21">
        <f>EXP(-LN(2)/25)*BQ166+(1-EXP(-LN(2)/25))/(LN(2)/25)*Calculateur!BL167*Calculateur!BN167*VLOOKUP('Données projet'!$B$11,Paramètres!$A$1:$I$89,3,0)*0.475*44/12</f>
        <v>3.5365274068462211</v>
      </c>
      <c r="BR167" s="21">
        <f>EXP(-LN(2)/2)*BR166+(1-EXP(-LN(2)/2))/(LN(2)/2)*BL167*BO167*VLOOKUP('Données projet'!$B$11,Paramètres!$A$1:$I$89,3,0)*0.475*44/12</f>
        <v>2.9743101383396639E-15</v>
      </c>
      <c r="BS167" s="22">
        <f t="shared" si="169"/>
        <v>19.607678296679826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288.2260950283511</v>
      </c>
      <c r="S168" s="59">
        <f ca="1">AVERAGE(OFFSET($R$3,0,0,'Données projet'!$E$9+1,1))-AVERAGE(OFFSET($H$3,0,0,'Données projet'!$E$9+1,1))</f>
        <v>507.66185230065889</v>
      </c>
      <c r="T168" s="59">
        <f t="shared" si="142"/>
        <v>640.14375617778342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46.474955883760302</v>
      </c>
      <c r="AA168" s="21">
        <f>EXP(-LN(2)/25)*AA167+(1-EXP(-LN(2)/25))/(LN(2)/25)*Calculateur!V168*Calculateur!X168*VLOOKUP('Données projet'!$B$9,Paramètres!$A$1:$I$89,3,0)*0.475*44/12</f>
        <v>1.3884978225341345</v>
      </c>
      <c r="AB168" s="21">
        <f>EXP(-LN(2)/2)*AB167+(1-EXP(-LN(2)/2))/(LN(2)/2)*V168*Y168*VLOOKUP('Données projet'!$B$9,Paramètres!$A$1:$I$89,3,0)*0.475*44/12</f>
        <v>4.4186759444212752E-18</v>
      </c>
      <c r="AC168" s="22">
        <f t="shared" si="163"/>
        <v>47.863453706294436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-1.5961632016114892E-13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332.74717458063787</v>
      </c>
      <c r="AO168" s="59">
        <f t="shared" si="144"/>
        <v>408.69087885751878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32.329616160947367</v>
      </c>
      <c r="AV168" s="21">
        <f>EXP(-LN(2)/25)*AV167+(1-EXP(-LN(2)/25))/(LN(2)/25)*Calculateur!AQ168*Calculateur!AS168*VLOOKUP('Données projet'!$B$10,Paramètres!$A$1:$I$89,3,0)*0.475*44/12</f>
        <v>1.5898028023879767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33.919418963335346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1.9895196601282805E-13</v>
      </c>
      <c r="BE168" s="13">
        <f>BD168*VLOOKUP('Données projet'!$B$11,Paramètres!$A$1:$I$89,3,0)*VLOOKUP('Données projet'!$B$11,Paramètres!$A$1:$I$89,5,0)</f>
        <v>1.738044375088066E-13</v>
      </c>
      <c r="BF168" s="13">
        <f t="shared" si="167"/>
        <v>2.4483293633950478E-12</v>
      </c>
      <c r="BG168" s="20">
        <f t="shared" si="168"/>
        <v>4.566883036574213E-12</v>
      </c>
      <c r="BH168" s="59">
        <f t="shared" si="116"/>
        <v>288.2260950283507</v>
      </c>
      <c r="BI168" s="59">
        <f ca="1">AVERAGE(OFFSET($BH$3,0,0,'Données projet'!$E$11+1,1))-AVERAGE(OFFSET($H$3,0,0,'Données projet'!$E$11+1,1))</f>
        <v>341.62910675299065</v>
      </c>
      <c r="BJ168" s="59">
        <f t="shared" si="146"/>
        <v>407.15938341104709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15.756005423318095</v>
      </c>
      <c r="BQ168" s="21">
        <f>EXP(-LN(2)/25)*BQ167+(1-EXP(-LN(2)/25))/(LN(2)/25)*Calculateur!BL168*Calculateur!BN168*VLOOKUP('Données projet'!$B$11,Paramètres!$A$1:$I$89,3,0)*0.475*44/12</f>
        <v>3.4398208789281179</v>
      </c>
      <c r="BR168" s="21">
        <f>EXP(-LN(2)/2)*BR167+(1-EXP(-LN(2)/2))/(LN(2)/2)*BL168*BO168*VLOOKUP('Données projet'!$B$11,Paramètres!$A$1:$I$89,3,0)*0.475*44/12</f>
        <v>2.1031548681718746E-15</v>
      </c>
      <c r="BS168" s="22">
        <f t="shared" si="169"/>
        <v>19.195826302246218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288.31469419486837</v>
      </c>
      <c r="S169" s="59">
        <f ca="1">AVERAGE(OFFSET($R$3,0,0,'Données projet'!$E$9+1,1))-AVERAGE(OFFSET($H$3,0,0,'Données projet'!$E$9+1,1))</f>
        <v>507.66185230065889</v>
      </c>
      <c r="T169" s="59">
        <f t="shared" si="142"/>
        <v>640.14375617778342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45.563610345803824</v>
      </c>
      <c r="AA169" s="21">
        <f>EXP(-LN(2)/25)*AA168+(1-EXP(-LN(2)/25))/(LN(2)/25)*Calculateur!V169*Calculateur!X169*VLOOKUP('Données projet'!$B$9,Paramètres!$A$1:$I$89,3,0)*0.475*44/12</f>
        <v>1.3505292765590116</v>
      </c>
      <c r="AB169" s="21">
        <f>EXP(-LN(2)/2)*AB168+(1-EXP(-LN(2)/2))/(LN(2)/2)*V169*Y169*VLOOKUP('Données projet'!$B$9,Paramètres!$A$1:$I$89,3,0)*0.475*44/12</f>
        <v>3.1244757241661559E-18</v>
      </c>
      <c r="AC169" s="22">
        <f t="shared" si="163"/>
        <v>46.914139622362832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-1.5961632016114892E-13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332.74717458063787</v>
      </c>
      <c r="AO169" s="59">
        <f t="shared" si="144"/>
        <v>408.69087885751878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31.695652107149947</v>
      </c>
      <c r="AV169" s="21">
        <f>EXP(-LN(2)/25)*AV168+(1-EXP(-LN(2)/25))/(LN(2)/25)*Calculateur!AQ169*Calculateur!AS169*VLOOKUP('Données projet'!$B$10,Paramètres!$A$1:$I$89,3,0)*0.475*44/12</f>
        <v>1.5463295611525816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33.241981668302529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1.9895196601282805E-13</v>
      </c>
      <c r="BE169" s="13">
        <f>BD169*VLOOKUP('Données projet'!$B$11,Paramètres!$A$1:$I$89,3,0)*VLOOKUP('Données projet'!$B$11,Paramètres!$A$1:$I$89,5,0)</f>
        <v>1.738044375088066E-13</v>
      </c>
      <c r="BF169" s="13">
        <f t="shared" si="167"/>
        <v>2.4483293633950478E-12</v>
      </c>
      <c r="BG169" s="20">
        <f t="shared" si="168"/>
        <v>4.566883036574213E-12</v>
      </c>
      <c r="BH169" s="59">
        <f t="shared" si="116"/>
        <v>288.31469419486797</v>
      </c>
      <c r="BI169" s="59">
        <f ca="1">AVERAGE(OFFSET($BH$3,0,0,'Données projet'!$E$11+1,1))-AVERAGE(OFFSET($H$3,0,0,'Données projet'!$E$11+1,1))</f>
        <v>341.62910675299065</v>
      </c>
      <c r="BJ169" s="59">
        <f t="shared" si="146"/>
        <v>407.15938341104709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15.447039767181206</v>
      </c>
      <c r="BQ169" s="21">
        <f>EXP(-LN(2)/25)*BQ168+(1-EXP(-LN(2)/25))/(LN(2)/25)*Calculateur!BL169*Calculateur!BN169*VLOOKUP('Données projet'!$B$11,Paramètres!$A$1:$I$89,3,0)*0.475*44/12</f>
        <v>3.3457587961015105</v>
      </c>
      <c r="BR169" s="21">
        <f>EXP(-LN(2)/2)*BR168+(1-EXP(-LN(2)/2))/(LN(2)/2)*BL169*BO169*VLOOKUP('Données projet'!$B$11,Paramètres!$A$1:$I$89,3,0)*0.475*44/12</f>
        <v>1.487155069169832E-15</v>
      </c>
      <c r="BS169" s="22">
        <f t="shared" si="169"/>
        <v>18.792798563282716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288.40175636392456</v>
      </c>
      <c r="S170" s="59">
        <f ca="1">AVERAGE(OFFSET($R$3,0,0,'Données projet'!$E$9+1,1))-AVERAGE(OFFSET($H$3,0,0,'Données projet'!$E$9+1,1))</f>
        <v>507.66185230065889</v>
      </c>
      <c r="T170" s="59">
        <f t="shared" si="142"/>
        <v>640.14375617778342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44.670135737980786</v>
      </c>
      <c r="AA170" s="21">
        <f>EXP(-LN(2)/25)*AA169+(1-EXP(-LN(2)/25))/(LN(2)/25)*Calculateur!V170*Calculateur!X170*VLOOKUP('Données projet'!$B$9,Paramètres!$A$1:$I$89,3,0)*0.475*44/12</f>
        <v>1.3135989824702574</v>
      </c>
      <c r="AB170" s="21">
        <f>EXP(-LN(2)/2)*AB169+(1-EXP(-LN(2)/2))/(LN(2)/2)*V170*Y170*VLOOKUP('Données projet'!$B$9,Paramètres!$A$1:$I$89,3,0)*0.475*44/12</f>
        <v>2.2093379722106376E-18</v>
      </c>
      <c r="AC170" s="22">
        <f t="shared" si="163"/>
        <v>45.983734720451046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-1.5961632016114892E-13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332.74717458063787</v>
      </c>
      <c r="AO170" s="59">
        <f t="shared" si="144"/>
        <v>408.69087885751878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31.0741197017676</v>
      </c>
      <c r="AV170" s="21">
        <f>EXP(-LN(2)/25)*AV169+(1-EXP(-LN(2)/25))/(LN(2)/25)*Calculateur!AQ170*Calculateur!AS170*VLOOKUP('Données projet'!$B$10,Paramètres!$A$1:$I$89,3,0)*0.475*44/12</f>
        <v>1.5040450979849267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32.578164799752528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1.9895196601282805E-13</v>
      </c>
      <c r="BE170" s="13">
        <f>BD170*VLOOKUP('Données projet'!$B$11,Paramètres!$A$1:$I$89,3,0)*VLOOKUP('Données projet'!$B$11,Paramètres!$A$1:$I$89,5,0)</f>
        <v>1.738044375088066E-13</v>
      </c>
      <c r="BF170" s="13">
        <f t="shared" si="167"/>
        <v>2.4483293633950478E-12</v>
      </c>
      <c r="BG170" s="20">
        <f t="shared" si="168"/>
        <v>4.566883036574213E-12</v>
      </c>
      <c r="BH170" s="59">
        <f t="shared" si="116"/>
        <v>288.40175636392416</v>
      </c>
      <c r="BI170" s="59">
        <f ca="1">AVERAGE(OFFSET($BH$3,0,0,'Données projet'!$E$11+1,1))-AVERAGE(OFFSET($H$3,0,0,'Données projet'!$E$11+1,1))</f>
        <v>341.62910675299065</v>
      </c>
      <c r="BJ170" s="59">
        <f t="shared" si="146"/>
        <v>407.15938341104709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15.144132739110718</v>
      </c>
      <c r="BQ170" s="21">
        <f>EXP(-LN(2)/25)*BQ169+(1-EXP(-LN(2)/25))/(LN(2)/25)*Calculateur!BL170*Calculateur!BN170*VLOOKUP('Données projet'!$B$11,Paramètres!$A$1:$I$89,3,0)*0.475*44/12</f>
        <v>3.2542688458763065</v>
      </c>
      <c r="BR170" s="21">
        <f>EXP(-LN(2)/2)*BR169+(1-EXP(-LN(2)/2))/(LN(2)/2)*BL170*BO170*VLOOKUP('Données projet'!$B$11,Paramètres!$A$1:$I$89,3,0)*0.475*44/12</f>
        <v>1.0515774340859373E-15</v>
      </c>
      <c r="BS170" s="22">
        <f t="shared" si="169"/>
        <v>18.398401584987024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288.48730819898947</v>
      </c>
      <c r="S171" s="59">
        <f ca="1">AVERAGE(OFFSET($R$3,0,0,'Données projet'!$E$9+1,1))-AVERAGE(OFFSET($H$3,0,0,'Données projet'!$E$9+1,1))</f>
        <v>507.66185230065889</v>
      </c>
      <c r="T171" s="59">
        <f t="shared" si="142"/>
        <v>640.14375617778342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43.794181622251457</v>
      </c>
      <c r="AA171" s="21">
        <f>EXP(-LN(2)/25)*AA170+(1-EXP(-LN(2)/25))/(LN(2)/25)*Calculateur!V171*Calculateur!X171*VLOOKUP('Données projet'!$B$9,Paramètres!$A$1:$I$89,3,0)*0.475*44/12</f>
        <v>1.2776785492154401</v>
      </c>
      <c r="AB171" s="21">
        <f>EXP(-LN(2)/2)*AB170+(1-EXP(-LN(2)/2))/(LN(2)/2)*V171*Y171*VLOOKUP('Données projet'!$B$9,Paramètres!$A$1:$I$89,3,0)*0.475*44/12</f>
        <v>1.562237862083078E-18</v>
      </c>
      <c r="AC171" s="22">
        <f t="shared" si="163"/>
        <v>45.071860171466895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-1.5961632016114892E-13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332.74717458063787</v>
      </c>
      <c r="AO171" s="59">
        <f t="shared" si="144"/>
        <v>408.69087885751878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30.46477516775747</v>
      </c>
      <c r="AV171" s="21">
        <f>EXP(-LN(2)/25)*AV170+(1-EXP(-LN(2)/25))/(LN(2)/25)*Calculateur!AQ171*Calculateur!AS171*VLOOKUP('Données projet'!$B$10,Paramètres!$A$1:$I$89,3,0)*0.475*44/12</f>
        <v>1.4629169056862348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31.927692073443705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1.9895196601282805E-13</v>
      </c>
      <c r="BE171" s="13">
        <f>BD171*VLOOKUP('Données projet'!$B$11,Paramètres!$A$1:$I$89,3,0)*VLOOKUP('Données projet'!$B$11,Paramètres!$A$1:$I$89,5,0)</f>
        <v>1.738044375088066E-13</v>
      </c>
      <c r="BF171" s="13">
        <f t="shared" si="167"/>
        <v>2.4483293633950478E-12</v>
      </c>
      <c r="BG171" s="20">
        <f t="shared" si="168"/>
        <v>4.566883036574213E-12</v>
      </c>
      <c r="BH171" s="59">
        <f t="shared" si="116"/>
        <v>288.48730819898907</v>
      </c>
      <c r="BI171" s="59">
        <f ca="1">AVERAGE(OFFSET($BH$3,0,0,'Données projet'!$E$11+1,1))-AVERAGE(OFFSET($H$3,0,0,'Données projet'!$E$11+1,1))</f>
        <v>341.62910675299065</v>
      </c>
      <c r="BJ171" s="59">
        <f t="shared" si="146"/>
        <v>407.15938341104709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14.847165533105649</v>
      </c>
      <c r="BQ171" s="21">
        <f>EXP(-LN(2)/25)*BQ170+(1-EXP(-LN(2)/25))/(LN(2)/25)*Calculateur!BL171*Calculateur!BN171*VLOOKUP('Données projet'!$B$11,Paramètres!$A$1:$I$89,3,0)*0.475*44/12</f>
        <v>3.1652806931512578</v>
      </c>
      <c r="BR171" s="21">
        <f>EXP(-LN(2)/2)*BR170+(1-EXP(-LN(2)/2))/(LN(2)/2)*BL171*BO171*VLOOKUP('Données projet'!$B$11,Paramètres!$A$1:$I$89,3,0)*0.475*44/12</f>
        <v>7.4357753458491598E-16</v>
      </c>
      <c r="BS171" s="22">
        <f t="shared" si="169"/>
        <v>18.012446226256905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288.57137590098137</v>
      </c>
      <c r="S172" s="59">
        <f ca="1">AVERAGE(OFFSET($R$3,0,0,'Données projet'!$E$9+1,1))-AVERAGE(OFFSET($H$3,0,0,'Données projet'!$E$9+1,1))</f>
        <v>507.66185230065889</v>
      </c>
      <c r="T172" s="59">
        <f t="shared" si="142"/>
        <v>640.14375617778342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42.935404432452323</v>
      </c>
      <c r="AA172" s="21">
        <f>EXP(-LN(2)/25)*AA171+(1-EXP(-LN(2)/25))/(LN(2)/25)*Calculateur!V172*Calculateur!X172*VLOOKUP('Données projet'!$B$9,Paramètres!$A$1:$I$89,3,0)*0.475*44/12</f>
        <v>1.2427403620969493</v>
      </c>
      <c r="AB172" s="21">
        <f>EXP(-LN(2)/2)*AB171+(1-EXP(-LN(2)/2))/(LN(2)/2)*V172*Y172*VLOOKUP('Données projet'!$B$9,Paramètres!$A$1:$I$89,3,0)*0.475*44/12</f>
        <v>1.1046689861053188E-18</v>
      </c>
      <c r="AC172" s="22">
        <f t="shared" si="163"/>
        <v>44.178144794549269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-1.5961632016114892E-13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332.74717458063787</v>
      </c>
      <c r="AO172" s="59">
        <f t="shared" si="144"/>
        <v>408.69087885751878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29.86737950839581</v>
      </c>
      <c r="AV172" s="21">
        <f>EXP(-LN(2)/25)*AV171+(1-EXP(-LN(2)/25))/(LN(2)/25)*Calculateur!AQ172*Calculateur!AS172*VLOOKUP('Données projet'!$B$10,Paramètres!$A$1:$I$89,3,0)*0.475*44/12</f>
        <v>1.4229133659687883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31.290292874364599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1.9895196601282805E-13</v>
      </c>
      <c r="BE172" s="13">
        <f>BD172*VLOOKUP('Données projet'!$B$11,Paramètres!$A$1:$I$89,3,0)*VLOOKUP('Données projet'!$B$11,Paramètres!$A$1:$I$89,5,0)</f>
        <v>1.738044375088066E-13</v>
      </c>
      <c r="BF172" s="13">
        <f t="shared" si="167"/>
        <v>2.4483293633950478E-12</v>
      </c>
      <c r="BG172" s="20">
        <f t="shared" si="168"/>
        <v>4.566883036574213E-12</v>
      </c>
      <c r="BH172" s="59">
        <f t="shared" si="116"/>
        <v>288.57137590098097</v>
      </c>
      <c r="BI172" s="59">
        <f ca="1">AVERAGE(OFFSET($BH$3,0,0,'Données projet'!$E$11+1,1))-AVERAGE(OFFSET($H$3,0,0,'Données projet'!$E$11+1,1))</f>
        <v>341.62910675299065</v>
      </c>
      <c r="BJ172" s="59">
        <f t="shared" si="146"/>
        <v>407.15938341104709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14.556021672878229</v>
      </c>
      <c r="BQ172" s="21">
        <f>EXP(-LN(2)/25)*BQ171+(1-EXP(-LN(2)/25))/(LN(2)/25)*Calculateur!BL172*Calculateur!BN172*VLOOKUP('Données projet'!$B$11,Paramètres!$A$1:$I$89,3,0)*0.475*44/12</f>
        <v>3.0787259261421593</v>
      </c>
      <c r="BR172" s="21">
        <f>EXP(-LN(2)/2)*BR171+(1-EXP(-LN(2)/2))/(LN(2)/2)*BL172*BO172*VLOOKUP('Données projet'!$B$11,Paramètres!$A$1:$I$89,3,0)*0.475*44/12</f>
        <v>5.2578871704296865E-16</v>
      </c>
      <c r="BS172" s="22">
        <f t="shared" si="169"/>
        <v>17.63474759902039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288.65398521629083</v>
      </c>
      <c r="S173" s="59">
        <f ca="1">AVERAGE(OFFSET($R$3,0,0,'Données projet'!$E$9+1,1))-AVERAGE(OFFSET($H$3,0,0,'Données projet'!$E$9+1,1))</f>
        <v>507.66185230065889</v>
      </c>
      <c r="T173" s="59">
        <f t="shared" si="142"/>
        <v>640.14375617778342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42.093467339542784</v>
      </c>
      <c r="AA173" s="21">
        <f>EXP(-LN(2)/25)*AA172+(1-EXP(-LN(2)/25))/(LN(2)/25)*Calculateur!V173*Calculateur!X173*VLOOKUP('Données projet'!$B$9,Paramètres!$A$1:$I$89,3,0)*0.475*44/12</f>
        <v>1.2087575615425328</v>
      </c>
      <c r="AB173" s="21">
        <f>EXP(-LN(2)/2)*AB172+(1-EXP(-LN(2)/2))/(LN(2)/2)*V173*Y173*VLOOKUP('Données projet'!$B$9,Paramètres!$A$1:$I$89,3,0)*0.475*44/12</f>
        <v>7.8111893104153898E-19</v>
      </c>
      <c r="AC173" s="22">
        <f t="shared" si="163"/>
        <v>43.302224901085317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-1.5961632016114892E-13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332.74717458063787</v>
      </c>
      <c r="AO173" s="59">
        <f t="shared" si="144"/>
        <v>408.69087885751878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29.281698413538859</v>
      </c>
      <c r="AV173" s="21">
        <f>EXP(-LN(2)/25)*AV172+(1-EXP(-LN(2)/25))/(LN(2)/25)*Calculateur!AQ173*Calculateur!AS173*VLOOKUP('Données projet'!$B$10,Paramètres!$A$1:$I$89,3,0)*0.475*44/12</f>
        <v>1.3840037251486099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30.665702138687468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1.9895196601282805E-13</v>
      </c>
      <c r="BE173" s="13">
        <f>BD173*VLOOKUP('Données projet'!$B$11,Paramètres!$A$1:$I$89,3,0)*VLOOKUP('Données projet'!$B$11,Paramètres!$A$1:$I$89,5,0)</f>
        <v>1.738044375088066E-13</v>
      </c>
      <c r="BF173" s="13">
        <f t="shared" si="167"/>
        <v>2.4483293633950478E-12</v>
      </c>
      <c r="BG173" s="20">
        <f t="shared" si="168"/>
        <v>4.566883036574213E-12</v>
      </c>
      <c r="BH173" s="59">
        <f t="shared" si="116"/>
        <v>288.65398521629044</v>
      </c>
      <c r="BI173" s="59">
        <f ca="1">AVERAGE(OFFSET($BH$3,0,0,'Données projet'!$E$11+1,1))-AVERAGE(OFFSET($H$3,0,0,'Données projet'!$E$11+1,1))</f>
        <v>341.62910675299065</v>
      </c>
      <c r="BJ173" s="59">
        <f t="shared" si="146"/>
        <v>407.15938341104709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14.270586966169649</v>
      </c>
      <c r="BQ173" s="21">
        <f>EXP(-LN(2)/25)*BQ172+(1-EXP(-LN(2)/25))/(LN(2)/25)*Calculateur!BL173*Calculateur!BN173*VLOOKUP('Données projet'!$B$11,Paramètres!$A$1:$I$89,3,0)*0.475*44/12</f>
        <v>2.9945380037886422</v>
      </c>
      <c r="BR173" s="21">
        <f>EXP(-LN(2)/2)*BR172+(1-EXP(-LN(2)/2))/(LN(2)/2)*BL173*BO173*VLOOKUP('Données projet'!$B$11,Paramètres!$A$1:$I$89,3,0)*0.475*44/12</f>
        <v>3.7178876729245799E-16</v>
      </c>
      <c r="BS173" s="22">
        <f t="shared" si="169"/>
        <v>17.26512496995829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288.73516144466646</v>
      </c>
      <c r="S174" s="59">
        <f ca="1">AVERAGE(OFFSET($R$3,0,0,'Données projet'!$E$9+1,1))-AVERAGE(OFFSET($H$3,0,0,'Données projet'!$E$9+1,1))</f>
        <v>507.66185230065889</v>
      </c>
      <c r="T174" s="59">
        <f t="shared" si="142"/>
        <v>640.14375617778342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41.26804011949428</v>
      </c>
      <c r="AA174" s="21">
        <f>EXP(-LN(2)/25)*AA173+(1-EXP(-LN(2)/25))/(LN(2)/25)*Calculateur!V174*Calculateur!X174*VLOOKUP('Données projet'!$B$9,Paramètres!$A$1:$I$89,3,0)*0.475*44/12</f>
        <v>1.1757040224563546</v>
      </c>
      <c r="AB174" s="21">
        <f>EXP(-LN(2)/2)*AB173+(1-EXP(-LN(2)/2))/(LN(2)/2)*V174*Y174*VLOOKUP('Données projet'!$B$9,Paramètres!$A$1:$I$89,3,0)*0.475*44/12</f>
        <v>5.523344930526594E-19</v>
      </c>
      <c r="AC174" s="22">
        <f t="shared" si="163"/>
        <v>42.443744141950631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-1.5961632016114892E-13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332.74717458063787</v>
      </c>
      <c r="AO174" s="59">
        <f t="shared" si="144"/>
        <v>408.69087885751878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28.707502167721859</v>
      </c>
      <c r="AV174" s="21">
        <f>EXP(-LN(2)/25)*AV173+(1-EXP(-LN(2)/25))/(LN(2)/25)*Calculateur!AQ174*Calculateur!AS174*VLOOKUP('Données projet'!$B$10,Paramètres!$A$1:$I$89,3,0)*0.475*44/12</f>
        <v>1.3461580705028284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30.053660238224687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1.9895196601282805E-13</v>
      </c>
      <c r="BE174" s="13">
        <f>BD174*VLOOKUP('Données projet'!$B$11,Paramètres!$A$1:$I$89,3,0)*VLOOKUP('Données projet'!$B$11,Paramètres!$A$1:$I$89,5,0)</f>
        <v>1.738044375088066E-13</v>
      </c>
      <c r="BF174" s="13">
        <f t="shared" si="167"/>
        <v>2.4483293633950478E-12</v>
      </c>
      <c r="BG174" s="20">
        <f t="shared" si="168"/>
        <v>4.566883036574213E-12</v>
      </c>
      <c r="BH174" s="59">
        <f t="shared" si="116"/>
        <v>288.73516144466606</v>
      </c>
      <c r="BI174" s="59">
        <f ca="1">AVERAGE(OFFSET($BH$3,0,0,'Données projet'!$E$11+1,1))-AVERAGE(OFFSET($H$3,0,0,'Données projet'!$E$11+1,1))</f>
        <v>341.62910675299065</v>
      </c>
      <c r="BJ174" s="59">
        <f t="shared" si="146"/>
        <v>407.15938341104709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13.990749459961643</v>
      </c>
      <c r="BQ174" s="21">
        <f>EXP(-LN(2)/25)*BQ173+(1-EXP(-LN(2)/25))/(LN(2)/25)*Calculateur!BL174*Calculateur!BN174*VLOOKUP('Données projet'!$B$11,Paramètres!$A$1:$I$89,3,0)*0.475*44/12</f>
        <v>2.9126522045991323</v>
      </c>
      <c r="BR174" s="21">
        <f>EXP(-LN(2)/2)*BR173+(1-EXP(-LN(2)/2))/(LN(2)/2)*BL174*BO174*VLOOKUP('Données projet'!$B$11,Paramètres!$A$1:$I$89,3,0)*0.475*44/12</f>
        <v>2.6289435852148432E-16</v>
      </c>
      <c r="BS174" s="22">
        <f t="shared" si="169"/>
        <v>16.903401664560775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288.81492944696259</v>
      </c>
      <c r="S175" s="59">
        <f ca="1">AVERAGE(OFFSET($R$3,0,0,'Données projet'!$E$9+1,1))-AVERAGE(OFFSET($H$3,0,0,'Données projet'!$E$9+1,1))</f>
        <v>507.66185230065889</v>
      </c>
      <c r="T175" s="59">
        <f t="shared" si="142"/>
        <v>640.14375617778342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40.458799023770041</v>
      </c>
      <c r="AA175" s="21">
        <f>EXP(-LN(2)/25)*AA174+(1-EXP(-LN(2)/25))/(LN(2)/25)*Calculateur!V175*Calculateur!X175*VLOOKUP('Données projet'!$B$9,Paramètres!$A$1:$I$89,3,0)*0.475*44/12</f>
        <v>1.1435543341346981</v>
      </c>
      <c r="AB175" s="21">
        <f>EXP(-LN(2)/2)*AB174+(1-EXP(-LN(2)/2))/(LN(2)/2)*V175*Y175*VLOOKUP('Données projet'!$B$9,Paramètres!$A$1:$I$89,3,0)*0.475*44/12</f>
        <v>3.9055946552076949E-19</v>
      </c>
      <c r="AC175" s="22">
        <f t="shared" si="163"/>
        <v>41.60235335790474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-1.5961632016114892E-13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332.74717458063787</v>
      </c>
      <c r="AO175" s="59">
        <f t="shared" si="144"/>
        <v>408.69087885751878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28.144565560060201</v>
      </c>
      <c r="AV175" s="21">
        <f>EXP(-LN(2)/25)*AV174+(1-EXP(-LN(2)/25))/(LN(2)/25)*Calculateur!AQ175*Calculateur!AS175*VLOOKUP('Données projet'!$B$10,Paramètres!$A$1:$I$89,3,0)*0.475*44/12</f>
        <v>1.3093473072735524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29.453912867333752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1.9895196601282805E-13</v>
      </c>
      <c r="BE175" s="13">
        <f>BD175*VLOOKUP('Données projet'!$B$11,Paramètres!$A$1:$I$89,3,0)*VLOOKUP('Données projet'!$B$11,Paramètres!$A$1:$I$89,5,0)</f>
        <v>1.738044375088066E-13</v>
      </c>
      <c r="BF175" s="13">
        <f t="shared" si="167"/>
        <v>2.4483293633950478E-12</v>
      </c>
      <c r="BG175" s="20">
        <f t="shared" si="168"/>
        <v>4.566883036574213E-12</v>
      </c>
      <c r="BH175" s="59">
        <f t="shared" si="116"/>
        <v>288.8149294469622</v>
      </c>
      <c r="BI175" s="59">
        <f ca="1">AVERAGE(OFFSET($BH$3,0,0,'Données projet'!$E$11+1,1))-AVERAGE(OFFSET($H$3,0,0,'Données projet'!$E$11+1,1))</f>
        <v>341.62910675299065</v>
      </c>
      <c r="BJ175" s="59">
        <f t="shared" si="146"/>
        <v>407.15938341104709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13.71639939656635</v>
      </c>
      <c r="BQ175" s="21">
        <f>EXP(-LN(2)/25)*BQ174+(1-EXP(-LN(2)/25))/(LN(2)/25)*Calculateur!BL175*Calculateur!BN175*VLOOKUP('Données projet'!$B$11,Paramètres!$A$1:$I$89,3,0)*0.475*44/12</f>
        <v>2.8330055768946467</v>
      </c>
      <c r="BR175" s="21">
        <f>EXP(-LN(2)/2)*BR174+(1-EXP(-LN(2)/2))/(LN(2)/2)*BL175*BO175*VLOOKUP('Données projet'!$B$11,Paramètres!$A$1:$I$89,3,0)*0.475*44/12</f>
        <v>1.85894383646229E-16</v>
      </c>
      <c r="BS175" s="22">
        <f t="shared" si="169"/>
        <v>16.549404973460998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288.89331365275342</v>
      </c>
      <c r="S176" s="59">
        <f ca="1">AVERAGE(OFFSET($R$3,0,0,'Données projet'!$E$9+1,1))-AVERAGE(OFFSET($H$3,0,0,'Données projet'!$E$9+1,1))</f>
        <v>507.66185230065889</v>
      </c>
      <c r="T176" s="59">
        <f t="shared" si="142"/>
        <v>640.14375617778342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39.665426652344621</v>
      </c>
      <c r="AA176" s="21">
        <f>EXP(-LN(2)/25)*AA175+(1-EXP(-LN(2)/25))/(LN(2)/25)*Calculateur!V176*Calculateur!X176*VLOOKUP('Données projet'!$B$9,Paramètres!$A$1:$I$89,3,0)*0.475*44/12</f>
        <v>1.1122837807308759</v>
      </c>
      <c r="AB176" s="21">
        <f>EXP(-LN(2)/2)*AB175+(1-EXP(-LN(2)/2))/(LN(2)/2)*V176*Y176*VLOOKUP('Données projet'!$B$9,Paramètres!$A$1:$I$89,3,0)*0.475*44/12</f>
        <v>2.761672465263297E-19</v>
      </c>
      <c r="AC176" s="22">
        <f t="shared" si="163"/>
        <v>40.777710433075498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-1.5961632016114892E-13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332.74717458063787</v>
      </c>
      <c r="AO176" s="59">
        <f t="shared" si="144"/>
        <v>408.69087885751878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27.592667795917361</v>
      </c>
      <c r="AV176" s="21">
        <f>EXP(-LN(2)/25)*AV175+(1-EXP(-LN(2)/25))/(LN(2)/25)*Calculateur!AQ176*Calculateur!AS176*VLOOKUP('Données projet'!$B$10,Paramètres!$A$1:$I$89,3,0)*0.475*44/12</f>
        <v>1.2735431363005747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28.866210932217935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1.9895196601282805E-13</v>
      </c>
      <c r="BE176" s="13">
        <f>BD176*VLOOKUP('Données projet'!$B$11,Paramètres!$A$1:$I$89,3,0)*VLOOKUP('Données projet'!$B$11,Paramètres!$A$1:$I$89,5,0)</f>
        <v>1.738044375088066E-13</v>
      </c>
      <c r="BF176" s="13">
        <f t="shared" si="167"/>
        <v>2.4483293633950478E-12</v>
      </c>
      <c r="BG176" s="20">
        <f t="shared" si="168"/>
        <v>4.566883036574213E-12</v>
      </c>
      <c r="BH176" s="59">
        <f t="shared" si="116"/>
        <v>288.89331365275302</v>
      </c>
      <c r="BI176" s="59">
        <f ca="1">AVERAGE(OFFSET($BH$3,0,0,'Données projet'!$E$11+1,1))-AVERAGE(OFFSET($H$3,0,0,'Données projet'!$E$11+1,1))</f>
        <v>341.62910675299065</v>
      </c>
      <c r="BJ176" s="59">
        <f t="shared" si="146"/>
        <v>407.15938341104709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13.447429170577225</v>
      </c>
      <c r="BQ176" s="21">
        <f>EXP(-LN(2)/25)*BQ175+(1-EXP(-LN(2)/25))/(LN(2)/25)*Calculateur!BL176*Calculateur!BN176*VLOOKUP('Données projet'!$B$11,Paramètres!$A$1:$I$89,3,0)*0.475*44/12</f>
        <v>2.7555368904131741</v>
      </c>
      <c r="BR176" s="21">
        <f>EXP(-LN(2)/2)*BR175+(1-EXP(-LN(2)/2))/(LN(2)/2)*BL176*BO176*VLOOKUP('Données projet'!$B$11,Paramètres!$A$1:$I$89,3,0)*0.475*44/12</f>
        <v>1.3144717926074216E-16</v>
      </c>
      <c r="BS176" s="22">
        <f t="shared" si="169"/>
        <v>16.202966060990398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288.97033806781468</v>
      </c>
      <c r="S177" s="59">
        <f ca="1">AVERAGE(OFFSET($R$3,0,0,'Données projet'!$E$9+1,1))-AVERAGE(OFFSET($H$3,0,0,'Données projet'!$E$9+1,1))</f>
        <v>507.66185230065889</v>
      </c>
      <c r="T177" s="59">
        <f t="shared" si="142"/>
        <v>640.14375617778342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38.88761182921349</v>
      </c>
      <c r="AA177" s="21">
        <f>EXP(-LN(2)/25)*AA176+(1-EXP(-LN(2)/25))/(LN(2)/25)*Calculateur!V177*Calculateur!X177*VLOOKUP('Données projet'!$B$9,Paramètres!$A$1:$I$89,3,0)*0.475*44/12</f>
        <v>1.0818683222543282</v>
      </c>
      <c r="AB177" s="21">
        <f>EXP(-LN(2)/2)*AB176+(1-EXP(-LN(2)/2))/(LN(2)/2)*V177*Y177*VLOOKUP('Données projet'!$B$9,Paramètres!$A$1:$I$89,3,0)*0.475*44/12</f>
        <v>1.9527973276038475E-19</v>
      </c>
      <c r="AC177" s="22">
        <f t="shared" si="163"/>
        <v>39.96948015146782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-1.5961632016114892E-13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332.74717458063787</v>
      </c>
      <c r="AO177" s="59">
        <f t="shared" si="144"/>
        <v>408.69087885751878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27.051592410304966</v>
      </c>
      <c r="AV177" s="21">
        <f>EXP(-LN(2)/25)*AV176+(1-EXP(-LN(2)/25))/(LN(2)/25)*Calculateur!AQ177*Calculateur!AS177*VLOOKUP('Données projet'!$B$10,Paramètres!$A$1:$I$89,3,0)*0.475*44/12</f>
        <v>1.2387180322657128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28.290310442570679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1.9895196601282805E-13</v>
      </c>
      <c r="BE177" s="13">
        <f>BD177*VLOOKUP('Données projet'!$B$11,Paramètres!$A$1:$I$89,3,0)*VLOOKUP('Données projet'!$B$11,Paramètres!$A$1:$I$89,5,0)</f>
        <v>1.738044375088066E-13</v>
      </c>
      <c r="BF177" s="13">
        <f t="shared" si="167"/>
        <v>2.4483293633950478E-12</v>
      </c>
      <c r="BG177" s="20">
        <f t="shared" si="168"/>
        <v>4.566883036574213E-12</v>
      </c>
      <c r="BH177" s="59">
        <f t="shared" si="116"/>
        <v>288.97033806781428</v>
      </c>
      <c r="BI177" s="59">
        <f ca="1">AVERAGE(OFFSET($BH$3,0,0,'Données projet'!$E$11+1,1))-AVERAGE(OFFSET($H$3,0,0,'Données projet'!$E$11+1,1))</f>
        <v>341.62910675299065</v>
      </c>
      <c r="BJ177" s="59">
        <f t="shared" si="146"/>
        <v>407.15938341104709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13.183733286664108</v>
      </c>
      <c r="BQ177" s="21">
        <f>EXP(-LN(2)/25)*BQ176+(1-EXP(-LN(2)/25))/(LN(2)/25)*Calculateur!BL177*Calculateur!BN177*VLOOKUP('Données projet'!$B$11,Paramètres!$A$1:$I$89,3,0)*0.475*44/12</f>
        <v>2.6801865892374388</v>
      </c>
      <c r="BR177" s="21">
        <f>EXP(-LN(2)/2)*BR176+(1-EXP(-LN(2)/2))/(LN(2)/2)*BL177*BO177*VLOOKUP('Données projet'!$B$11,Paramètres!$A$1:$I$89,3,0)*0.475*44/12</f>
        <v>9.2947191823114498E-17</v>
      </c>
      <c r="BS177" s="22">
        <f t="shared" si="169"/>
        <v>15.863919875901546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289.04602628147535</v>
      </c>
      <c r="S178" s="59">
        <f ca="1">AVERAGE(OFFSET($R$3,0,0,'Données projet'!$E$9+1,1))-AVERAGE(OFFSET($H$3,0,0,'Données projet'!$E$9+1,1))</f>
        <v>507.66185230065889</v>
      </c>
      <c r="T178" s="59">
        <f t="shared" si="142"/>
        <v>640.14375617778342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38.125049480343762</v>
      </c>
      <c r="AA178" s="21">
        <f>EXP(-LN(2)/25)*AA177+(1-EXP(-LN(2)/25))/(LN(2)/25)*Calculateur!V178*Calculateur!X178*VLOOKUP('Données projet'!$B$9,Paramètres!$A$1:$I$89,3,0)*0.475*44/12</f>
        <v>1.0522845760893011</v>
      </c>
      <c r="AB178" s="21">
        <f>EXP(-LN(2)/2)*AB177+(1-EXP(-LN(2)/2))/(LN(2)/2)*V178*Y178*VLOOKUP('Données projet'!$B$9,Paramètres!$A$1:$I$89,3,0)*0.475*44/12</f>
        <v>1.3808362326316485E-19</v>
      </c>
      <c r="AC178" s="22">
        <f t="shared" si="163"/>
        <v>39.177334056433061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-1.5961632016114892E-13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332.74717458063787</v>
      </c>
      <c r="AO178" s="59">
        <f t="shared" si="144"/>
        <v>408.69087885751878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26.521127182981033</v>
      </c>
      <c r="AV178" s="21">
        <f>EXP(-LN(2)/25)*AV177+(1-EXP(-LN(2)/25))/(LN(2)/25)*Calculateur!AQ178*Calculateur!AS178*VLOOKUP('Données projet'!$B$10,Paramètres!$A$1:$I$89,3,0)*0.475*44/12</f>
        <v>1.2048452225320567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27.72597240551309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1.9895196601282805E-13</v>
      </c>
      <c r="BE178" s="13">
        <f>BD178*VLOOKUP('Données projet'!$B$11,Paramètres!$A$1:$I$89,3,0)*VLOOKUP('Données projet'!$B$11,Paramètres!$A$1:$I$89,5,0)</f>
        <v>1.738044375088066E-13</v>
      </c>
      <c r="BF178" s="13">
        <f t="shared" si="167"/>
        <v>2.4483293633950478E-12</v>
      </c>
      <c r="BG178" s="20">
        <f t="shared" si="168"/>
        <v>4.566883036574213E-12</v>
      </c>
      <c r="BH178" s="59">
        <f t="shared" si="116"/>
        <v>289.04602628147495</v>
      </c>
      <c r="BI178" s="59">
        <f ca="1">AVERAGE(OFFSET($BH$3,0,0,'Données projet'!$E$11+1,1))-AVERAGE(OFFSET($H$3,0,0,'Données projet'!$E$11+1,1))</f>
        <v>341.62910675299065</v>
      </c>
      <c r="BJ178" s="59">
        <f t="shared" si="146"/>
        <v>407.15938341104709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12.925208318195919</v>
      </c>
      <c r="BQ178" s="21">
        <f>EXP(-LN(2)/25)*BQ177+(1-EXP(-LN(2)/25))/(LN(2)/25)*Calculateur!BL178*Calculateur!BN178*VLOOKUP('Données projet'!$B$11,Paramètres!$A$1:$I$89,3,0)*0.475*44/12</f>
        <v>2.6068967460098538</v>
      </c>
      <c r="BR178" s="21">
        <f>EXP(-LN(2)/2)*BR177+(1-EXP(-LN(2)/2))/(LN(2)/2)*BL178*BO178*VLOOKUP('Données projet'!$B$11,Paramètres!$A$1:$I$89,3,0)*0.475*44/12</f>
        <v>6.5723589630371081E-17</v>
      </c>
      <c r="BS178" s="22">
        <f t="shared" si="169"/>
        <v>15.532105064205773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289.12040147384255</v>
      </c>
      <c r="S179" s="59">
        <f ca="1">AVERAGE(OFFSET($R$3,0,0,'Données projet'!$E$9+1,1))-AVERAGE(OFFSET($H$3,0,0,'Données projet'!$E$9+1,1))</f>
        <v>507.66185230065889</v>
      </c>
      <c r="T179" s="59">
        <f t="shared" si="142"/>
        <v>640.14375617778342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37.377440514018261</v>
      </c>
      <c r="AA179" s="21">
        <f>EXP(-LN(2)/25)*AA178+(1-EXP(-LN(2)/25))/(LN(2)/25)*Calculateur!V179*Calculateur!X179*VLOOKUP('Données projet'!$B$9,Paramètres!$A$1:$I$89,3,0)*0.475*44/12</f>
        <v>1.0235097990188984</v>
      </c>
      <c r="AB179" s="21">
        <f>EXP(-LN(2)/2)*AB178+(1-EXP(-LN(2)/2))/(LN(2)/2)*V179*Y179*VLOOKUP('Données projet'!$B$9,Paramètres!$A$1:$I$89,3,0)*0.475*44/12</f>
        <v>9.7639866380192373E-20</v>
      </c>
      <c r="AC179" s="22">
        <f t="shared" si="163"/>
        <v>38.400950313037157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-1.5961632016114892E-13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332.74717458063787</v>
      </c>
      <c r="AO179" s="59">
        <f t="shared" si="144"/>
        <v>408.69087885751878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26.001064055213082</v>
      </c>
      <c r="AV179" s="21">
        <f>EXP(-LN(2)/25)*AV178+(1-EXP(-LN(2)/25))/(LN(2)/25)*Calculateur!AQ179*Calculateur!AS179*VLOOKUP('Données projet'!$B$10,Paramètres!$A$1:$I$89,3,0)*0.475*44/12</f>
        <v>1.1718986665618611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27.172962721774944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1.9895196601282805E-13</v>
      </c>
      <c r="BE179" s="13">
        <f>BD179*VLOOKUP('Données projet'!$B$11,Paramètres!$A$1:$I$89,3,0)*VLOOKUP('Données projet'!$B$11,Paramètres!$A$1:$I$89,5,0)</f>
        <v>1.738044375088066E-13</v>
      </c>
      <c r="BF179" s="13">
        <f t="shared" si="167"/>
        <v>2.4483293633950478E-12</v>
      </c>
      <c r="BG179" s="20">
        <f t="shared" si="168"/>
        <v>4.566883036574213E-12</v>
      </c>
      <c r="BH179" s="59">
        <f t="shared" si="116"/>
        <v>289.12040147384215</v>
      </c>
      <c r="BI179" s="59">
        <f ca="1">AVERAGE(OFFSET($BH$3,0,0,'Données projet'!$E$11+1,1))-AVERAGE(OFFSET($H$3,0,0,'Données projet'!$E$11+1,1))</f>
        <v>341.62910675299065</v>
      </c>
      <c r="BJ179" s="59">
        <f t="shared" si="146"/>
        <v>407.15938341104709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12.67175286667473</v>
      </c>
      <c r="BQ179" s="21">
        <f>EXP(-LN(2)/25)*BQ178+(1-EXP(-LN(2)/25))/(LN(2)/25)*Calculateur!BL179*Calculateur!BN179*VLOOKUP('Données projet'!$B$11,Paramètres!$A$1:$I$89,3,0)*0.475*44/12</f>
        <v>2.5356110173994728</v>
      </c>
      <c r="BR179" s="21">
        <f>EXP(-LN(2)/2)*BR178+(1-EXP(-LN(2)/2))/(LN(2)/2)*BL179*BO179*VLOOKUP('Données projet'!$B$11,Paramètres!$A$1:$I$89,3,0)*0.475*44/12</f>
        <v>4.6473595911557249E-17</v>
      </c>
      <c r="BS179" s="22">
        <f t="shared" si="169"/>
        <v>15.207363884074203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289.19348642290021</v>
      </c>
      <c r="S180" s="59">
        <f ca="1">AVERAGE(OFFSET($R$3,0,0,'Données projet'!$E$9+1,1))-AVERAGE(OFFSET($H$3,0,0,'Données projet'!$E$9+1,1))</f>
        <v>507.66185230065889</v>
      </c>
      <c r="T180" s="59">
        <f t="shared" si="142"/>
        <v>640.14375617778342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36.644491703525965</v>
      </c>
      <c r="AA180" s="21">
        <f>EXP(-LN(2)/25)*AA179+(1-EXP(-LN(2)/25))/(LN(2)/25)*Calculateur!V180*Calculateur!X180*VLOOKUP('Données projet'!$B$9,Paramètres!$A$1:$I$89,3,0)*0.475*44/12</f>
        <v>0.99552186974068557</v>
      </c>
      <c r="AB180" s="21">
        <f>EXP(-LN(2)/2)*AB179+(1-EXP(-LN(2)/2))/(LN(2)/2)*V180*Y180*VLOOKUP('Données projet'!$B$9,Paramètres!$A$1:$I$89,3,0)*0.475*44/12</f>
        <v>6.9041811631582426E-20</v>
      </c>
      <c r="AC180" s="22">
        <f t="shared" si="163"/>
        <v>37.64001357326665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-1.5961632016114892E-13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332.74717458063787</v>
      </c>
      <c r="AO180" s="59">
        <f t="shared" si="144"/>
        <v>408.69087885751878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25.491199048173474</v>
      </c>
      <c r="AV180" s="21">
        <f>EXP(-LN(2)/25)*AV179+(1-EXP(-LN(2)/25))/(LN(2)/25)*Calculateur!AQ180*Calculateur!AS180*VLOOKUP('Données projet'!$B$10,Paramètres!$A$1:$I$89,3,0)*0.475*44/12</f>
        <v>1.1398530358972545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26.631052084070728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1.9895196601282805E-13</v>
      </c>
      <c r="BE180" s="13">
        <f>BD180*VLOOKUP('Données projet'!$B$11,Paramètres!$A$1:$I$89,3,0)*VLOOKUP('Données projet'!$B$11,Paramètres!$A$1:$I$89,5,0)</f>
        <v>1.738044375088066E-13</v>
      </c>
      <c r="BF180" s="13">
        <f t="shared" si="167"/>
        <v>2.4483293633950478E-12</v>
      </c>
      <c r="BG180" s="20">
        <f t="shared" si="168"/>
        <v>4.566883036574213E-12</v>
      </c>
      <c r="BH180" s="59">
        <f t="shared" si="116"/>
        <v>289.19348642289981</v>
      </c>
      <c r="BI180" s="59">
        <f ca="1">AVERAGE(OFFSET($BH$3,0,0,'Données projet'!$E$11+1,1))-AVERAGE(OFFSET($H$3,0,0,'Données projet'!$E$11+1,1))</f>
        <v>341.62910675299065</v>
      </c>
      <c r="BJ180" s="59">
        <f t="shared" si="146"/>
        <v>407.15938341104709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12.423267521965311</v>
      </c>
      <c r="BQ180" s="21">
        <f>EXP(-LN(2)/25)*BQ179+(1-EXP(-LN(2)/25))/(LN(2)/25)*Calculateur!BL180*Calculateur!BN180*VLOOKUP('Données projet'!$B$11,Paramètres!$A$1:$I$89,3,0)*0.475*44/12</f>
        <v>2.4662746007866962</v>
      </c>
      <c r="BR180" s="21">
        <f>EXP(-LN(2)/2)*BR179+(1-EXP(-LN(2)/2))/(LN(2)/2)*BL180*BO180*VLOOKUP('Données projet'!$B$11,Paramètres!$A$1:$I$89,3,0)*0.475*44/12</f>
        <v>3.286179481518554E-17</v>
      </c>
      <c r="BS180" s="22">
        <f t="shared" si="169"/>
        <v>14.889542122752008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289.26530351148511</v>
      </c>
      <c r="S181" s="59">
        <f ca="1">AVERAGE(OFFSET($R$3,0,0,'Données projet'!$E$9+1,1))-AVERAGE(OFFSET($H$3,0,0,'Données projet'!$E$9+1,1))</f>
        <v>507.66185230065889</v>
      </c>
      <c r="T181" s="59">
        <f t="shared" si="142"/>
        <v>640.14375617778342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35.925915572152789</v>
      </c>
      <c r="AA181" s="21">
        <f>EXP(-LN(2)/25)*AA180+(1-EXP(-LN(2)/25))/(LN(2)/25)*Calculateur!V181*Calculateur!X181*VLOOKUP('Données projet'!$B$9,Paramètres!$A$1:$I$89,3,0)*0.475*44/12</f>
        <v>0.96829927186040665</v>
      </c>
      <c r="AB181" s="21">
        <f>EXP(-LN(2)/2)*AB180+(1-EXP(-LN(2)/2))/(LN(2)/2)*V181*Y181*VLOOKUP('Données projet'!$B$9,Paramètres!$A$1:$I$89,3,0)*0.475*44/12</f>
        <v>4.8819933190096186E-20</v>
      </c>
      <c r="AC181" s="22">
        <f t="shared" si="163"/>
        <v>36.894214844013199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-1.5961632016114892E-13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332.74717458063787</v>
      </c>
      <c r="AO181" s="59">
        <f t="shared" si="144"/>
        <v>408.69087885751878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24.991332182934965</v>
      </c>
      <c r="AV181" s="21">
        <f>EXP(-LN(2)/25)*AV180+(1-EXP(-LN(2)/25))/(LN(2)/25)*Calculateur!AQ181*Calculateur!AS181*VLOOKUP('Données projet'!$B$10,Paramètres!$A$1:$I$89,3,0)*0.475*44/12</f>
        <v>1.108683694688378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26.100015877623342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1.9895196601282805E-13</v>
      </c>
      <c r="BE181" s="13">
        <f>BD181*VLOOKUP('Données projet'!$B$11,Paramètres!$A$1:$I$89,3,0)*VLOOKUP('Données projet'!$B$11,Paramètres!$A$1:$I$89,5,0)</f>
        <v>1.738044375088066E-13</v>
      </c>
      <c r="BF181" s="13">
        <f t="shared" si="167"/>
        <v>2.4483293633950478E-12</v>
      </c>
      <c r="BG181" s="20">
        <f t="shared" si="168"/>
        <v>4.566883036574213E-12</v>
      </c>
      <c r="BH181" s="59">
        <f t="shared" si="116"/>
        <v>289.26530351148472</v>
      </c>
      <c r="BI181" s="59">
        <f ca="1">AVERAGE(OFFSET($BH$3,0,0,'Données projet'!$E$11+1,1))-AVERAGE(OFFSET($H$3,0,0,'Données projet'!$E$11+1,1))</f>
        <v>341.62910675299065</v>
      </c>
      <c r="BJ181" s="59">
        <f t="shared" si="146"/>
        <v>407.15938341104709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12.179654823304549</v>
      </c>
      <c r="BQ181" s="21">
        <f>EXP(-LN(2)/25)*BQ180+(1-EXP(-LN(2)/25))/(LN(2)/25)*Calculateur!BL181*Calculateur!BN181*VLOOKUP('Données projet'!$B$11,Paramètres!$A$1:$I$89,3,0)*0.475*44/12</f>
        <v>2.3988341921324396</v>
      </c>
      <c r="BR181" s="21">
        <f>EXP(-LN(2)/2)*BR180+(1-EXP(-LN(2)/2))/(LN(2)/2)*BL181*BO181*VLOOKUP('Données projet'!$B$11,Paramètres!$A$1:$I$89,3,0)*0.475*44/12</f>
        <v>2.3236797955778624E-17</v>
      </c>
      <c r="BS181" s="22">
        <f t="shared" si="169"/>
        <v>14.57848901543699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289.33587473414207</v>
      </c>
      <c r="S182" s="59">
        <f ca="1">AVERAGE(OFFSET($R$3,0,0,'Données projet'!$E$9+1,1))-AVERAGE(OFFSET($H$3,0,0,'Données projet'!$E$9+1,1))</f>
        <v>507.66185230065889</v>
      </c>
      <c r="T182" s="59">
        <f t="shared" si="142"/>
        <v>640.14375617778342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35.221430280427676</v>
      </c>
      <c r="AA182" s="21">
        <f>EXP(-LN(2)/25)*AA181+(1-EXP(-LN(2)/25))/(LN(2)/25)*Calculateur!V182*Calculateur!X182*VLOOKUP('Données projet'!$B$9,Paramètres!$A$1:$I$89,3,0)*0.475*44/12</f>
        <v>0.94182107735073817</v>
      </c>
      <c r="AB182" s="21">
        <f>EXP(-LN(2)/2)*AB181+(1-EXP(-LN(2)/2))/(LN(2)/2)*V182*Y182*VLOOKUP('Données projet'!$B$9,Paramètres!$A$1:$I$89,3,0)*0.475*44/12</f>
        <v>3.4520905815791213E-20</v>
      </c>
      <c r="AC182" s="22">
        <f t="shared" si="163"/>
        <v>36.163251357778414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-1.5961632016114892E-13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332.74717458063787</v>
      </c>
      <c r="AO182" s="59">
        <f t="shared" si="144"/>
        <v>408.69087885751878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24.501267402035101</v>
      </c>
      <c r="AV182" s="21">
        <f>EXP(-LN(2)/25)*AV181+(1-EXP(-LN(2)/25))/(LN(2)/25)*Calculateur!AQ182*Calculateur!AS182*VLOOKUP('Données projet'!$B$10,Paramètres!$A$1:$I$89,3,0)*0.475*44/12</f>
        <v>1.0783666807539827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25.579634082789084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1.9895196601282805E-13</v>
      </c>
      <c r="BE182" s="13">
        <f>BD182*VLOOKUP('Données projet'!$B$11,Paramètres!$A$1:$I$89,3,0)*VLOOKUP('Données projet'!$B$11,Paramètres!$A$1:$I$89,5,0)</f>
        <v>1.738044375088066E-13</v>
      </c>
      <c r="BF182" s="13">
        <f t="shared" si="167"/>
        <v>2.4483293633950478E-12</v>
      </c>
      <c r="BG182" s="20">
        <f t="shared" si="168"/>
        <v>4.566883036574213E-12</v>
      </c>
      <c r="BH182" s="59">
        <f t="shared" si="116"/>
        <v>289.33587473414167</v>
      </c>
      <c r="BI182" s="59">
        <f ca="1">AVERAGE(OFFSET($BH$3,0,0,'Données projet'!$E$11+1,1))-AVERAGE(OFFSET($H$3,0,0,'Données projet'!$E$11+1,1))</f>
        <v>341.62910675299065</v>
      </c>
      <c r="BJ182" s="59">
        <f t="shared" si="146"/>
        <v>407.15938341104709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11.940819221075451</v>
      </c>
      <c r="BQ182" s="21">
        <f>EXP(-LN(2)/25)*BQ181+(1-EXP(-LN(2)/25))/(LN(2)/25)*Calculateur!BL182*Calculateur!BN182*VLOOKUP('Données projet'!$B$11,Paramètres!$A$1:$I$89,3,0)*0.475*44/12</f>
        <v>2.3332379449993703</v>
      </c>
      <c r="BR182" s="21">
        <f>EXP(-LN(2)/2)*BR181+(1-EXP(-LN(2)/2))/(LN(2)/2)*BL182*BO182*VLOOKUP('Données projet'!$B$11,Paramètres!$A$1:$I$89,3,0)*0.475*44/12</f>
        <v>1.643089740759277E-17</v>
      </c>
      <c r="BS182" s="22">
        <f t="shared" si="169"/>
        <v>14.274057166074821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289.40522170385958</v>
      </c>
      <c r="S183" s="59">
        <f ca="1">AVERAGE(OFFSET($R$3,0,0,'Données projet'!$E$9+1,1))-AVERAGE(OFFSET($H$3,0,0,'Données projet'!$E$9+1,1))</f>
        <v>507.66185230065889</v>
      </c>
      <c r="T183" s="59">
        <f t="shared" si="142"/>
        <v>640.14375617778342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34.530759515579696</v>
      </c>
      <c r="AA183" s="21">
        <f>EXP(-LN(2)/25)*AA182+(1-EXP(-LN(2)/25))/(LN(2)/25)*Calculateur!V183*Calculateur!X183*VLOOKUP('Données projet'!$B$9,Paramètres!$A$1:$I$89,3,0)*0.475*44/12</f>
        <v>0.91606693046236431</v>
      </c>
      <c r="AB183" s="21">
        <f>EXP(-LN(2)/2)*AB182+(1-EXP(-LN(2)/2))/(LN(2)/2)*V183*Y183*VLOOKUP('Données projet'!$B$9,Paramètres!$A$1:$I$89,3,0)*0.475*44/12</f>
        <v>2.4409966595048093E-20</v>
      </c>
      <c r="AC183" s="22">
        <f t="shared" si="163"/>
        <v>35.44682644604206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-1.5961632016114892E-13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332.74717458063787</v>
      </c>
      <c r="AO183" s="59">
        <f t="shared" si="144"/>
        <v>408.69087885751878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24.020812492578681</v>
      </c>
      <c r="AV183" s="21">
        <f>EXP(-LN(2)/25)*AV182+(1-EXP(-LN(2)/25))/(LN(2)/25)*Calculateur!AQ183*Calculateur!AS183*VLOOKUP('Données projet'!$B$10,Paramètres!$A$1:$I$89,3,0)*0.475*44/12</f>
        <v>1.0488786871599258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25.069691179738609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1.9895196601282805E-13</v>
      </c>
      <c r="BE183" s="13">
        <f>BD183*VLOOKUP('Données projet'!$B$11,Paramètres!$A$1:$I$89,3,0)*VLOOKUP('Données projet'!$B$11,Paramètres!$A$1:$I$89,5,0)</f>
        <v>1.738044375088066E-13</v>
      </c>
      <c r="BF183" s="13">
        <f t="shared" si="167"/>
        <v>2.4483293633950478E-12</v>
      </c>
      <c r="BG183" s="20">
        <f t="shared" si="168"/>
        <v>4.566883036574213E-12</v>
      </c>
      <c r="BH183" s="59">
        <f t="shared" si="116"/>
        <v>289.40522170385918</v>
      </c>
      <c r="BI183" s="59">
        <f ca="1">AVERAGE(OFFSET($BH$3,0,0,'Données projet'!$E$11+1,1))-AVERAGE(OFFSET($H$3,0,0,'Données projet'!$E$11+1,1))</f>
        <v>341.62910675299065</v>
      </c>
      <c r="BJ183" s="59">
        <f t="shared" si="146"/>
        <v>407.15938341104709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11.706667039330732</v>
      </c>
      <c r="BQ183" s="21">
        <f>EXP(-LN(2)/25)*BQ182+(1-EXP(-LN(2)/25))/(LN(2)/25)*Calculateur!BL183*Calculateur!BN183*VLOOKUP('Données projet'!$B$11,Paramètres!$A$1:$I$89,3,0)*0.475*44/12</f>
        <v>2.2694354306937119</v>
      </c>
      <c r="BR183" s="21">
        <f>EXP(-LN(2)/2)*BR182+(1-EXP(-LN(2)/2))/(LN(2)/2)*BL183*BO183*VLOOKUP('Données projet'!$B$11,Paramètres!$A$1:$I$89,3,0)*0.475*44/12</f>
        <v>1.1618398977889312E-17</v>
      </c>
      <c r="BS183" s="22">
        <f t="shared" si="169"/>
        <v>13.976102470024443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289.47336565868903</v>
      </c>
      <c r="S184" s="59">
        <f ca="1">AVERAGE(OFFSET($R$3,0,0,'Données projet'!$E$9+1,1))-AVERAGE(OFFSET($H$3,0,0,'Données projet'!$E$9+1,1))</f>
        <v>507.66185230065889</v>
      </c>
      <c r="T184" s="59">
        <f t="shared" si="142"/>
        <v>640.14375617778342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33.853632383162811</v>
      </c>
      <c r="AA184" s="21">
        <f>EXP(-LN(2)/25)*AA183+(1-EXP(-LN(2)/25))/(LN(2)/25)*Calculateur!V184*Calculateur!X184*VLOOKUP('Données projet'!$B$9,Paramètres!$A$1:$I$89,3,0)*0.475*44/12</f>
        <v>0.89101703207500482</v>
      </c>
      <c r="AB184" s="21">
        <f>EXP(-LN(2)/2)*AB183+(1-EXP(-LN(2)/2))/(LN(2)/2)*V184*Y184*VLOOKUP('Données projet'!$B$9,Paramètres!$A$1:$I$89,3,0)*0.475*44/12</f>
        <v>1.7260452907895606E-20</v>
      </c>
      <c r="AC184" s="22">
        <f t="shared" si="163"/>
        <v>34.744649415237816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-1.5961632016114892E-13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332.74717458063787</v>
      </c>
      <c r="AO184" s="59">
        <f t="shared" si="144"/>
        <v>408.69087885751878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23.549779010848145</v>
      </c>
      <c r="AV184" s="21">
        <f>EXP(-LN(2)/25)*AV183+(1-EXP(-LN(2)/25))/(LN(2)/25)*Calculateur!AQ184*Calculateur!AS184*VLOOKUP('Données projet'!$B$10,Paramètres!$A$1:$I$89,3,0)*0.475*44/12</f>
        <v>1.0201970443014048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24.569976055149549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1.9895196601282805E-13</v>
      </c>
      <c r="BE184" s="13">
        <f>BD184*VLOOKUP('Données projet'!$B$11,Paramètres!$A$1:$I$89,3,0)*VLOOKUP('Données projet'!$B$11,Paramètres!$A$1:$I$89,5,0)</f>
        <v>1.738044375088066E-13</v>
      </c>
      <c r="BF184" s="13">
        <f t="shared" si="167"/>
        <v>2.4483293633950478E-12</v>
      </c>
      <c r="BG184" s="20">
        <f t="shared" si="168"/>
        <v>4.566883036574213E-12</v>
      </c>
      <c r="BH184" s="59">
        <f t="shared" si="116"/>
        <v>289.47336565868864</v>
      </c>
      <c r="BI184" s="59">
        <f ca="1">AVERAGE(OFFSET($BH$3,0,0,'Données projet'!$E$11+1,1))-AVERAGE(OFFSET($H$3,0,0,'Données projet'!$E$11+1,1))</f>
        <v>341.62910675299065</v>
      </c>
      <c r="BJ184" s="59">
        <f t="shared" si="146"/>
        <v>407.15938341104709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11.477106439051298</v>
      </c>
      <c r="BQ184" s="21">
        <f>EXP(-LN(2)/25)*BQ183+(1-EXP(-LN(2)/25))/(LN(2)/25)*Calculateur!BL184*Calculateur!BN184*VLOOKUP('Données projet'!$B$11,Paramètres!$A$1:$I$89,3,0)*0.475*44/12</f>
        <v>2.20737759949697</v>
      </c>
      <c r="BR184" s="21">
        <f>EXP(-LN(2)/2)*BR183+(1-EXP(-LN(2)/2))/(LN(2)/2)*BL184*BO184*VLOOKUP('Données projet'!$B$11,Paramètres!$A$1:$I$89,3,0)*0.475*44/12</f>
        <v>8.2154487037963851E-18</v>
      </c>
      <c r="BS184" s="22">
        <f t="shared" si="169"/>
        <v>13.684484038548268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289.54032746824936</v>
      </c>
      <c r="S185" s="59">
        <f ca="1">AVERAGE(OFFSET($R$3,0,0,'Données projet'!$E$9+1,1))-AVERAGE(OFFSET($H$3,0,0,'Données projet'!$E$9+1,1))</f>
        <v>507.66185230065889</v>
      </c>
      <c r="T185" s="59">
        <f t="shared" si="142"/>
        <v>640.14375617778342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33.189783300805857</v>
      </c>
      <c r="AA185" s="21">
        <f>EXP(-LN(2)/25)*AA184+(1-EXP(-LN(2)/25))/(LN(2)/25)*Calculateur!V185*Calculateur!X185*VLOOKUP('Données projet'!$B$9,Paramètres!$A$1:$I$89,3,0)*0.475*44/12</f>
        <v>0.86665212447636453</v>
      </c>
      <c r="AB185" s="21">
        <f>EXP(-LN(2)/2)*AB184+(1-EXP(-LN(2)/2))/(LN(2)/2)*V185*Y185*VLOOKUP('Données projet'!$B$9,Paramètres!$A$1:$I$89,3,0)*0.475*44/12</f>
        <v>1.2204983297524047E-20</v>
      </c>
      <c r="AC185" s="22">
        <f t="shared" si="163"/>
        <v>34.056435425282224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-1.5961632016114892E-13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332.74717458063787</v>
      </c>
      <c r="AO185" s="59">
        <f t="shared" si="144"/>
        <v>408.69087885751878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23.087982208392287</v>
      </c>
      <c r="AV185" s="21">
        <f>EXP(-LN(2)/25)*AV184+(1-EXP(-LN(2)/25))/(LN(2)/25)*Calculateur!AQ185*Calculateur!AS185*VLOOKUP('Données projet'!$B$10,Paramètres!$A$1:$I$89,3,0)*0.475*44/12</f>
        <v>0.99229970247515198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24.080281910867438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1.9895196601282805E-13</v>
      </c>
      <c r="BE185" s="13">
        <f>BD185*VLOOKUP('Données projet'!$B$11,Paramètres!$A$1:$I$89,3,0)*VLOOKUP('Données projet'!$B$11,Paramètres!$A$1:$I$89,5,0)</f>
        <v>1.738044375088066E-13</v>
      </c>
      <c r="BF185" s="13">
        <f t="shared" si="167"/>
        <v>2.4483293633950478E-12</v>
      </c>
      <c r="BG185" s="20">
        <f t="shared" si="168"/>
        <v>4.566883036574213E-12</v>
      </c>
      <c r="BH185" s="59">
        <f t="shared" si="116"/>
        <v>289.54032746824896</v>
      </c>
      <c r="BI185" s="59">
        <f ca="1">AVERAGE(OFFSET($BH$3,0,0,'Données projet'!$E$11+1,1))-AVERAGE(OFFSET($H$3,0,0,'Données projet'!$E$11+1,1))</f>
        <v>341.62910675299065</v>
      </c>
      <c r="BJ185" s="59">
        <f t="shared" si="146"/>
        <v>407.15938341104709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11.252047382125204</v>
      </c>
      <c r="BQ185" s="21">
        <f>EXP(-LN(2)/25)*BQ184+(1-EXP(-LN(2)/25))/(LN(2)/25)*Calculateur!BL185*Calculateur!BN185*VLOOKUP('Données projet'!$B$11,Paramètres!$A$1:$I$89,3,0)*0.475*44/12</f>
        <v>2.1470167429577822</v>
      </c>
      <c r="BR185" s="21">
        <f>EXP(-LN(2)/2)*BR184+(1-EXP(-LN(2)/2))/(LN(2)/2)*BL185*BO185*VLOOKUP('Données projet'!$B$11,Paramètres!$A$1:$I$89,3,0)*0.475*44/12</f>
        <v>5.8091994889446561E-18</v>
      </c>
      <c r="BS185" s="22">
        <f t="shared" si="169"/>
        <v>13.399064125082987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289.6061276401179</v>
      </c>
      <c r="S186" s="59">
        <f ca="1">AVERAGE(OFFSET($R$3,0,0,'Données projet'!$E$9+1,1))-AVERAGE(OFFSET($H$3,0,0,'Données projet'!$E$9+1,1))</f>
        <v>507.66185230065889</v>
      </c>
      <c r="T186" s="59">
        <f t="shared" si="142"/>
        <v>640.14375617778342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32.538951894045958</v>
      </c>
      <c r="AA186" s="21">
        <f>EXP(-LN(2)/25)*AA185+(1-EXP(-LN(2)/25))/(LN(2)/25)*Calculateur!V186*Calculateur!X186*VLOOKUP('Données projet'!$B$9,Paramètres!$A$1:$I$89,3,0)*0.475*44/12</f>
        <v>0.8429534765573039</v>
      </c>
      <c r="AB186" s="21">
        <f>EXP(-LN(2)/2)*AB185+(1-EXP(-LN(2)/2))/(LN(2)/2)*V186*Y186*VLOOKUP('Données projet'!$B$9,Paramètres!$A$1:$I$89,3,0)*0.475*44/12</f>
        <v>8.6302264539478032E-21</v>
      </c>
      <c r="AC186" s="22">
        <f t="shared" si="163"/>
        <v>33.381905370603263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-1.5961632016114892E-13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332.74717458063787</v>
      </c>
      <c r="AO186" s="59">
        <f t="shared" si="144"/>
        <v>408.69087885751878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22.635240959564353</v>
      </c>
      <c r="AV186" s="21">
        <f>EXP(-LN(2)/25)*AV185+(1-EXP(-LN(2)/25))/(LN(2)/25)*Calculateur!AQ186*Calculateur!AS186*VLOOKUP('Données projet'!$B$10,Paramètres!$A$1:$I$89,3,0)*0.475*44/12</f>
        <v>0.96516521492819551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23.600406174492548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1.9895196601282805E-13</v>
      </c>
      <c r="BE186" s="13">
        <f>BD186*VLOOKUP('Données projet'!$B$11,Paramètres!$A$1:$I$89,3,0)*VLOOKUP('Données projet'!$B$11,Paramètres!$A$1:$I$89,5,0)</f>
        <v>1.738044375088066E-13</v>
      </c>
      <c r="BF186" s="13">
        <f t="shared" si="167"/>
        <v>2.4483293633950478E-12</v>
      </c>
      <c r="BG186" s="20">
        <f t="shared" si="168"/>
        <v>4.566883036574213E-12</v>
      </c>
      <c r="BH186" s="59">
        <f t="shared" si="116"/>
        <v>289.60612764011751</v>
      </c>
      <c r="BI186" s="59">
        <f ca="1">AVERAGE(OFFSET($BH$3,0,0,'Données projet'!$E$11+1,1))-AVERAGE(OFFSET($H$3,0,0,'Données projet'!$E$11+1,1))</f>
        <v>341.62910675299065</v>
      </c>
      <c r="BJ186" s="59">
        <f t="shared" si="146"/>
        <v>407.15938341104709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11.031401596032959</v>
      </c>
      <c r="BQ186" s="21">
        <f>EXP(-LN(2)/25)*BQ185+(1-EXP(-LN(2)/25))/(LN(2)/25)*Calculateur!BL186*Calculateur!BN186*VLOOKUP('Données projet'!$B$11,Paramètres!$A$1:$I$89,3,0)*0.475*44/12</f>
        <v>2.0883064572148982</v>
      </c>
      <c r="BR186" s="21">
        <f>EXP(-LN(2)/2)*BR185+(1-EXP(-LN(2)/2))/(LN(2)/2)*BL186*BO186*VLOOKUP('Données projet'!$B$11,Paramètres!$A$1:$I$89,3,0)*0.475*44/12</f>
        <v>4.1077243518981926E-18</v>
      </c>
      <c r="BS186" s="22">
        <f t="shared" si="169"/>
        <v>13.119708053247857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289.67078632611168</v>
      </c>
      <c r="S187" s="59">
        <f ca="1">AVERAGE(OFFSET($R$3,0,0,'Données projet'!$E$9+1,1))-AVERAGE(OFFSET($H$3,0,0,'Données projet'!$E$9+1,1))</f>
        <v>507.66185230065889</v>
      </c>
      <c r="T187" s="59">
        <f t="shared" si="142"/>
        <v>640.14375617778342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31.900882894204663</v>
      </c>
      <c r="AA187" s="21">
        <f>EXP(-LN(2)/25)*AA186+(1-EXP(-LN(2)/25))/(LN(2)/25)*Calculateur!V187*Calculateur!X187*VLOOKUP('Données projet'!$B$9,Paramètres!$A$1:$I$89,3,0)*0.475*44/12</f>
        <v>0.81990286941184765</v>
      </c>
      <c r="AB187" s="21">
        <f>EXP(-LN(2)/2)*AB186+(1-EXP(-LN(2)/2))/(LN(2)/2)*V187*Y187*VLOOKUP('Données projet'!$B$9,Paramètres!$A$1:$I$89,3,0)*0.475*44/12</f>
        <v>6.1024916487620233E-21</v>
      </c>
      <c r="AC187" s="22">
        <f t="shared" si="163"/>
        <v>32.720785763616512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-1.5961632016114892E-13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332.74717458063787</v>
      </c>
      <c r="AO187" s="59">
        <f t="shared" si="144"/>
        <v>408.69087885751878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22.19137769048104</v>
      </c>
      <c r="AV187" s="21">
        <f>EXP(-LN(2)/25)*AV186+(1-EXP(-LN(2)/25))/(LN(2)/25)*Calculateur!AQ187*Calculateur!AS187*VLOOKUP('Données projet'!$B$10,Paramètres!$A$1:$I$89,3,0)*0.475*44/12</f>
        <v>0.93877272137015122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23.13015041185119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1.9895196601282805E-13</v>
      </c>
      <c r="BE187" s="13">
        <f>BD187*VLOOKUP('Données projet'!$B$11,Paramètres!$A$1:$I$89,3,0)*VLOOKUP('Données projet'!$B$11,Paramètres!$A$1:$I$89,5,0)</f>
        <v>1.738044375088066E-13</v>
      </c>
      <c r="BF187" s="13">
        <f t="shared" si="167"/>
        <v>2.4483293633950478E-12</v>
      </c>
      <c r="BG187" s="20">
        <f t="shared" si="168"/>
        <v>4.566883036574213E-12</v>
      </c>
      <c r="BH187" s="59">
        <f t="shared" si="116"/>
        <v>289.67078632611128</v>
      </c>
      <c r="BI187" s="59">
        <f ca="1">AVERAGE(OFFSET($BH$3,0,0,'Données projet'!$E$11+1,1))-AVERAGE(OFFSET($H$3,0,0,'Données projet'!$E$11+1,1))</f>
        <v>341.62910675299065</v>
      </c>
      <c r="BJ187" s="59">
        <f t="shared" si="146"/>
        <v>407.15938341104709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10.815082539225342</v>
      </c>
      <c r="BQ187" s="21">
        <f>EXP(-LN(2)/25)*BQ186+(1-EXP(-LN(2)/25))/(LN(2)/25)*Calculateur!BL187*Calculateur!BN187*VLOOKUP('Données projet'!$B$11,Paramètres!$A$1:$I$89,3,0)*0.475*44/12</f>
        <v>2.031201607323093</v>
      </c>
      <c r="BR187" s="21">
        <f>EXP(-LN(2)/2)*BR186+(1-EXP(-LN(2)/2))/(LN(2)/2)*BL187*BO187*VLOOKUP('Données projet'!$B$11,Paramètres!$A$1:$I$89,3,0)*0.475*44/12</f>
        <v>2.9045997444723281E-18</v>
      </c>
      <c r="BS187" s="22">
        <f t="shared" si="169"/>
        <v>12.846284146548435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289.73432332845869</v>
      </c>
      <c r="S188" s="59">
        <f ca="1">AVERAGE(OFFSET($R$3,0,0,'Données projet'!$E$9+1,1))-AVERAGE(OFFSET($H$3,0,0,'Données projet'!$E$9+1,1))</f>
        <v>507.66185230065889</v>
      </c>
      <c r="T188" s="59">
        <f t="shared" si="142"/>
        <v>640.14375617778342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31.275326038266595</v>
      </c>
      <c r="AA188" s="21">
        <f>EXP(-LN(2)/25)*AA187+(1-EXP(-LN(2)/25))/(LN(2)/25)*Calculateur!V188*Calculateur!X188*VLOOKUP('Données projet'!$B$9,Paramètres!$A$1:$I$89,3,0)*0.475*44/12</f>
        <v>0.7974825823309627</v>
      </c>
      <c r="AB188" s="21">
        <f>EXP(-LN(2)/2)*AB187+(1-EXP(-LN(2)/2))/(LN(2)/2)*V188*Y188*VLOOKUP('Données projet'!$B$9,Paramètres!$A$1:$I$89,3,0)*0.475*44/12</f>
        <v>4.3151132269739016E-21</v>
      </c>
      <c r="AC188" s="22">
        <f t="shared" si="163"/>
        <v>32.072808620597556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-1.5961632016114892E-13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332.74717458063787</v>
      </c>
      <c r="AO188" s="59">
        <f t="shared" si="144"/>
        <v>408.69087885751878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21.756218309374589</v>
      </c>
      <c r="AV188" s="21">
        <f>EXP(-LN(2)/25)*AV187+(1-EXP(-LN(2)/25))/(LN(2)/25)*Calculateur!AQ188*Calculateur!AS188*VLOOKUP('Données projet'!$B$10,Paramètres!$A$1:$I$89,3,0)*0.475*44/12</f>
        <v>0.91310193193637257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22.66932024131096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1.9895196601282805E-13</v>
      </c>
      <c r="BE188" s="13">
        <f>BD188*VLOOKUP('Données projet'!$B$11,Paramètres!$A$1:$I$89,3,0)*VLOOKUP('Données projet'!$B$11,Paramètres!$A$1:$I$89,5,0)</f>
        <v>1.738044375088066E-13</v>
      </c>
      <c r="BF188" s="13">
        <f t="shared" si="167"/>
        <v>2.4483293633950478E-12</v>
      </c>
      <c r="BG188" s="20">
        <f t="shared" si="168"/>
        <v>4.566883036574213E-12</v>
      </c>
      <c r="BH188" s="59">
        <f t="shared" si="116"/>
        <v>289.73432332845829</v>
      </c>
      <c r="BI188" s="59">
        <f ca="1">AVERAGE(OFFSET($BH$3,0,0,'Données projet'!$E$11+1,1))-AVERAGE(OFFSET($H$3,0,0,'Données projet'!$E$11+1,1))</f>
        <v>341.62910675299065</v>
      </c>
      <c r="BJ188" s="59">
        <f t="shared" si="146"/>
        <v>407.15938341104709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10.603005367180128</v>
      </c>
      <c r="BQ188" s="21">
        <f>EXP(-LN(2)/25)*BQ187+(1-EXP(-LN(2)/25))/(LN(2)/25)*Calculateur!BL188*Calculateur!BN188*VLOOKUP('Données projet'!$B$11,Paramètres!$A$1:$I$89,3,0)*0.475*44/12</f>
        <v>1.9756582925545929</v>
      </c>
      <c r="BR188" s="21">
        <f>EXP(-LN(2)/2)*BR187+(1-EXP(-LN(2)/2))/(LN(2)/2)*BL188*BO188*VLOOKUP('Données projet'!$B$11,Paramètres!$A$1:$I$89,3,0)*0.475*44/12</f>
        <v>2.0538621759490963E-18</v>
      </c>
      <c r="BS188" s="22">
        <f t="shared" si="169"/>
        <v>12.578663659734721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289.79675810586235</v>
      </c>
      <c r="S189" s="59">
        <f ca="1">AVERAGE(OFFSET($R$3,0,0,'Données projet'!$E$9+1,1))-AVERAGE(OFFSET($H$3,0,0,'Données projet'!$E$9+1,1))</f>
        <v>507.66185230065889</v>
      </c>
      <c r="T189" s="59">
        <f t="shared" si="142"/>
        <v>640.14375617778342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30.662035970721465</v>
      </c>
      <c r="AA189" s="21">
        <f>EXP(-LN(2)/25)*AA188+(1-EXP(-LN(2)/25))/(LN(2)/25)*Calculateur!V189*Calculateur!X189*VLOOKUP('Données projet'!$B$9,Paramètres!$A$1:$I$89,3,0)*0.475*44/12</f>
        <v>0.77567537917933616</v>
      </c>
      <c r="AB189" s="21">
        <f>EXP(-LN(2)/2)*AB188+(1-EXP(-LN(2)/2))/(LN(2)/2)*V189*Y189*VLOOKUP('Données projet'!$B$9,Paramètres!$A$1:$I$89,3,0)*0.475*44/12</f>
        <v>3.0512458243810116E-21</v>
      </c>
      <c r="AC189" s="22">
        <f t="shared" si="163"/>
        <v>31.437711349900802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-1.5961632016114892E-13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332.74717458063787</v>
      </c>
      <c r="AO189" s="59">
        <f t="shared" si="144"/>
        <v>408.69087885751878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21.32959213831062</v>
      </c>
      <c r="AV189" s="21">
        <f>EXP(-LN(2)/25)*AV188+(1-EXP(-LN(2)/25))/(LN(2)/25)*Calculateur!AQ189*Calculateur!AS189*VLOOKUP('Données projet'!$B$10,Paramètres!$A$1:$I$89,3,0)*0.475*44/12</f>
        <v>0.88813311158962882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22.217725249900248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1.9895196601282805E-13</v>
      </c>
      <c r="BE189" s="13">
        <f>BD189*VLOOKUP('Données projet'!$B$11,Paramètres!$A$1:$I$89,3,0)*VLOOKUP('Données projet'!$B$11,Paramètres!$A$1:$I$89,5,0)</f>
        <v>1.738044375088066E-13</v>
      </c>
      <c r="BF189" s="13">
        <f t="shared" si="167"/>
        <v>2.4483293633950478E-12</v>
      </c>
      <c r="BG189" s="20">
        <f t="shared" si="168"/>
        <v>4.566883036574213E-12</v>
      </c>
      <c r="BH189" s="59">
        <f t="shared" si="116"/>
        <v>289.79675810586195</v>
      </c>
      <c r="BI189" s="59">
        <f ca="1">AVERAGE(OFFSET($BH$3,0,0,'Données projet'!$E$11+1,1))-AVERAGE(OFFSET($H$3,0,0,'Données projet'!$E$11+1,1))</f>
        <v>341.62910675299065</v>
      </c>
      <c r="BJ189" s="59">
        <f t="shared" si="146"/>
        <v>407.15938341104709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10.395086899124417</v>
      </c>
      <c r="BQ189" s="21">
        <f>EXP(-LN(2)/25)*BQ188+(1-EXP(-LN(2)/25))/(LN(2)/25)*Calculateur!BL189*Calculateur!BN189*VLOOKUP('Données projet'!$B$11,Paramètres!$A$1:$I$89,3,0)*0.475*44/12</f>
        <v>1.9216338126493333</v>
      </c>
      <c r="BR189" s="21">
        <f>EXP(-LN(2)/2)*BR188+(1-EXP(-LN(2)/2))/(LN(2)/2)*BL189*BO189*VLOOKUP('Données projet'!$B$11,Paramètres!$A$1:$I$89,3,0)*0.475*44/12</f>
        <v>1.452299872236164E-18</v>
      </c>
      <c r="BS189" s="22">
        <f t="shared" si="169"/>
        <v>12.316720711773749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289.85810977946136</v>
      </c>
      <c r="S190" s="59">
        <f ca="1">AVERAGE(OFFSET($R$3,0,0,'Données projet'!$E$9+1,1))-AVERAGE(OFFSET($H$3,0,0,'Données projet'!$E$9+1,1))</f>
        <v>507.66185230065889</v>
      </c>
      <c r="T190" s="59">
        <f t="shared" si="142"/>
        <v>640.14375617778342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30.060772147330891</v>
      </c>
      <c r="AA190" s="21">
        <f>EXP(-LN(2)/25)*AA189+(1-EXP(-LN(2)/25))/(LN(2)/25)*Calculateur!V190*Calculateur!X190*VLOOKUP('Données projet'!$B$9,Paramètres!$A$1:$I$89,3,0)*0.475*44/12</f>
        <v>0.75446449514468183</v>
      </c>
      <c r="AB190" s="21">
        <f>EXP(-LN(2)/2)*AB189+(1-EXP(-LN(2)/2))/(LN(2)/2)*V190*Y190*VLOOKUP('Données projet'!$B$9,Paramètres!$A$1:$I$89,3,0)*0.475*44/12</f>
        <v>2.1575566134869508E-21</v>
      </c>
      <c r="AC190" s="22">
        <f t="shared" si="163"/>
        <v>30.815236642475572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-1.5961632016114892E-13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332.74717458063787</v>
      </c>
      <c r="AO190" s="59">
        <f t="shared" si="144"/>
        <v>408.69087885751878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20.911331846244945</v>
      </c>
      <c r="AV190" s="21">
        <f>EXP(-LN(2)/25)*AV189+(1-EXP(-LN(2)/25))/(LN(2)/25)*Calculateur!AQ190*Calculateur!AS190*VLOOKUP('Données projet'!$B$10,Paramètres!$A$1:$I$89,3,0)*0.475*44/12</f>
        <v>0.86384706494831998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21.775178911193265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1.9895196601282805E-13</v>
      </c>
      <c r="BE190" s="13">
        <f>BD190*VLOOKUP('Données projet'!$B$11,Paramètres!$A$1:$I$89,3,0)*VLOOKUP('Données projet'!$B$11,Paramètres!$A$1:$I$89,5,0)</f>
        <v>1.738044375088066E-13</v>
      </c>
      <c r="BF190" s="13">
        <f t="shared" si="167"/>
        <v>2.4483293633950478E-12</v>
      </c>
      <c r="BG190" s="20">
        <f t="shared" si="168"/>
        <v>4.566883036574213E-12</v>
      </c>
      <c r="BH190" s="59">
        <f t="shared" si="116"/>
        <v>289.85810977946096</v>
      </c>
      <c r="BI190" s="59">
        <f ca="1">AVERAGE(OFFSET($BH$3,0,0,'Données projet'!$E$11+1,1))-AVERAGE(OFFSET($H$3,0,0,'Données projet'!$E$11+1,1))</f>
        <v>341.62910675299065</v>
      </c>
      <c r="BJ190" s="59">
        <f t="shared" si="146"/>
        <v>407.15938341104709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10.191245585409535</v>
      </c>
      <c r="BQ190" s="21">
        <f>EXP(-LN(2)/25)*BQ189+(1-EXP(-LN(2)/25))/(LN(2)/25)*Calculateur!BL190*Calculateur!BN190*VLOOKUP('Données projet'!$B$11,Paramètres!$A$1:$I$89,3,0)*0.475*44/12</f>
        <v>1.869086634988107</v>
      </c>
      <c r="BR190" s="21">
        <f>EXP(-LN(2)/2)*BR189+(1-EXP(-LN(2)/2))/(LN(2)/2)*BL190*BO190*VLOOKUP('Données projet'!$B$11,Paramètres!$A$1:$I$89,3,0)*0.475*44/12</f>
        <v>1.0269310879745481E-18</v>
      </c>
      <c r="BS190" s="22">
        <f t="shared" si="169"/>
        <v>12.060332220397642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289.91839713868518</v>
      </c>
      <c r="S191" s="59">
        <f ca="1">AVERAGE(OFFSET($R$3,0,0,'Données projet'!$E$9+1,1))-AVERAGE(OFFSET($H$3,0,0,'Données projet'!$E$9+1,1))</f>
        <v>507.66185230065889</v>
      </c>
      <c r="T191" s="59">
        <f t="shared" si="142"/>
        <v>640.14375617778342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29.471298740782284</v>
      </c>
      <c r="AA191" s="21">
        <f>EXP(-LN(2)/25)*AA190+(1-EXP(-LN(2)/25))/(LN(2)/25)*Calculateur!V191*Calculateur!X191*VLOOKUP('Données projet'!$B$9,Paramètres!$A$1:$I$89,3,0)*0.475*44/12</f>
        <v>0.73383362384938711</v>
      </c>
      <c r="AB191" s="21">
        <f>EXP(-LN(2)/2)*AB190+(1-EXP(-LN(2)/2))/(LN(2)/2)*V191*Y191*VLOOKUP('Données projet'!$B$9,Paramètres!$A$1:$I$89,3,0)*0.475*44/12</f>
        <v>1.5256229121905058E-21</v>
      </c>
      <c r="AC191" s="22">
        <f t="shared" si="163"/>
        <v>30.205132364631673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-1.5961632016114892E-13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332.74717458063787</v>
      </c>
      <c r="AO191" s="59">
        <f t="shared" si="144"/>
        <v>408.69087885751878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20.501273383393091</v>
      </c>
      <c r="AV191" s="21">
        <f>EXP(-LN(2)/25)*AV190+(1-EXP(-LN(2)/25))/(LN(2)/25)*Calculateur!AQ191*Calculateur!AS191*VLOOKUP('Données projet'!$B$10,Paramètres!$A$1:$I$89,3,0)*0.475*44/12</f>
        <v>0.84022512152956541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21.341498504922658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1.9895196601282805E-13</v>
      </c>
      <c r="BE191" s="13">
        <f>BD191*VLOOKUP('Données projet'!$B$11,Paramètres!$A$1:$I$89,3,0)*VLOOKUP('Données projet'!$B$11,Paramètres!$A$1:$I$89,5,0)</f>
        <v>1.738044375088066E-13</v>
      </c>
      <c r="BF191" s="13">
        <f t="shared" si="167"/>
        <v>2.4483293633950478E-12</v>
      </c>
      <c r="BG191" s="20">
        <f t="shared" si="168"/>
        <v>4.566883036574213E-12</v>
      </c>
      <c r="BH191" s="59">
        <f t="shared" si="116"/>
        <v>289.91839713868478</v>
      </c>
      <c r="BI191" s="59">
        <f ca="1">AVERAGE(OFFSET($BH$3,0,0,'Données projet'!$E$11+1,1))-AVERAGE(OFFSET($H$3,0,0,'Données projet'!$E$11+1,1))</f>
        <v>341.62910675299065</v>
      </c>
      <c r="BJ191" s="59">
        <f t="shared" si="146"/>
        <v>407.15938341104709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9.9914014755256773</v>
      </c>
      <c r="BQ191" s="21">
        <f>EXP(-LN(2)/25)*BQ190+(1-EXP(-LN(2)/25))/(LN(2)/25)*Calculateur!BL191*Calculateur!BN191*VLOOKUP('Données projet'!$B$11,Paramètres!$A$1:$I$89,3,0)*0.475*44/12</f>
        <v>1.8179763626633629</v>
      </c>
      <c r="BR191" s="21">
        <f>EXP(-LN(2)/2)*BR190+(1-EXP(-LN(2)/2))/(LN(2)/2)*BL191*BO191*VLOOKUP('Données projet'!$B$11,Paramètres!$A$1:$I$89,3,0)*0.475*44/12</f>
        <v>7.2614993611808201E-19</v>
      </c>
      <c r="BS191" s="22">
        <f t="shared" si="169"/>
        <v>11.80937783818904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289.9776386470088</v>
      </c>
      <c r="S192" s="59">
        <f ca="1">AVERAGE(OFFSET($R$3,0,0,'Données projet'!$E$9+1,1))-AVERAGE(OFFSET($H$3,0,0,'Données projet'!$E$9+1,1))</f>
        <v>507.66185230065889</v>
      </c>
      <c r="T192" s="59">
        <f t="shared" si="142"/>
        <v>640.14375617778342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28.89338454819282</v>
      </c>
      <c r="AA192" s="21">
        <f>EXP(-LN(2)/25)*AA191+(1-EXP(-LN(2)/25))/(LN(2)/25)*Calculateur!V192*Calculateur!X192*VLOOKUP('Données projet'!$B$9,Paramètres!$A$1:$I$89,3,0)*0.475*44/12</f>
        <v>0.71376690481459248</v>
      </c>
      <c r="AB192" s="21">
        <f>EXP(-LN(2)/2)*AB191+(1-EXP(-LN(2)/2))/(LN(2)/2)*V192*Y192*VLOOKUP('Données projet'!$B$9,Paramètres!$A$1:$I$89,3,0)*0.475*44/12</f>
        <v>1.0787783067434754E-21</v>
      </c>
      <c r="AC192" s="22">
        <f t="shared" si="163"/>
        <v>29.607151453007411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-1.5961632016114892E-13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332.74717458063787</v>
      </c>
      <c r="AO192" s="59">
        <f t="shared" si="144"/>
        <v>408.69087885751878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20.099255916886797</v>
      </c>
      <c r="AV192" s="21">
        <f>EXP(-LN(2)/25)*AV191+(1-EXP(-LN(2)/25))/(LN(2)/25)*Calculateur!AQ192*Calculateur!AS192*VLOOKUP('Données projet'!$B$10,Paramètres!$A$1:$I$89,3,0)*0.475*44/12</f>
        <v>0.81724912139582062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20.916505038282619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1.9895196601282805E-13</v>
      </c>
      <c r="BE192" s="13">
        <f>BD192*VLOOKUP('Données projet'!$B$11,Paramètres!$A$1:$I$89,3,0)*VLOOKUP('Données projet'!$B$11,Paramètres!$A$1:$I$89,5,0)</f>
        <v>1.738044375088066E-13</v>
      </c>
      <c r="BF192" s="13">
        <f t="shared" si="167"/>
        <v>2.4483293633950478E-12</v>
      </c>
      <c r="BG192" s="20">
        <f t="shared" si="168"/>
        <v>4.566883036574213E-12</v>
      </c>
      <c r="BH192" s="59">
        <f t="shared" si="116"/>
        <v>289.9776386470084</v>
      </c>
      <c r="BI192" s="59">
        <f ca="1">AVERAGE(OFFSET($BH$3,0,0,'Données projet'!$E$11+1,1))-AVERAGE(OFFSET($H$3,0,0,'Données projet'!$E$11+1,1))</f>
        <v>341.62910675299065</v>
      </c>
      <c r="BJ192" s="59">
        <f t="shared" si="146"/>
        <v>407.15938341104709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9.7954761867437714</v>
      </c>
      <c r="BQ192" s="21">
        <f>EXP(-LN(2)/25)*BQ191+(1-EXP(-LN(2)/25))/(LN(2)/25)*Calculateur!BL192*Calculateur!BN192*VLOOKUP('Données projet'!$B$11,Paramètres!$A$1:$I$89,3,0)*0.475*44/12</f>
        <v>1.7682637034231115</v>
      </c>
      <c r="BR192" s="21">
        <f>EXP(-LN(2)/2)*BR191+(1-EXP(-LN(2)/2))/(LN(2)/2)*BL192*BO192*VLOOKUP('Données projet'!$B$11,Paramètres!$A$1:$I$89,3,0)*0.475*44/12</f>
        <v>5.1346554398727407E-19</v>
      </c>
      <c r="BS192" s="22">
        <f t="shared" si="169"/>
        <v>11.563739890166882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290.03585244760723</v>
      </c>
      <c r="S193" s="59">
        <f ca="1">AVERAGE(OFFSET($R$3,0,0,'Données projet'!$E$9+1,1))-AVERAGE(OFFSET($H$3,0,0,'Données projet'!$E$9+1,1))</f>
        <v>507.66185230065889</v>
      </c>
      <c r="T193" s="59">
        <f t="shared" si="142"/>
        <v>640.14375617778342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28.326802900427186</v>
      </c>
      <c r="AA193" s="21">
        <f>EXP(-LN(2)/25)*AA192+(1-EXP(-LN(2)/25))/(LN(2)/25)*Calculateur!V193*Calculateur!X193*VLOOKUP('Données projet'!$B$9,Paramètres!$A$1:$I$89,3,0)*0.475*44/12</f>
        <v>0.69424891126706723</v>
      </c>
      <c r="AB193" s="21">
        <f>EXP(-LN(2)/2)*AB192+(1-EXP(-LN(2)/2))/(LN(2)/2)*V193*Y193*VLOOKUP('Données projet'!$B$9,Paramètres!$A$1:$I$89,3,0)*0.475*44/12</f>
        <v>7.6281145609525291E-22</v>
      </c>
      <c r="AC193" s="22">
        <f t="shared" si="163"/>
        <v>29.021051811694253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-1.5961632016114892E-13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332.74717458063787</v>
      </c>
      <c r="AO193" s="59">
        <f t="shared" si="144"/>
        <v>408.69087885751878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19.705121767692248</v>
      </c>
      <c r="AV193" s="21">
        <f>EXP(-LN(2)/25)*AV192+(1-EXP(-LN(2)/25))/(LN(2)/25)*Calculateur!AQ193*Calculateur!AS193*VLOOKUP('Données projet'!$B$10,Paramètres!$A$1:$I$89,3,0)*0.475*44/12</f>
        <v>0.79490140119398844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20.500023168886237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1.9895196601282805E-13</v>
      </c>
      <c r="BE193" s="13">
        <f>BD193*VLOOKUP('Données projet'!$B$11,Paramètres!$A$1:$I$89,3,0)*VLOOKUP('Données projet'!$B$11,Paramètres!$A$1:$I$89,5,0)</f>
        <v>1.738044375088066E-13</v>
      </c>
      <c r="BF193" s="13">
        <f t="shared" si="167"/>
        <v>2.4483293633950478E-12</v>
      </c>
      <c r="BG193" s="20">
        <f t="shared" si="168"/>
        <v>4.566883036574213E-12</v>
      </c>
      <c r="BH193" s="59">
        <f t="shared" si="116"/>
        <v>290.03585244760683</v>
      </c>
      <c r="BI193" s="59">
        <f ca="1">AVERAGE(OFFSET($BH$3,0,0,'Données projet'!$E$11+1,1))-AVERAGE(OFFSET($H$3,0,0,'Données projet'!$E$11+1,1))</f>
        <v>341.62910675299065</v>
      </c>
      <c r="BJ193" s="59">
        <f t="shared" si="146"/>
        <v>407.15938341104709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9.6033928733722522</v>
      </c>
      <c r="BQ193" s="21">
        <f>EXP(-LN(2)/25)*BQ192+(1-EXP(-LN(2)/25))/(LN(2)/25)*Calculateur!BL193*Calculateur!BN193*VLOOKUP('Données projet'!$B$11,Paramètres!$A$1:$I$89,3,0)*0.475*44/12</f>
        <v>1.7199104394640596</v>
      </c>
      <c r="BR193" s="21">
        <f>EXP(-LN(2)/2)*BR192+(1-EXP(-LN(2)/2))/(LN(2)/2)*BL193*BO193*VLOOKUP('Données projet'!$B$11,Paramètres!$A$1:$I$89,3,0)*0.475*44/12</f>
        <v>3.6307496805904101E-19</v>
      </c>
      <c r="BS193" s="22">
        <f t="shared" si="169"/>
        <v>11.323303312836313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290.09305636891179</v>
      </c>
      <c r="S194" s="59">
        <f ca="1">AVERAGE(OFFSET($R$3,0,0,'Données projet'!$E$9+1,1))-AVERAGE(OFFSET($H$3,0,0,'Données projet'!$E$9+1,1))</f>
        <v>507.66185230065889</v>
      </c>
      <c r="T194" s="59">
        <f t="shared" si="142"/>
        <v>640.14375617778342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27.771331573193553</v>
      </c>
      <c r="AA194" s="21">
        <f>EXP(-LN(2)/25)*AA193+(1-EXP(-LN(2)/25))/(LN(2)/25)*Calculateur!V194*Calculateur!X194*VLOOKUP('Données projet'!$B$9,Paramètres!$A$1:$I$89,3,0)*0.475*44/12</f>
        <v>0.67526463827950578</v>
      </c>
      <c r="AB194" s="21">
        <f>EXP(-LN(2)/2)*AB193+(1-EXP(-LN(2)/2))/(LN(2)/2)*V194*Y194*VLOOKUP('Données projet'!$B$9,Paramètres!$A$1:$I$89,3,0)*0.475*44/12</f>
        <v>5.393891533717377E-22</v>
      </c>
      <c r="AC194" s="22">
        <f t="shared" si="163"/>
        <v>28.446596211473057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-1.5961632016114892E-13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332.74717458063787</v>
      </c>
      <c r="AO194" s="59">
        <f t="shared" si="144"/>
        <v>408.69087885751878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19.31871634876531</v>
      </c>
      <c r="AV194" s="21">
        <f>EXP(-LN(2)/25)*AV193+(1-EXP(-LN(2)/25))/(LN(2)/25)*Calculateur!AQ194*Calculateur!AS194*VLOOKUP('Données projet'!$B$10,Paramètres!$A$1:$I$89,3,0)*0.475*44/12</f>
        <v>0.7731647805762909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20.091881129341601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1.9895196601282805E-13</v>
      </c>
      <c r="BE194" s="13">
        <f>BD194*VLOOKUP('Données projet'!$B$11,Paramètres!$A$1:$I$89,3,0)*VLOOKUP('Données projet'!$B$11,Paramètres!$A$1:$I$89,5,0)</f>
        <v>1.738044375088066E-13</v>
      </c>
      <c r="BF194" s="13">
        <f t="shared" si="167"/>
        <v>2.4483293633950478E-12</v>
      </c>
      <c r="BG194" s="20">
        <f t="shared" si="168"/>
        <v>4.566883036574213E-12</v>
      </c>
      <c r="BH194" s="59">
        <f t="shared" si="116"/>
        <v>290.09305636891139</v>
      </c>
      <c r="BI194" s="59">
        <f ca="1">AVERAGE(OFFSET($BH$3,0,0,'Données projet'!$E$11+1,1))-AVERAGE(OFFSET($H$3,0,0,'Données projet'!$E$11+1,1))</f>
        <v>341.62910675299065</v>
      </c>
      <c r="BJ194" s="59">
        <f t="shared" si="146"/>
        <v>407.15938341104709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9.4150761966166954</v>
      </c>
      <c r="BQ194" s="21">
        <f>EXP(-LN(2)/25)*BQ193+(1-EXP(-LN(2)/25))/(LN(2)/25)*Calculateur!BL194*Calculateur!BN194*VLOOKUP('Données projet'!$B$11,Paramètres!$A$1:$I$89,3,0)*0.475*44/12</f>
        <v>1.6728793980507559</v>
      </c>
      <c r="BR194" s="21">
        <f>EXP(-LN(2)/2)*BR193+(1-EXP(-LN(2)/2))/(LN(2)/2)*BL194*BO194*VLOOKUP('Données projet'!$B$11,Paramètres!$A$1:$I$89,3,0)*0.475*44/12</f>
        <v>2.5673277199363703E-19</v>
      </c>
      <c r="BS194" s="22">
        <f t="shared" si="169"/>
        <v>11.087955594667452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290.14926793007061</v>
      </c>
      <c r="S195" s="59">
        <f ca="1">AVERAGE(OFFSET($R$3,0,0,'Données projet'!$E$9+1,1))-AVERAGE(OFFSET($H$3,0,0,'Données projet'!$E$9+1,1))</f>
        <v>507.66185230065889</v>
      </c>
      <c r="T195" s="59">
        <f t="shared" si="142"/>
        <v>640.14375617778342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27.226752699882915</v>
      </c>
      <c r="AA195" s="21">
        <f>EXP(-LN(2)/25)*AA194+(1-EXP(-LN(2)/25))/(LN(2)/25)*Calculateur!V195*Calculateur!X195*VLOOKUP('Données projet'!$B$9,Paramètres!$A$1:$I$89,3,0)*0.475*44/12</f>
        <v>0.65679949123512871</v>
      </c>
      <c r="AB195" s="21">
        <f>EXP(-LN(2)/2)*AB194+(1-EXP(-LN(2)/2))/(LN(2)/2)*V195*Y195*VLOOKUP('Données projet'!$B$9,Paramètres!$A$1:$I$89,3,0)*0.475*44/12</f>
        <v>3.8140572804762646E-22</v>
      </c>
      <c r="AC195" s="22">
        <f t="shared" si="163"/>
        <v>27.883552191118046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-1.5961632016114892E-13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332.74717458063787</v>
      </c>
      <c r="AO195" s="59">
        <f t="shared" si="144"/>
        <v>408.69087885751878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18.939888104419495</v>
      </c>
      <c r="AV195" s="21">
        <f>EXP(-LN(2)/25)*AV194+(1-EXP(-LN(2)/25))/(LN(2)/25)*Calculateur!AQ195*Calculateur!AS195*VLOOKUP('Données projet'!$B$10,Paramètres!$A$1:$I$89,3,0)*0.475*44/12</f>
        <v>0.75202254899246346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19.691910653411959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1.9895196601282805E-13</v>
      </c>
      <c r="BE195" s="13">
        <f>BD195*VLOOKUP('Données projet'!$B$11,Paramètres!$A$1:$I$89,3,0)*VLOOKUP('Données projet'!$B$11,Paramètres!$A$1:$I$89,5,0)</f>
        <v>1.738044375088066E-13</v>
      </c>
      <c r="BF195" s="13">
        <f t="shared" si="167"/>
        <v>2.4483293633950478E-12</v>
      </c>
      <c r="BG195" s="20">
        <f t="shared" si="168"/>
        <v>4.566883036574213E-12</v>
      </c>
      <c r="BH195" s="59">
        <f t="shared" si="116"/>
        <v>290.14926793007021</v>
      </c>
      <c r="BI195" s="59">
        <f ca="1">AVERAGE(OFFSET($BH$3,0,0,'Données projet'!$E$11+1,1))-AVERAGE(OFFSET($H$3,0,0,'Données projet'!$E$11+1,1))</f>
        <v>341.62910675299065</v>
      </c>
      <c r="BJ195" s="59">
        <f t="shared" si="146"/>
        <v>407.15938341104709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9.230452295030485</v>
      </c>
      <c r="BQ195" s="21">
        <f>EXP(-LN(2)/25)*BQ194+(1-EXP(-LN(2)/25))/(LN(2)/25)*Calculateur!BL195*Calculateur!BN195*VLOOKUP('Données projet'!$B$11,Paramètres!$A$1:$I$89,3,0)*0.475*44/12</f>
        <v>1.6271344229381539</v>
      </c>
      <c r="BR195" s="21">
        <f>EXP(-LN(2)/2)*BR194+(1-EXP(-LN(2)/2))/(LN(2)/2)*BL195*BO195*VLOOKUP('Données projet'!$B$11,Paramètres!$A$1:$I$89,3,0)*0.475*44/12</f>
        <v>1.815374840295205E-19</v>
      </c>
      <c r="BS195" s="22">
        <f t="shared" si="169"/>
        <v>10.857586717968639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290.20450434631346</v>
      </c>
      <c r="S196" s="59">
        <f ca="1">AVERAGE(OFFSET($R$3,0,0,'Données projet'!$E$9+1,1))-AVERAGE(OFFSET($H$3,0,0,'Données projet'!$E$9+1,1))</f>
        <v>507.66185230065889</v>
      </c>
      <c r="T196" s="59">
        <f t="shared" si="142"/>
        <v>640.14375617778342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26.692852686117586</v>
      </c>
      <c r="AA196" s="21">
        <f>EXP(-LN(2)/25)*AA195+(1-EXP(-LN(2)/25))/(LN(2)/25)*Calculateur!V196*Calculateur!X196*VLOOKUP('Données projet'!$B$9,Paramètres!$A$1:$I$89,3,0)*0.475*44/12</f>
        <v>0.63883927460772005</v>
      </c>
      <c r="AB196" s="21">
        <f>EXP(-LN(2)/2)*AB195+(1-EXP(-LN(2)/2))/(LN(2)/2)*V196*Y196*VLOOKUP('Données projet'!$B$9,Paramètres!$A$1:$I$89,3,0)*0.475*44/12</f>
        <v>2.6969457668586885E-22</v>
      </c>
      <c r="AC196" s="22">
        <f t="shared" si="163"/>
        <v>27.331691960725305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-1.5961632016114892E-13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332.74717458063787</v>
      </c>
      <c r="AO196" s="59">
        <f t="shared" si="144"/>
        <v>408.69087885751878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18.568488450882889</v>
      </c>
      <c r="AV196" s="21">
        <f>EXP(-LN(2)/25)*AV195+(1-EXP(-LN(2)/25))/(LN(2)/25)*Calculateur!AQ196*Calculateur!AS196*VLOOKUP('Données projet'!$B$10,Paramètres!$A$1:$I$89,3,0)*0.475*44/12</f>
        <v>0.7314584528431175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19.299946903726006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1.9895196601282805E-13</v>
      </c>
      <c r="BE196" s="13">
        <f>BD196*VLOOKUP('Données projet'!$B$11,Paramètres!$A$1:$I$89,3,0)*VLOOKUP('Données projet'!$B$11,Paramètres!$A$1:$I$89,5,0)</f>
        <v>1.738044375088066E-13</v>
      </c>
      <c r="BF196" s="13">
        <f t="shared" si="167"/>
        <v>2.4483293633950478E-12</v>
      </c>
      <c r="BG196" s="20">
        <f t="shared" si="168"/>
        <v>4.566883036574213E-12</v>
      </c>
      <c r="BH196" s="59">
        <f t="shared" ref="BH196:BH203" si="194">BG196+(AY196+AZ196)*44/12</f>
        <v>290.20450434631306</v>
      </c>
      <c r="BI196" s="59">
        <f ca="1">AVERAGE(OFFSET($BH$3,0,0,'Données projet'!$E$11+1,1))-AVERAGE(OFFSET($H$3,0,0,'Données projet'!$E$11+1,1))</f>
        <v>341.62910675299065</v>
      </c>
      <c r="BJ196" s="59">
        <f t="shared" si="146"/>
        <v>407.15938341104709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9.049448755544919</v>
      </c>
      <c r="BQ196" s="21">
        <f>EXP(-LN(2)/25)*BQ195+(1-EXP(-LN(2)/25))/(LN(2)/25)*Calculateur!BL196*Calculateur!BN196*VLOOKUP('Données projet'!$B$11,Paramètres!$A$1:$I$89,3,0)*0.475*44/12</f>
        <v>1.5826403465756296</v>
      </c>
      <c r="BR196" s="21">
        <f>EXP(-LN(2)/2)*BR195+(1-EXP(-LN(2)/2))/(LN(2)/2)*BL196*BO196*VLOOKUP('Données projet'!$B$11,Paramètres!$A$1:$I$89,3,0)*0.475*44/12</f>
        <v>1.2836638599681852E-19</v>
      </c>
      <c r="BS196" s="22">
        <f t="shared" si="169"/>
        <v>10.632089102120549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290.25878253422468</v>
      </c>
      <c r="S197" s="59">
        <f ca="1">AVERAGE(OFFSET($R$3,0,0,'Données projet'!$E$9+1,1))-AVERAGE(OFFSET($H$3,0,0,'Données projet'!$E$9+1,1))</f>
        <v>507.66185230065889</v>
      </c>
      <c r="T197" s="59">
        <f t="shared" ref="T197:T203" si="204">$T$3</f>
        <v>640.14375617778342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26.169422125975341</v>
      </c>
      <c r="AA197" s="21">
        <f>EXP(-LN(2)/25)*AA196+(1-EXP(-LN(2)/25))/(LN(2)/25)*Calculateur!V197*Calculateur!X197*VLOOKUP('Données projet'!$B$9,Paramètres!$A$1:$I$89,3,0)*0.475*44/12</f>
        <v>0.62137018104847463</v>
      </c>
      <c r="AB197" s="21">
        <f>EXP(-LN(2)/2)*AB196+(1-EXP(-LN(2)/2))/(LN(2)/2)*V197*Y197*VLOOKUP('Données projet'!$B$9,Paramètres!$A$1:$I$89,3,0)*0.475*44/12</f>
        <v>1.9070286402381323E-22</v>
      </c>
      <c r="AC197" s="22">
        <f t="shared" si="163"/>
        <v>26.790792307023814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-1.5961632016114892E-13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332.74717458063787</v>
      </c>
      <c r="AO197" s="59">
        <f t="shared" ref="AO197:AO203" si="205">$AO$3</f>
        <v>408.69087885751878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18.204371718020713</v>
      </c>
      <c r="AV197" s="21">
        <f>EXP(-LN(2)/25)*AV196+(1-EXP(-LN(2)/25))/(LN(2)/25)*Calculateur!AQ197*Calculateur!AS197*VLOOKUP('Données projet'!$B$10,Paramètres!$A$1:$I$89,3,0)*0.475*44/12</f>
        <v>0.71145668298439424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18.915828401005108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1.9895196601282805E-13</v>
      </c>
      <c r="BE197" s="13">
        <f>BD197*VLOOKUP('Données projet'!$B$11,Paramètres!$A$1:$I$89,3,0)*VLOOKUP('Données projet'!$B$11,Paramètres!$A$1:$I$89,5,0)</f>
        <v>1.738044375088066E-13</v>
      </c>
      <c r="BF197" s="13">
        <f t="shared" si="167"/>
        <v>2.4483293633950478E-12</v>
      </c>
      <c r="BG197" s="20">
        <f t="shared" si="168"/>
        <v>4.566883036574213E-12</v>
      </c>
      <c r="BH197" s="59">
        <f t="shared" si="194"/>
        <v>290.25878253422428</v>
      </c>
      <c r="BI197" s="59">
        <f ca="1">AVERAGE(OFFSET($BH$3,0,0,'Données projet'!$E$11+1,1))-AVERAGE(OFFSET($H$3,0,0,'Données projet'!$E$11+1,1))</f>
        <v>341.62910675299065</v>
      </c>
      <c r="BJ197" s="59">
        <f t="shared" ref="BJ197:BJ203" si="206">$BJ$3</f>
        <v>407.15938341104709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8.8719945850674069</v>
      </c>
      <c r="BQ197" s="21">
        <f>EXP(-LN(2)/25)*BQ196+(1-EXP(-LN(2)/25))/(LN(2)/25)*Calculateur!BL197*Calculateur!BN197*VLOOKUP('Données projet'!$B$11,Paramètres!$A$1:$I$89,3,0)*0.475*44/12</f>
        <v>1.5393629630710803</v>
      </c>
      <c r="BR197" s="21">
        <f>EXP(-LN(2)/2)*BR196+(1-EXP(-LN(2)/2))/(LN(2)/2)*BL197*BO197*VLOOKUP('Données projet'!$B$11,Paramètres!$A$1:$I$89,3,0)*0.475*44/12</f>
        <v>9.0768742014760252E-20</v>
      </c>
      <c r="BS197" s="22">
        <f t="shared" si="169"/>
        <v>10.411357548138486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290.31211911692344</v>
      </c>
      <c r="S198" s="59">
        <f ca="1">AVERAGE(OFFSET($R$3,0,0,'Données projet'!$E$9+1,1))-AVERAGE(OFFSET($H$3,0,0,'Données projet'!$E$9+1,1))</f>
        <v>507.66185230065889</v>
      </c>
      <c r="T198" s="59">
        <f t="shared" si="204"/>
        <v>640.14375617778342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25.656255719856368</v>
      </c>
      <c r="AA198" s="21">
        <f>EXP(-LN(2)/25)*AA197+(1-EXP(-LN(2)/25))/(LN(2)/25)*Calculateur!V198*Calculateur!X198*VLOOKUP('Données projet'!$B$9,Paramètres!$A$1:$I$89,3,0)*0.475*44/12</f>
        <v>0.60437878077126639</v>
      </c>
      <c r="AB198" s="21">
        <f>EXP(-LN(2)/2)*AB197+(1-EXP(-LN(2)/2))/(LN(2)/2)*V198*Y198*VLOOKUP('Données projet'!$B$9,Paramètres!$A$1:$I$89,3,0)*0.475*44/12</f>
        <v>1.3484728834293442E-22</v>
      </c>
      <c r="AC198" s="22">
        <f t="shared" si="163"/>
        <v>26.260634500627635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-1.5961632016114892E-13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332.74717458063787</v>
      </c>
      <c r="AO198" s="59">
        <f t="shared" si="205"/>
        <v>408.69087885751878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17.847395092200689</v>
      </c>
      <c r="AV198" s="21">
        <f>EXP(-LN(2)/25)*AV197+(1-EXP(-LN(2)/25))/(LN(2)/25)*Calculateur!AQ198*Calculateur!AS198*VLOOKUP('Données projet'!$B$10,Paramètres!$A$1:$I$89,3,0)*0.475*44/12</f>
        <v>0.69200186257430507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18.539396954774993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1.9895196601282805E-13</v>
      </c>
      <c r="BE198" s="13">
        <f>BD198*VLOOKUP('Données projet'!$B$11,Paramètres!$A$1:$I$89,3,0)*VLOOKUP('Données projet'!$B$11,Paramètres!$A$1:$I$89,5,0)</f>
        <v>1.738044375088066E-13</v>
      </c>
      <c r="BF198" s="13">
        <f t="shared" si="167"/>
        <v>2.4483293633950478E-12</v>
      </c>
      <c r="BG198" s="20">
        <f t="shared" si="168"/>
        <v>4.566883036574213E-12</v>
      </c>
      <c r="BH198" s="59">
        <f t="shared" si="194"/>
        <v>290.31211911692304</v>
      </c>
      <c r="BI198" s="59">
        <f ca="1">AVERAGE(OFFSET($BH$3,0,0,'Données projet'!$E$11+1,1))-AVERAGE(OFFSET($H$3,0,0,'Données projet'!$E$11+1,1))</f>
        <v>341.62910675299065</v>
      </c>
      <c r="BJ198" s="59">
        <f t="shared" si="206"/>
        <v>407.15938341104709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8.6980201826366024</v>
      </c>
      <c r="BQ198" s="21">
        <f>EXP(-LN(2)/25)*BQ197+(1-EXP(-LN(2)/25))/(LN(2)/25)*Calculateur!BL198*Calculateur!BN198*VLOOKUP('Données projet'!$B$11,Paramètres!$A$1:$I$89,3,0)*0.475*44/12</f>
        <v>1.4972690018943218</v>
      </c>
      <c r="BR198" s="21">
        <f>EXP(-LN(2)/2)*BR197+(1-EXP(-LN(2)/2))/(LN(2)/2)*BL198*BO198*VLOOKUP('Données projet'!$B$11,Paramètres!$A$1:$I$89,3,0)*0.475*44/12</f>
        <v>6.4183192998409259E-20</v>
      </c>
      <c r="BS198" s="22">
        <f t="shared" si="169"/>
        <v>10.195289184530925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290.36453042915514</v>
      </c>
      <c r="S199" s="59">
        <f ca="1">AVERAGE(OFFSET($R$3,0,0,'Données projet'!$E$9+1,1))-AVERAGE(OFFSET($H$3,0,0,'Données projet'!$E$9+1,1))</f>
        <v>507.66185230065889</v>
      </c>
      <c r="T199" s="59">
        <f t="shared" si="204"/>
        <v>640.14375617778342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25.153152193960786</v>
      </c>
      <c r="AA199" s="21">
        <f>EXP(-LN(2)/25)*AA198+(1-EXP(-LN(2)/25))/(LN(2)/25)*Calculateur!V199*Calculateur!X199*VLOOKUP('Données projet'!$B$9,Paramètres!$A$1:$I$89,3,0)*0.475*44/12</f>
        <v>0.58785201122817732</v>
      </c>
      <c r="AB199" s="21">
        <f>EXP(-LN(2)/2)*AB198+(1-EXP(-LN(2)/2))/(LN(2)/2)*V199*Y199*VLOOKUP('Données projet'!$B$9,Paramètres!$A$1:$I$89,3,0)*0.475*44/12</f>
        <v>9.5351432011906614E-23</v>
      </c>
      <c r="AC199" s="22">
        <f t="shared" si="163"/>
        <v>25.741004205188965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-1.5961632016114892E-13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332.74717458063787</v>
      </c>
      <c r="AO199" s="59">
        <f t="shared" si="205"/>
        <v>408.69087885751878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17.497418560278753</v>
      </c>
      <c r="AV199" s="21">
        <f>EXP(-LN(2)/25)*AV198+(1-EXP(-LN(2)/25))/(LN(2)/25)*Calculateur!AQ199*Calculateur!AS199*VLOOKUP('Données projet'!$B$10,Paramètres!$A$1:$I$89,3,0)*0.475*44/12</f>
        <v>0.67307903525141433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18.170497595530168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1.9895196601282805E-13</v>
      </c>
      <c r="BE199" s="13">
        <f>BD199*VLOOKUP('Données projet'!$B$11,Paramètres!$A$1:$I$89,3,0)*VLOOKUP('Données projet'!$B$11,Paramètres!$A$1:$I$89,5,0)</f>
        <v>1.738044375088066E-13</v>
      </c>
      <c r="BF199" s="13">
        <f t="shared" si="167"/>
        <v>2.4483293633950478E-12</v>
      </c>
      <c r="BG199" s="20">
        <f t="shared" si="168"/>
        <v>4.566883036574213E-12</v>
      </c>
      <c r="BH199" s="59">
        <f t="shared" si="194"/>
        <v>290.36453042915474</v>
      </c>
      <c r="BI199" s="59">
        <f ca="1">AVERAGE(OFFSET($BH$3,0,0,'Données projet'!$E$11+1,1))-AVERAGE(OFFSET($H$3,0,0,'Données projet'!$E$11+1,1))</f>
        <v>341.62910675299065</v>
      </c>
      <c r="BJ199" s="59">
        <f t="shared" si="206"/>
        <v>407.15938341104709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8.5274573121235591</v>
      </c>
      <c r="BQ199" s="21">
        <f>EXP(-LN(2)/25)*BQ198+(1-EXP(-LN(2)/25))/(LN(2)/25)*Calculateur!BL199*Calculateur!BN199*VLOOKUP('Données projet'!$B$11,Paramètres!$A$1:$I$89,3,0)*0.475*44/12</f>
        <v>1.4563261022995668</v>
      </c>
      <c r="BR199" s="21">
        <f>EXP(-LN(2)/2)*BR198+(1-EXP(-LN(2)/2))/(LN(2)/2)*BL199*BO199*VLOOKUP('Données projet'!$B$11,Paramètres!$A$1:$I$89,3,0)*0.475*44/12</f>
        <v>4.5384371007380126E-20</v>
      </c>
      <c r="BS199" s="22">
        <f t="shared" si="169"/>
        <v>9.9837834144231259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290.41603252229373</v>
      </c>
      <c r="S200" s="59">
        <f ca="1">AVERAGE(OFFSET($R$3,0,0,'Données projet'!$E$9+1,1))-AVERAGE(OFFSET($H$3,0,0,'Données projet'!$E$9+1,1))</f>
        <v>507.66185230065889</v>
      </c>
      <c r="T200" s="59">
        <f t="shared" si="204"/>
        <v>640.14375617778342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24.659914221345165</v>
      </c>
      <c r="AA200" s="21">
        <f>EXP(-LN(2)/25)*AA199+(1-EXP(-LN(2)/25))/(LN(2)/25)*Calculateur!V200*Calculateur!X200*VLOOKUP('Données projet'!$B$9,Paramètres!$A$1:$I$89,3,0)*0.475*44/12</f>
        <v>0.57177716706734905</v>
      </c>
      <c r="AB200" s="21">
        <f>EXP(-LN(2)/2)*AB199+(1-EXP(-LN(2)/2))/(LN(2)/2)*V200*Y200*VLOOKUP('Données projet'!$B$9,Paramètres!$A$1:$I$89,3,0)*0.475*44/12</f>
        <v>6.7423644171467212E-23</v>
      </c>
      <c r="AC200" s="22">
        <f t="shared" si="163"/>
        <v>25.231691388412514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-1.5961632016114892E-13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332.74717458063787</v>
      </c>
      <c r="AO200" s="59">
        <f t="shared" si="205"/>
        <v>408.69087885751878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17.1543048546832</v>
      </c>
      <c r="AV200" s="21">
        <f>EXP(-LN(2)/25)*AV199+(1-EXP(-LN(2)/25))/(LN(2)/25)*Calculateur!AQ200*Calculateur!AS200*VLOOKUP('Données projet'!$B$10,Paramètres!$A$1:$I$89,3,0)*0.475*44/12</f>
        <v>0.65467365363677632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17.808978508319978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1.9895196601282805E-13</v>
      </c>
      <c r="BE200" s="13">
        <f>BD200*VLOOKUP('Données projet'!$B$11,Paramètres!$A$1:$I$89,3,0)*VLOOKUP('Données projet'!$B$11,Paramètres!$A$1:$I$89,5,0)</f>
        <v>1.738044375088066E-13</v>
      </c>
      <c r="BF200" s="13">
        <f t="shared" si="167"/>
        <v>2.4483293633950478E-12</v>
      </c>
      <c r="BG200" s="20">
        <f t="shared" si="168"/>
        <v>4.566883036574213E-12</v>
      </c>
      <c r="BH200" s="59">
        <f t="shared" si="194"/>
        <v>290.41603252229334</v>
      </c>
      <c r="BI200" s="59">
        <f ca="1">AVERAGE(OFFSET($BH$3,0,0,'Données projet'!$E$11+1,1))-AVERAGE(OFFSET($H$3,0,0,'Données projet'!$E$11+1,1))</f>
        <v>341.62910675299065</v>
      </c>
      <c r="BJ200" s="59">
        <f t="shared" si="206"/>
        <v>407.15938341104709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8.360239075468197</v>
      </c>
      <c r="BQ200" s="21">
        <f>EXP(-LN(2)/25)*BQ199+(1-EXP(-LN(2)/25))/(LN(2)/25)*Calculateur!BL200*Calculateur!BN200*VLOOKUP('Données projet'!$B$11,Paramètres!$A$1:$I$89,3,0)*0.475*44/12</f>
        <v>1.416502788447324</v>
      </c>
      <c r="BR200" s="21">
        <f>EXP(-LN(2)/2)*BR199+(1-EXP(-LN(2)/2))/(LN(2)/2)*BL200*BO200*VLOOKUP('Données projet'!$B$11,Paramètres!$A$1:$I$89,3,0)*0.475*44/12</f>
        <v>3.2091596499204629E-20</v>
      </c>
      <c r="BS200" s="22">
        <f t="shared" si="169"/>
        <v>9.7767418639155217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290.46664116925785</v>
      </c>
      <c r="S201" s="59">
        <f ca="1">AVERAGE(OFFSET($R$3,0,0,'Données projet'!$E$9+1,1))-AVERAGE(OFFSET($H$3,0,0,'Données projet'!$E$9+1,1))</f>
        <v>507.66185230065889</v>
      </c>
      <c r="T201" s="59">
        <f t="shared" si="204"/>
        <v>640.14375617778342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24.176348344527081</v>
      </c>
      <c r="AA201" s="21">
        <f>EXP(-LN(2)/25)*AA200+(1-EXP(-LN(2)/25))/(LN(2)/25)*Calculateur!V201*Calculateur!X201*VLOOKUP('Données projet'!$B$9,Paramètres!$A$1:$I$89,3,0)*0.475*44/12</f>
        <v>0.55614189036543793</v>
      </c>
      <c r="AB201" s="21">
        <f>EXP(-LN(2)/2)*AB200+(1-EXP(-LN(2)/2))/(LN(2)/2)*V201*Y201*VLOOKUP('Données projet'!$B$9,Paramètres!$A$1:$I$89,3,0)*0.475*44/12</f>
        <v>4.7675716005953307E-23</v>
      </c>
      <c r="AC201" s="22">
        <f t="shared" si="163"/>
        <v>24.73249023489252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-1.5961632016114892E-13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332.74717458063787</v>
      </c>
      <c r="AO201" s="59">
        <f t="shared" si="205"/>
        <v>408.69087885751878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16.817919399575679</v>
      </c>
      <c r="AV201" s="21">
        <f>EXP(-LN(2)/25)*AV200+(1-EXP(-LN(2)/25))/(LN(2)/25)*Calculateur!AQ201*Calculateur!AS201*VLOOKUP('Données projet'!$B$10,Paramètres!$A$1:$I$89,3,0)*0.475*44/12</f>
        <v>0.63677156815028746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17.454690967725966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1.9895196601282805E-13</v>
      </c>
      <c r="BE201" s="13">
        <f>BD201*VLOOKUP('Données projet'!$B$11,Paramètres!$A$1:$I$89,3,0)*VLOOKUP('Données projet'!$B$11,Paramètres!$A$1:$I$89,5,0)</f>
        <v>1.738044375088066E-13</v>
      </c>
      <c r="BF201" s="13">
        <f t="shared" si="167"/>
        <v>2.4483293633950478E-12</v>
      </c>
      <c r="BG201" s="20">
        <f t="shared" si="168"/>
        <v>4.566883036574213E-12</v>
      </c>
      <c r="BH201" s="59">
        <f t="shared" si="194"/>
        <v>290.46664116925746</v>
      </c>
      <c r="BI201" s="59">
        <f ca="1">AVERAGE(OFFSET($BH$3,0,0,'Données projet'!$E$11+1,1))-AVERAGE(OFFSET($H$3,0,0,'Données projet'!$E$11+1,1))</f>
        <v>341.62910675299065</v>
      </c>
      <c r="BJ201" s="59">
        <f t="shared" si="206"/>
        <v>407.15938341104709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8.1962998864405936</v>
      </c>
      <c r="BQ201" s="21">
        <f>EXP(-LN(2)/25)*BQ200+(1-EXP(-LN(2)/25))/(LN(2)/25)*Calculateur!BL201*Calculateur!BN201*VLOOKUP('Données projet'!$B$11,Paramètres!$A$1:$I$89,3,0)*0.475*44/12</f>
        <v>1.3777684452065877</v>
      </c>
      <c r="BR201" s="21">
        <f>EXP(-LN(2)/2)*BR200+(1-EXP(-LN(2)/2))/(LN(2)/2)*BL201*BO201*VLOOKUP('Données projet'!$B$11,Paramètres!$A$1:$I$89,3,0)*0.475*44/12</f>
        <v>2.2692185503690063E-20</v>
      </c>
      <c r="BS201" s="22">
        <f t="shared" si="169"/>
        <v>9.5740683316471813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290.51637186934107</v>
      </c>
      <c r="S202" s="59">
        <f ca="1">AVERAGE(OFFSET($R$3,0,0,'Données projet'!$E$9+1,1))-AVERAGE(OFFSET($H$3,0,0,'Données projet'!$E$9+1,1))</f>
        <v>507.66185230065889</v>
      </c>
      <c r="T202" s="59">
        <f t="shared" si="204"/>
        <v>640.14375617778342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23.702264899607339</v>
      </c>
      <c r="AA202" s="21">
        <f>EXP(-LN(2)/25)*AA201+(1-EXP(-LN(2)/25))/(LN(2)/25)*Calculateur!V202*Calculateur!X202*VLOOKUP('Données projet'!$B$9,Paramètres!$A$1:$I$89,3,0)*0.475*44/12</f>
        <v>0.54093416112716408</v>
      </c>
      <c r="AB202" s="21">
        <f>EXP(-LN(2)/2)*AB201+(1-EXP(-LN(2)/2))/(LN(2)/2)*V202*Y202*VLOOKUP('Données projet'!$B$9,Paramètres!$A$1:$I$89,3,0)*0.475*44/12</f>
        <v>3.3711822085733606E-23</v>
      </c>
      <c r="AC202" s="22">
        <f t="shared" si="163"/>
        <v>24.243199060734504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-1.5961632016114892E-13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332.74717458063787</v>
      </c>
      <c r="AO202" s="59">
        <f t="shared" si="205"/>
        <v>408.69087885751878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16.488130258067947</v>
      </c>
      <c r="AV202" s="21">
        <f>EXP(-LN(2)/25)*AV201+(1-EXP(-LN(2)/25))/(LN(2)/25)*Calculateur!AQ202*Calculateur!AS202*VLOOKUP('Données projet'!$B$10,Paramètres!$A$1:$I$89,3,0)*0.475*44/12</f>
        <v>0.61935901613285649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17.107489274200805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1.9895196601282805E-13</v>
      </c>
      <c r="BE202" s="13">
        <f>BD202*VLOOKUP('Données projet'!$B$11,Paramètres!$A$1:$I$89,3,0)*VLOOKUP('Données projet'!$B$11,Paramètres!$A$1:$I$89,5,0)</f>
        <v>1.738044375088066E-13</v>
      </c>
      <c r="BF202" s="13">
        <f t="shared" si="167"/>
        <v>2.4483293633950478E-12</v>
      </c>
      <c r="BG202" s="20">
        <f t="shared" si="168"/>
        <v>4.566883036574213E-12</v>
      </c>
      <c r="BH202" s="59">
        <f t="shared" si="194"/>
        <v>290.51637186934067</v>
      </c>
      <c r="BI202" s="59">
        <f ca="1">AVERAGE(OFFSET($BH$3,0,0,'Données projet'!$E$11+1,1))-AVERAGE(OFFSET($H$3,0,0,'Données projet'!$E$11+1,1))</f>
        <v>341.62910675299065</v>
      </c>
      <c r="BJ202" s="59">
        <f t="shared" si="206"/>
        <v>407.15938341104709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8.0355754449167893</v>
      </c>
      <c r="BQ202" s="21">
        <f>EXP(-LN(2)/25)*BQ201+(1-EXP(-LN(2)/25))/(LN(2)/25)*Calculateur!BL202*Calculateur!BN202*VLOOKUP('Données projet'!$B$11,Paramètres!$A$1:$I$89,3,0)*0.475*44/12</f>
        <v>1.3400932946187201</v>
      </c>
      <c r="BR202" s="21">
        <f>EXP(-LN(2)/2)*BR201+(1-EXP(-LN(2)/2))/(LN(2)/2)*BL202*BO202*VLOOKUP('Données projet'!$B$11,Paramètres!$A$1:$I$89,3,0)*0.475*44/12</f>
        <v>1.6045798249602315E-20</v>
      </c>
      <c r="BS202" s="22">
        <f t="shared" si="169"/>
        <v>9.3756687395355094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290.56523985295905</v>
      </c>
      <c r="S203" s="59">
        <f ca="1">AVERAGE(OFFSET($R$3,0,0,'Données projet'!$E$9+1,1))-AVERAGE(OFFSET($H$3,0,0,'Données projet'!$E$9+1,1))</f>
        <v>507.66185230065889</v>
      </c>
      <c r="T203" s="59">
        <f t="shared" si="204"/>
        <v>640.14375617778342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23.237477941880123</v>
      </c>
      <c r="AA203" s="21">
        <f>EXP(-LN(2)/25)*AA202+(1-EXP(-LN(2)/25))/(LN(2)/25)*Calculateur!V203*Calculateur!X203*VLOOKUP('Données projet'!$B$9,Paramètres!$A$1:$I$89,3,0)*0.475*44/12</f>
        <v>0.52614228804465057</v>
      </c>
      <c r="AB203" s="21">
        <f>EXP(-LN(2)/2)*AB202+(1-EXP(-LN(2)/2))/(LN(2)/2)*V203*Y203*VLOOKUP('Données projet'!$B$9,Paramètres!$A$1:$I$89,3,0)*0.475*44/12</f>
        <v>2.3837858002976653E-23</v>
      </c>
      <c r="AC203" s="22">
        <f t="shared" si="163"/>
        <v>23.763620229924772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-1.5961632016114892E-13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332.74717458063787</v>
      </c>
      <c r="AO203" s="59">
        <f t="shared" si="205"/>
        <v>408.69087885751878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16.164808080473669</v>
      </c>
      <c r="AV203" s="21">
        <f>EXP(-LN(2)/25)*AV202+(1-EXP(-LN(2)/25))/(LN(2)/25)*Calculateur!AQ203*Calculateur!AS203*VLOOKUP('Données projet'!$B$10,Paramètres!$A$1:$I$89,3,0)*0.475*44/12</f>
        <v>0.60242261126602847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16.767230691739698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1.9895196601282805E-13</v>
      </c>
      <c r="BE203" s="13">
        <f>BD203*VLOOKUP('Données projet'!$B$11,Paramètres!$A$1:$I$89,3,0)*VLOOKUP('Données projet'!$B$11,Paramètres!$A$1:$I$89,5,0)</f>
        <v>1.738044375088066E-13</v>
      </c>
      <c r="BF203" s="13">
        <f t="shared" si="167"/>
        <v>2.4483293633950478E-12</v>
      </c>
      <c r="BG203" s="20">
        <f t="shared" si="168"/>
        <v>4.566883036574213E-12</v>
      </c>
      <c r="BH203" s="59">
        <f t="shared" si="194"/>
        <v>290.56523985295865</v>
      </c>
      <c r="BI203" s="59">
        <f ca="1">AVERAGE(OFFSET($BH$3,0,0,'Données projet'!$E$11+1,1))-AVERAGE(OFFSET($H$3,0,0,'Données projet'!$E$11+1,1))</f>
        <v>341.62910675299065</v>
      </c>
      <c r="BJ203" s="59">
        <f t="shared" si="206"/>
        <v>407.15938341104709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7.8780027116590379</v>
      </c>
      <c r="BQ203" s="21">
        <f>EXP(-LN(2)/25)*BQ202+(1-EXP(-LN(2)/25))/(LN(2)/25)*Calculateur!BL203*Calculateur!BN203*VLOOKUP('Données projet'!$B$11,Paramètres!$A$1:$I$89,3,0)*0.475*44/12</f>
        <v>1.3034483730049276</v>
      </c>
      <c r="BR203" s="21">
        <f>EXP(-LN(2)/2)*BR202+(1-EXP(-LN(2)/2))/(LN(2)/2)*BL203*BO203*VLOOKUP('Données projet'!$B$11,Paramètres!$A$1:$I$89,3,0)*0.475*44/12</f>
        <v>1.1346092751845031E-20</v>
      </c>
      <c r="BS203" s="22">
        <f t="shared" si="169"/>
        <v>9.1814510846639656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1.2671315883708416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1.2816422091414759</v>
      </c>
      <c r="BA205" s="82">
        <f>EXP(LN('Données projet'!B88)/'Données projet'!A88)</f>
        <v>1.3467943429205997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6328125" defaultRowHeight="14.5" x14ac:dyDescent="0.35"/>
  <cols>
    <col min="1" max="1" width="23.36328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36328125" style="4" bestFit="1" customWidth="1"/>
    <col min="8" max="8" width="39" style="4" bestFit="1" customWidth="1"/>
    <col min="9" max="9" width="16.7265625" style="4" customWidth="1"/>
    <col min="10" max="14" width="11.36328125" style="4"/>
    <col min="15" max="15" width="23.36328125" style="4" bestFit="1" customWidth="1"/>
    <col min="16" max="16384" width="11.36328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3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3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3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144</v>
      </c>
      <c r="B15" s="123" t="s">
        <v>145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21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19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113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113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113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113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113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113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113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113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113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113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113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113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113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113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113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113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113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113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113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113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113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113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113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113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220</v>
      </c>
      <c r="B62" s="123" t="s">
        <v>221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222</v>
      </c>
      <c r="B63" s="123" t="s">
        <v>223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225</v>
      </c>
      <c r="B64" s="123" t="s">
        <v>226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227</v>
      </c>
      <c r="B65" s="123" t="s">
        <v>228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229</v>
      </c>
      <c r="B66" s="123" t="s">
        <v>230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231</v>
      </c>
      <c r="B67" s="123" t="s">
        <v>232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233</v>
      </c>
      <c r="B68" s="123" t="s">
        <v>234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235</v>
      </c>
      <c r="B69" s="123" t="s">
        <v>236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237</v>
      </c>
      <c r="B70" s="123" t="s">
        <v>238</v>
      </c>
      <c r="C70" s="124">
        <v>0.48</v>
      </c>
      <c r="D70" s="124" t="s">
        <v>112</v>
      </c>
      <c r="E70" s="124">
        <v>2.4</v>
      </c>
      <c r="F70" s="124" t="s">
        <v>239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240</v>
      </c>
      <c r="B71" s="123" t="s">
        <v>241</v>
      </c>
      <c r="C71" s="124">
        <v>0.46</v>
      </c>
      <c r="D71" s="124" t="s">
        <v>242</v>
      </c>
      <c r="E71" s="124">
        <v>1.3</v>
      </c>
      <c r="F71" s="125" t="s">
        <v>113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243</v>
      </c>
      <c r="B72" s="123" t="s">
        <v>244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245</v>
      </c>
      <c r="B73" s="123" t="s">
        <v>246</v>
      </c>
      <c r="C73" s="124">
        <v>0.46</v>
      </c>
      <c r="D73" s="124" t="s">
        <v>247</v>
      </c>
      <c r="E73" s="124">
        <v>1.3</v>
      </c>
      <c r="F73" s="125" t="s">
        <v>113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248</v>
      </c>
      <c r="B74" s="123" t="s">
        <v>249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250</v>
      </c>
      <c r="B75" s="123" t="s">
        <v>251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252</v>
      </c>
      <c r="B76" s="123" t="s">
        <v>253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254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255</v>
      </c>
      <c r="B77" s="123" t="s">
        <v>256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257</v>
      </c>
      <c r="B78" s="123" t="s">
        <v>258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259</v>
      </c>
      <c r="B79" s="123" t="s">
        <v>260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261</v>
      </c>
      <c r="B80" s="123" t="s">
        <v>262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263</v>
      </c>
      <c r="B81" s="123" t="s">
        <v>264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265</v>
      </c>
      <c r="B82" s="123" t="s">
        <v>266</v>
      </c>
      <c r="C82" s="124">
        <v>0.35</v>
      </c>
      <c r="D82" s="124" t="s">
        <v>267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268</v>
      </c>
      <c r="B83" s="123" t="s">
        <v>269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270</v>
      </c>
      <c r="B84" s="123" t="s">
        <v>271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272</v>
      </c>
      <c r="B85" s="123" t="s">
        <v>273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274</v>
      </c>
      <c r="B86" s="123" t="s">
        <v>275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276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277</v>
      </c>
      <c r="B87" s="252" t="s">
        <v>278</v>
      </c>
      <c r="C87" s="253">
        <v>0.41</v>
      </c>
      <c r="D87" s="253" t="s">
        <v>279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72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5" zoomScaleNormal="85" workbookViewId="0">
      <selection activeCell="D19" sqref="D19"/>
    </sheetView>
  </sheetViews>
  <sheetFormatPr baseColWidth="10" defaultColWidth="11.36328125" defaultRowHeight="14.5" x14ac:dyDescent="0.35"/>
  <cols>
    <col min="1" max="1" width="22.81640625" style="1" bestFit="1" customWidth="1"/>
    <col min="2" max="2" width="10.6328125" style="1" bestFit="1" customWidth="1"/>
    <col min="3" max="3" width="15.6328125" style="1" bestFit="1" customWidth="1"/>
    <col min="4" max="4" width="13.36328125" style="1" bestFit="1" customWidth="1"/>
    <col min="5" max="8" width="11.36328125" style="1"/>
    <col min="9" max="13" width="11.36328125" style="62"/>
    <col min="14" max="15" width="11.36328125" style="1"/>
    <col min="16" max="17" width="13.36328125" style="1" customWidth="1"/>
    <col min="18" max="16384" width="11.36328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4" t="s">
        <v>281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5.0197000000000003</v>
      </c>
      <c r="C6" s="147">
        <f ca="1">IF(OR('Données projet'!B9="",'Données projet'!C9="",'Données projet'!C9=0%),0,Calculateur!S3)</f>
        <v>507.66185230065889</v>
      </c>
      <c r="D6" s="147">
        <f>IF(OR('Données projet'!B9="",'Données projet'!C9="",'Données projet'!C9=0%),0,Calculateur!T3)</f>
        <v>640.14375617778342</v>
      </c>
      <c r="E6" s="147">
        <f ca="1">MIN(C6,D6)</f>
        <v>507.66185230065889</v>
      </c>
      <c r="F6" s="147">
        <f ca="1">E6*B6</f>
        <v>2548.3101999936175</v>
      </c>
      <c r="G6" s="147">
        <f ca="1">F6*(100%-'Données projet'!$C$24)*(100%-'Données projet'!$C$25)*(100%-'Données projet'!$C$26)*(100%-'Données projet'!$C$27)</f>
        <v>1949.4573029951175</v>
      </c>
      <c r="H6" s="148">
        <f>IF(OR('Données projet'!B9="",'Données projet'!C9="",'Données projet'!C9=0%),0,AVERAGE(Calculateur!$AC$3:$AC$33)*B6)</f>
        <v>5.4498222023148895</v>
      </c>
      <c r="I6" s="149">
        <f>H6*(100%-'Données projet'!$C$24)*(100%-'Données projet'!$C$25)*(100%-'Données projet'!$C$26)*(100%-'Données projet'!$C$27)</f>
        <v>4.16911398477089</v>
      </c>
      <c r="J6" s="150">
        <f>IF(OR('Données projet'!B9="",'Données projet'!C9="",'Données projet'!C9=0%),0,SUM(Calculateur!$V$3:$V$33)*VLOOKUP('Données projet'!$B$9,Paramètres!$A$1:$I$89,9,0)*B6)</f>
        <v>148.93449899999999</v>
      </c>
      <c r="K6" s="151">
        <f>J6*(100%-'Données projet'!$C$24)*(100%-'Données projet'!$C$25)*(100%-'Données projet'!$C$26)*(100%-'Données projet'!$C$27)</f>
        <v>113.93489173499998</v>
      </c>
      <c r="L6" s="152">
        <f ca="1">G6+I6+K6</f>
        <v>2067.5613087148886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Epicéa de Sitka</v>
      </c>
      <c r="B7" s="154">
        <f>'Données projet'!D10</f>
        <v>1.4342000000000001</v>
      </c>
      <c r="C7" s="147">
        <f ca="1">IF(OR('Données projet'!B10="",'Données projet'!C10="",'Données projet'!C10=0%),0,Calculateur!AN3)</f>
        <v>332.74717458063787</v>
      </c>
      <c r="D7" s="147">
        <f>IF(OR('Données projet'!B10="",'Données projet'!C10="",'Données projet'!C10=0%),0,Calculateur!AO3)</f>
        <v>408.69087885751878</v>
      </c>
      <c r="E7" s="147">
        <f t="shared" ref="E7:E15" ca="1" si="0">MIN(C7,D7)</f>
        <v>332.74717458063787</v>
      </c>
      <c r="F7" s="147">
        <f t="shared" ref="F7:F15" ca="1" si="1">E7*B7</f>
        <v>477.22599778355089</v>
      </c>
      <c r="G7" s="147">
        <f ca="1">F7*(100%-'Données projet'!$C$24)*(100%-'Données projet'!$C$25)*(100%-'Données projet'!$C$26)*(100%-'Données projet'!$C$27)</f>
        <v>365.07788830441643</v>
      </c>
      <c r="H7" s="155">
        <f>IF(OR('Données projet'!B10="",'Données projet'!C10="",'Données projet'!C10=0%),0,AVERAGE(Calculateur!$AX$3:$AX$33)*B7)</f>
        <v>8.9581240394051243</v>
      </c>
      <c r="I7" s="149">
        <f>H7*(100%-'Données projet'!$C$24)*(100%-'Données projet'!$C$25)*(100%-'Données projet'!$C$26)*(100%-'Données projet'!$C$27)</f>
        <v>6.8529648901449196</v>
      </c>
      <c r="J7" s="150">
        <f>IF(OR('Données projet'!B10="",'Données projet'!C10="",'Données projet'!C10=0%),0,SUM(Calculateur!$AQ$3:$AQ$33)*VLOOKUP('Données projet'!$B$10,Paramètres!$A$1:$I$89,9,0)*B7)</f>
        <v>106.073432</v>
      </c>
      <c r="K7" s="151">
        <f>J7*(100%-'Données projet'!$C$24)*(100%-'Données projet'!$C$25)*(100%-'Données projet'!$C$26)*(100%-'Données projet'!$C$27)</f>
        <v>81.146175479999997</v>
      </c>
      <c r="L7" s="152">
        <f t="shared" ref="L7:L15" ca="1" si="2">G7+I7+K7</f>
        <v>453.07702867456135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0.71710000000000007</v>
      </c>
      <c r="C8" s="147">
        <f ca="1">IF(OR('Données projet'!B11="",'Données projet'!C11="",'Données projet'!C11=0%),0,Calculateur!BI3)</f>
        <v>341.62910675299065</v>
      </c>
      <c r="D8" s="147">
        <f>IF(OR('Données projet'!B11="",'Données projet'!C11="",'Données projet'!C11=0%),0,Calculateur!BJ3)</f>
        <v>407.15938341104709</v>
      </c>
      <c r="E8" s="147">
        <f t="shared" ca="1" si="0"/>
        <v>341.62910675299065</v>
      </c>
      <c r="F8" s="147">
        <f t="shared" ca="1" si="1"/>
        <v>244.98223245256963</v>
      </c>
      <c r="G8" s="147">
        <f ca="1">F8*(100%-'Données projet'!$C$24)*(100%-'Données projet'!$C$25)*(100%-'Données projet'!$C$26)*(100%-'Données projet'!$C$27)</f>
        <v>187.41140782621576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27.249800000000004</v>
      </c>
      <c r="K8" s="151">
        <f>J8*(100%-'Données projet'!$C$24)*(100%-'Données projet'!$C$25)*(100%-'Données projet'!$C$26)*(100%-'Données projet'!$C$27)</f>
        <v>20.846097000000004</v>
      </c>
      <c r="L8" s="152">
        <f t="shared" ca="1" si="2"/>
        <v>208.25750482621578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3270.5184302297384</v>
      </c>
      <c r="G16" s="166">
        <f t="shared" ca="1" si="3"/>
        <v>2501.9465991257498</v>
      </c>
      <c r="H16" s="167">
        <f t="shared" si="3"/>
        <v>14.407946241720014</v>
      </c>
      <c r="I16" s="167">
        <f t="shared" si="3"/>
        <v>11.02207887491581</v>
      </c>
      <c r="J16" s="168">
        <f t="shared" si="3"/>
        <v>282.25773099999998</v>
      </c>
      <c r="K16" s="168">
        <f t="shared" si="3"/>
        <v>215.92716421499998</v>
      </c>
      <c r="L16" s="169">
        <f t="shared" ca="1" si="3"/>
        <v>2728.8958422156657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6" t="s">
        <v>292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Epicéa de Sitka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3" zoomScale="78" zoomScaleNormal="90" workbookViewId="0">
      <selection activeCell="G26" sqref="G26"/>
    </sheetView>
  </sheetViews>
  <sheetFormatPr baseColWidth="10" defaultColWidth="11.36328125" defaultRowHeight="14.5" x14ac:dyDescent="0.35"/>
  <cols>
    <col min="1" max="1" width="11.36328125" style="1"/>
    <col min="2" max="2" width="30.81640625" style="1" bestFit="1" customWidth="1"/>
    <col min="3" max="3" width="18.08984375" style="1" bestFit="1" customWidth="1"/>
    <col min="4" max="5" width="11.36328125" style="1"/>
    <col min="6" max="6" width="14" style="1" customWidth="1"/>
    <col min="7" max="7" width="17.6328125" style="1" customWidth="1"/>
    <col min="8" max="8" width="21.7265625" style="1" customWidth="1"/>
    <col min="9" max="9" width="37" style="1" customWidth="1"/>
    <col min="10" max="10" width="11.36328125" style="1"/>
    <col min="11" max="11" width="8.81640625" style="1" customWidth="1"/>
    <col min="12" max="12" width="11.36328125" style="1"/>
    <col min="13" max="13" width="21" style="1" customWidth="1"/>
    <col min="14" max="16" width="11.36328125" style="1"/>
    <col min="17" max="17" width="8" style="1" customWidth="1"/>
    <col min="18" max="18" width="11.36328125" style="1"/>
    <col min="19" max="19" width="31" style="1" customWidth="1"/>
    <col min="20" max="20" width="18.08984375" style="1" customWidth="1"/>
    <col min="21" max="21" width="16.36328125" style="1" customWidth="1"/>
    <col min="22" max="22" width="17.81640625" style="1" customWidth="1"/>
    <col min="23" max="16384" width="11.36328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4" t="s">
        <v>293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4" t="s">
        <v>294</v>
      </c>
      <c r="I4" s="264"/>
      <c r="K4" s="288" t="s">
        <v>295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298" t="s">
        <v>296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5125.9897815605709</v>
      </c>
      <c r="U10" s="178">
        <f>'Données projet'!D9</f>
        <v>5.0197000000000003</v>
      </c>
      <c r="V10" s="177">
        <f>U10*T10</f>
        <v>25730.930906499598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Epicéa de Sitka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7617.3485558180382</v>
      </c>
      <c r="U11" s="178">
        <f>'Données projet'!D10</f>
        <v>1.4342000000000001</v>
      </c>
      <c r="V11" s="177">
        <f t="shared" ref="V11" si="0">U11*T11</f>
        <v>10924.801298754232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1913.7121315440918</v>
      </c>
      <c r="U12" s="178">
        <f>'Données projet'!D11</f>
        <v>0.71710000000000007</v>
      </c>
      <c r="V12" s="177">
        <f t="shared" ref="V12:V19" si="1">U12*T12</f>
        <v>1372.3229695302684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77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1" t="s">
        <v>308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48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291"/>
      <c r="H16" s="190"/>
      <c r="I16" s="191"/>
      <c r="J16" s="202"/>
      <c r="K16" s="208"/>
      <c r="L16" s="288" t="s">
        <v>313</v>
      </c>
      <c r="M16" s="28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291"/>
      <c r="J17" s="202"/>
      <c r="K17" s="208"/>
      <c r="L17" s="261" t="s">
        <v>314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291"/>
      <c r="J18" s="202"/>
      <c r="K18" s="208"/>
      <c r="L18" s="261" t="s">
        <v>310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291"/>
      <c r="H19" s="212" t="s">
        <v>77</v>
      </c>
      <c r="I19" s="212" t="s">
        <v>315</v>
      </c>
      <c r="J19" s="93"/>
      <c r="K19" s="173"/>
      <c r="L19" s="288" t="s">
        <v>316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291"/>
      <c r="H20" s="190">
        <v>1</v>
      </c>
      <c r="I20" s="191">
        <f>18279/7.08</f>
        <v>2581.7796610169489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>
        <v>2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>
        <v>3</v>
      </c>
      <c r="I22" s="191">
        <f t="shared" ref="I22:I24" si="2">1200/8.38</f>
        <v>143.19809069212408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25</v>
      </c>
      <c r="B23" s="181">
        <f>'Données projet'!D36</f>
        <v>21</v>
      </c>
      <c r="C23" s="193"/>
      <c r="D23" s="182">
        <f>B23*C23</f>
        <v>0</v>
      </c>
      <c r="E23" s="193"/>
      <c r="F23" s="230"/>
      <c r="H23" s="190">
        <v>4</v>
      </c>
      <c r="I23" s="191">
        <v>500</v>
      </c>
      <c r="K23" s="208"/>
      <c r="L23" s="290" t="s">
        <v>317</v>
      </c>
      <c r="M23" s="290"/>
      <c r="N23" s="290"/>
      <c r="O23" s="23"/>
      <c r="P23" s="23"/>
      <c r="Q23" s="234"/>
      <c r="R23" s="23"/>
      <c r="S23" s="36" t="s">
        <v>318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12297.49138717019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30</v>
      </c>
      <c r="B24" s="181">
        <f>'Données projet'!D37</f>
        <v>48</v>
      </c>
      <c r="C24" s="193">
        <v>8</v>
      </c>
      <c r="D24" s="182">
        <f t="shared" ref="D24:D42" si="3">B24*C24</f>
        <v>384</v>
      </c>
      <c r="E24" s="193">
        <v>60</v>
      </c>
      <c r="F24" s="233"/>
      <c r="H24" s="190">
        <v>5</v>
      </c>
      <c r="I24" s="191">
        <f t="shared" si="2"/>
        <v>143.19809069212408</v>
      </c>
      <c r="K24" s="208"/>
      <c r="O24" s="23"/>
      <c r="P24" s="23"/>
      <c r="Q24" s="234"/>
      <c r="R24" s="23"/>
      <c r="S24" s="36" t="s">
        <v>319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52109.525222971424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35</v>
      </c>
      <c r="B25" s="181">
        <f>'Données projet'!D38</f>
        <v>61</v>
      </c>
      <c r="C25" s="193">
        <v>8</v>
      </c>
      <c r="D25" s="182">
        <f t="shared" si="3"/>
        <v>488</v>
      </c>
      <c r="E25" s="193">
        <v>60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>
        <v>350</v>
      </c>
      <c r="Q25" s="234"/>
      <c r="R25" s="23"/>
      <c r="S25" s="186" t="s">
        <v>321</v>
      </c>
      <c r="T25" s="305">
        <f ca="1">T23-T24</f>
        <v>-39812.033835801238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40</v>
      </c>
      <c r="B26" s="181">
        <f>'Données projet'!D39</f>
        <v>65</v>
      </c>
      <c r="C26" s="193">
        <v>8</v>
      </c>
      <c r="D26" s="182">
        <f t="shared" si="3"/>
        <v>520</v>
      </c>
      <c r="E26" s="193">
        <v>60</v>
      </c>
      <c r="F26" s="233"/>
      <c r="G26" s="229"/>
      <c r="H26" s="190"/>
      <c r="I26" s="191"/>
      <c r="K26" s="208"/>
      <c r="L26" s="292" t="s">
        <v>322</v>
      </c>
      <c r="M26" s="293"/>
      <c r="N26" s="293"/>
      <c r="O26" s="293"/>
      <c r="P26" s="294"/>
      <c r="Q26" s="234"/>
      <c r="R26" s="23"/>
      <c r="S26" s="186" t="s">
        <v>323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69</v>
      </c>
      <c r="C27" s="193">
        <v>40</v>
      </c>
      <c r="D27" s="182">
        <f t="shared" si="3"/>
        <v>2760</v>
      </c>
      <c r="E27" s="193">
        <v>60</v>
      </c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324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50</v>
      </c>
      <c r="B28" s="181">
        <f>'Données projet'!D41</f>
        <v>73</v>
      </c>
      <c r="C28" s="193">
        <v>40</v>
      </c>
      <c r="D28" s="182">
        <f t="shared" si="3"/>
        <v>2920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55</v>
      </c>
      <c r="B29" s="181">
        <f>'Données projet'!D42</f>
        <v>68</v>
      </c>
      <c r="C29" s="193">
        <v>40</v>
      </c>
      <c r="D29" s="182">
        <f t="shared" si="3"/>
        <v>2720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61</v>
      </c>
      <c r="C30" s="193">
        <v>89</v>
      </c>
      <c r="D30" s="182">
        <f t="shared" si="3"/>
        <v>5429</v>
      </c>
      <c r="E30" s="193">
        <v>60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7266.7027224893909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65</v>
      </c>
      <c r="B31" s="181">
        <f>'Données projet'!D44</f>
        <v>700</v>
      </c>
      <c r="C31" s="193">
        <v>89</v>
      </c>
      <c r="D31" s="182">
        <f t="shared" si="3"/>
        <v>62300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350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334.9282296650718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320.5054829330831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306.70381141921825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293.49647025762522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280.85786627523942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268.76350839735841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257.18996018885969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246.11479443910025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235.51654970248828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225.37468871051516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215.66955857465564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Epicéa de Sitka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206.38235270301979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197.49507435695674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48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188.99050177699215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180.85215481051878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173.06426297657308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165.61173490581155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158.48012909647039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151.65562592963676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145.12500088960459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20</v>
      </c>
      <c r="B54" s="181">
        <f>'Données projet'!D62</f>
        <v>48</v>
      </c>
      <c r="C54" s="191">
        <v>8</v>
      </c>
      <c r="D54" s="179">
        <f>B54*C54</f>
        <v>384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138.87559893742065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58</v>
      </c>
      <c r="C55" s="191">
        <v>30</v>
      </c>
      <c r="D55" s="179">
        <f t="shared" ref="D55:D73" si="5">B55*C55</f>
        <v>1740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132.89530998796238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28</v>
      </c>
      <c r="B56" s="181">
        <f>'Données projet'!D64</f>
        <v>66</v>
      </c>
      <c r="C56" s="191">
        <v>30</v>
      </c>
      <c r="D56" s="179">
        <f t="shared" si="5"/>
        <v>1980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127.17254544302619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72</v>
      </c>
      <c r="C57" s="191">
        <v>30</v>
      </c>
      <c r="D57" s="179">
        <f t="shared" si="5"/>
        <v>2160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121.69621573495333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59</v>
      </c>
      <c r="C58" s="191">
        <v>30</v>
      </c>
      <c r="D58" s="179">
        <f t="shared" si="5"/>
        <v>1770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116.45570883727592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40</v>
      </c>
      <c r="B59" s="181">
        <f>'Données projet'!D67</f>
        <v>55</v>
      </c>
      <c r="C59" s="191">
        <v>58</v>
      </c>
      <c r="D59" s="179">
        <f t="shared" si="5"/>
        <v>3190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111.44086970074254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45</v>
      </c>
      <c r="B60" s="181">
        <f>'Données projet'!D68</f>
        <v>62</v>
      </c>
      <c r="C60" s="191">
        <v>58</v>
      </c>
      <c r="D60" s="179">
        <f t="shared" si="5"/>
        <v>3596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106.64198057487323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50</v>
      </c>
      <c r="B61" s="181">
        <f>'Données projet'!D69</f>
        <v>781</v>
      </c>
      <c r="C61" s="191">
        <v>58</v>
      </c>
      <c r="D61" s="179">
        <f t="shared" si="5"/>
        <v>45298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102.04974217691222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97.655255671686319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93.450005427451046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89.425842514307206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85.574968913212686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81.889922404988226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78.363562110036582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74.98905465075272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71.759860909811223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68.669723358671035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65.712653931742622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62.88292242272022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60.175045380593524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57.583775483821562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55.104091372078059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52.731187915864169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50.460466905133188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48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48.287528138883431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46.208160898453052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44.218335787993347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42.314196926309442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40.492054474937262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38.748377487978253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15</v>
      </c>
      <c r="B85" s="181">
        <f>'Données projet'!D88</f>
        <v>21</v>
      </c>
      <c r="C85" s="191">
        <v>8</v>
      </c>
      <c r="D85" s="179">
        <f>B85*C85</f>
        <v>168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43</v>
      </c>
      <c r="C86" s="191">
        <v>8</v>
      </c>
      <c r="D86" s="179">
        <f t="shared" ref="D86:D104" si="7">B86*C86</f>
        <v>344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44</v>
      </c>
      <c r="C87" s="191">
        <v>8</v>
      </c>
      <c r="D87" s="179">
        <f t="shared" si="7"/>
        <v>352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44</v>
      </c>
      <c r="C88" s="191">
        <v>8</v>
      </c>
      <c r="D88" s="179">
        <f t="shared" si="7"/>
        <v>352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35</v>
      </c>
      <c r="B89" s="181">
        <f>'Données projet'!D92</f>
        <v>42</v>
      </c>
      <c r="C89" s="191">
        <v>30</v>
      </c>
      <c r="D89" s="179">
        <f t="shared" si="7"/>
        <v>1260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40</v>
      </c>
      <c r="B90" s="181">
        <f>'Données projet'!D93</f>
        <v>39</v>
      </c>
      <c r="C90" s="191">
        <v>30</v>
      </c>
      <c r="D90" s="179">
        <f t="shared" si="7"/>
        <v>1170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45</v>
      </c>
      <c r="B91" s="181">
        <f>'Données projet'!D94</f>
        <v>36</v>
      </c>
      <c r="C91" s="191">
        <v>30</v>
      </c>
      <c r="D91" s="179">
        <f t="shared" si="7"/>
        <v>1080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50</v>
      </c>
      <c r="B92" s="181">
        <f>'Données projet'!D95</f>
        <v>33</v>
      </c>
      <c r="C92" s="191">
        <v>30</v>
      </c>
      <c r="D92" s="179">
        <f t="shared" si="7"/>
        <v>990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55</v>
      </c>
      <c r="B93" s="181">
        <f>'Données projet'!D96</f>
        <v>29</v>
      </c>
      <c r="C93" s="191">
        <v>30</v>
      </c>
      <c r="D93" s="179">
        <f t="shared" si="7"/>
        <v>870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60</v>
      </c>
      <c r="B94" s="181">
        <f>'Données projet'!D97</f>
        <v>26</v>
      </c>
      <c r="C94" s="191">
        <v>30</v>
      </c>
      <c r="D94" s="179">
        <f t="shared" si="7"/>
        <v>780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65</v>
      </c>
      <c r="B95" s="181">
        <f>'Données projet'!D98</f>
        <v>23</v>
      </c>
      <c r="C95" s="191">
        <v>30</v>
      </c>
      <c r="D95" s="179">
        <f t="shared" si="7"/>
        <v>690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70</v>
      </c>
      <c r="B96" s="181">
        <f>'Données projet'!D99</f>
        <v>249</v>
      </c>
      <c r="C96" s="191">
        <v>60</v>
      </c>
      <c r="D96" s="179">
        <f t="shared" si="7"/>
        <v>14940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48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48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48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48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48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48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48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A523A43B6244795B1699B620A3B37" ma:contentTypeVersion="15" ma:contentTypeDescription="Crée un document." ma:contentTypeScope="" ma:versionID="bc0ba9cbcfe30ecdcf0dfcdf9be081da">
  <xsd:schema xmlns:xsd="http://www.w3.org/2001/XMLSchema" xmlns:xs="http://www.w3.org/2001/XMLSchema" xmlns:p="http://schemas.microsoft.com/office/2006/metadata/properties" xmlns:ns2="e8ccb64d-982d-4ad5-aee8-babd18a39105" xmlns:ns3="60002579-1890-4f1e-b730-80edde186326" targetNamespace="http://schemas.microsoft.com/office/2006/metadata/properties" ma:root="true" ma:fieldsID="64f92ae60706e75a33500fdea8d4daf7" ns2:_="" ns3:_="">
    <xsd:import namespace="e8ccb64d-982d-4ad5-aee8-babd18a39105"/>
    <xsd:import namespace="60002579-1890-4f1e-b730-80edde186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cb64d-982d-4ad5-aee8-babd18a39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2579-1890-4f1e-b730-80edde1863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565a48-7421-48db-91d5-47456c0d9a26}" ma:internalName="TaxCatchAll" ma:showField="CatchAllData" ma:web="60002579-1890-4f1e-b730-80edde1863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08A4D-905D-4EFD-9BBB-D172A30E79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0CB1A-04F2-4DED-A161-BEB8A45D1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cb64d-982d-4ad5-aee8-babd18a39105"/>
    <ds:schemaRef ds:uri="60002579-1890-4f1e-b730-80edde186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Lina MOREL</cp:lastModifiedBy>
  <cp:revision/>
  <dcterms:created xsi:type="dcterms:W3CDTF">2021-02-01T08:22:39Z</dcterms:created>
  <dcterms:modified xsi:type="dcterms:W3CDTF">2022-10-28T13:33:42Z</dcterms:modified>
  <cp:category/>
  <cp:contentStatus/>
</cp:coreProperties>
</file>