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ndros\Dossier labellisation\"/>
    </mc:Choice>
  </mc:AlternateContent>
  <bookViews>
    <workbookView xWindow="0" yWindow="0" windowWidth="20490" windowHeight="7155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53" i="1"/>
  <c r="D52" i="1"/>
  <c r="B52" i="1"/>
  <c r="B51" i="1"/>
  <c r="D50" i="1"/>
  <c r="B50" i="1"/>
  <c r="B49" i="1"/>
  <c r="D48" i="1"/>
  <c r="B48" i="1"/>
  <c r="B47" i="1"/>
  <c r="D44" i="1"/>
  <c r="D46" i="1"/>
  <c r="B46" i="1"/>
  <c r="B45" i="1"/>
  <c r="B44" i="1"/>
  <c r="B43" i="1"/>
  <c r="D42" i="1"/>
  <c r="B42" i="1"/>
  <c r="B41" i="1"/>
  <c r="D40" i="1"/>
  <c r="B40" i="1"/>
  <c r="B39" i="1"/>
  <c r="B38" i="1"/>
  <c r="B182" i="1" l="1"/>
  <c r="D182" i="1" s="1"/>
  <c r="B181" i="1"/>
  <c r="D180" i="1"/>
  <c r="B180" i="1"/>
  <c r="B179" i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B168" i="1"/>
  <c r="B167" i="1"/>
  <c r="B166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D94" i="1" l="1"/>
  <c r="B94" i="1"/>
  <c r="D92" i="1"/>
  <c r="B92" i="1"/>
  <c r="D90" i="1"/>
  <c r="B90" i="1"/>
  <c r="B76" i="1"/>
  <c r="D76" i="1" s="1"/>
  <c r="D74" i="1"/>
  <c r="B74" i="1"/>
  <c r="D72" i="1"/>
  <c r="B72" i="1"/>
  <c r="D70" i="1"/>
  <c r="B70" i="1"/>
  <c r="D68" i="1"/>
  <c r="B68" i="1"/>
  <c r="D66" i="1"/>
  <c r="B66" i="1"/>
  <c r="D64" i="1"/>
  <c r="B64" i="1"/>
  <c r="D5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D154" i="2" l="1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AB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C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AB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D162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EA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EB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D194" i="2"/>
  <c r="EA195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CS52" i="2" a="1"/>
  <c r="CS52" i="2" s="1"/>
  <c r="CS129" i="2" a="1"/>
  <c r="CS129" i="2" s="1"/>
  <c r="DN43" i="2" a="1"/>
  <c r="DN43" i="2" s="1"/>
  <c r="CS116" i="2" a="1"/>
  <c r="CS116" i="2" s="1"/>
  <c r="EI195" i="2" a="1"/>
  <c r="EI195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92" i="2" l="1" a="1"/>
  <c r="DN192" i="2" s="1"/>
  <c r="DN177" i="2" a="1"/>
  <c r="DN177" i="2" s="1"/>
  <c r="DN38" i="2" a="1"/>
  <c r="DN38" i="2" s="1"/>
  <c r="DN123" i="2" a="1"/>
  <c r="DN123" i="2" s="1"/>
  <c r="DN167" i="2" a="1"/>
  <c r="DN167" i="2" s="1"/>
  <c r="DN150" i="2" a="1"/>
  <c r="DN150" i="2" s="1"/>
  <c r="DN153" i="2" a="1"/>
  <c r="DN153" i="2" s="1"/>
  <c r="DN113" i="2" a="1"/>
  <c r="DN113" i="2" s="1"/>
  <c r="DN66" i="2" a="1"/>
  <c r="DN66" i="2" s="1"/>
  <c r="DN188" i="2" a="1"/>
  <c r="DN188" i="2" s="1"/>
  <c r="DN86" i="2" a="1"/>
  <c r="DN86" i="2" s="1"/>
  <c r="DN115" i="2" a="1"/>
  <c r="DN115" i="2" s="1"/>
  <c r="DN152" i="2" a="1"/>
  <c r="DN152" i="2" s="1"/>
  <c r="DN41" i="2" a="1"/>
  <c r="DN41" i="2" s="1"/>
  <c r="DN170" i="2" a="1"/>
  <c r="DN170" i="2" s="1"/>
  <c r="DN129" i="2" a="1"/>
  <c r="DN129" i="2" s="1"/>
  <c r="DN50" i="2" a="1"/>
  <c r="DN50" i="2" s="1"/>
  <c r="DN184" i="2" a="1"/>
  <c r="DN184" i="2" s="1"/>
  <c r="DN137" i="2" a="1"/>
  <c r="DN137" i="2" s="1"/>
  <c r="DN25" i="2" a="1"/>
  <c r="DN25" i="2" s="1"/>
  <c r="DN124" i="2" a="1"/>
  <c r="DN124" i="2" s="1"/>
  <c r="DN29" i="2" a="1"/>
  <c r="DN29" i="2" s="1"/>
  <c r="DN56" i="2" a="1"/>
  <c r="DN56" i="2" s="1"/>
  <c r="DN186" i="2" a="1"/>
  <c r="DN186" i="2" s="1"/>
  <c r="AH151" i="2" a="1"/>
  <c r="AH151" i="2" s="1"/>
  <c r="AH62" i="2" a="1"/>
  <c r="AH62" i="2" s="1"/>
  <c r="AH19" i="2" a="1"/>
  <c r="AH19" i="2" s="1"/>
  <c r="AH199" i="2" a="1"/>
  <c r="AH19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185" i="2"/>
  <c r="CY78" i="2"/>
  <c r="CY98" i="2"/>
  <c r="CY51" i="2"/>
  <c r="CY18" i="2"/>
  <c r="CY3" i="2"/>
  <c r="C10" i="4" s="1"/>
  <c r="E10" i="4" s="1"/>
  <c r="F10" i="4" s="1"/>
  <c r="G10" i="4" s="1"/>
  <c r="L10" i="4" s="1"/>
  <c r="CY89" i="2"/>
  <c r="CY15" i="2"/>
  <c r="CY191" i="2"/>
  <c r="CY88" i="2"/>
  <c r="CY97" i="2"/>
  <c r="CY77" i="2"/>
  <c r="CY79" i="2"/>
  <c r="CY34" i="2"/>
  <c r="CY108" i="2"/>
  <c r="CY155" i="2"/>
  <c r="CY59" i="2"/>
  <c r="CY145" i="2"/>
  <c r="CY186" i="2"/>
  <c r="CY84" i="2"/>
  <c r="CY174" i="2"/>
  <c r="CY63" i="2"/>
  <c r="CY104" i="2"/>
  <c r="CY144" i="2"/>
  <c r="CY83" i="2"/>
  <c r="CY100" i="2"/>
  <c r="CY110" i="2"/>
  <c r="CY44" i="2"/>
  <c r="CY196" i="2"/>
  <c r="CY121" i="2"/>
  <c r="CY175" i="2"/>
  <c r="CY75" i="2"/>
  <c r="CY10" i="2"/>
  <c r="CY101" i="2"/>
  <c r="CY26" i="2"/>
  <c r="CY147" i="2"/>
  <c r="CY92" i="2"/>
  <c r="CY123" i="2"/>
  <c r="CY17" i="2"/>
  <c r="CY117" i="2"/>
  <c r="CY37" i="2"/>
  <c r="CY190" i="2"/>
  <c r="CY102" i="2"/>
  <c r="CY201" i="2"/>
  <c r="CY156" i="2"/>
  <c r="CY7" i="2"/>
  <c r="CY199" i="2"/>
  <c r="CY152" i="2"/>
  <c r="CY116" i="2"/>
  <c r="CY23" i="2"/>
  <c r="CY119" i="2"/>
  <c r="CY103" i="2"/>
  <c r="CY183" i="2"/>
  <c r="CY157" i="2"/>
  <c r="CY94" i="2"/>
  <c r="CY28" i="2"/>
  <c r="CY131" i="2"/>
  <c r="CY125" i="2"/>
  <c r="CY58" i="2"/>
  <c r="CY139" i="2"/>
  <c r="CY82" i="2"/>
  <c r="CY86" i="2"/>
  <c r="CY8" i="2"/>
  <c r="CY55" i="2"/>
  <c r="CY99" i="2"/>
  <c r="CY80" i="2"/>
  <c r="CY159" i="2"/>
  <c r="CY135" i="2"/>
  <c r="CY132" i="2"/>
  <c r="CY56" i="2"/>
  <c r="CY128" i="2"/>
  <c r="CY5" i="2"/>
  <c r="CY168" i="2"/>
  <c r="CY140" i="2"/>
  <c r="CY31" i="2"/>
  <c r="CY87" i="2"/>
  <c r="CY9" i="2"/>
  <c r="CY176" i="2"/>
  <c r="CY54" i="2"/>
  <c r="CY181" i="2"/>
  <c r="CY13" i="2"/>
  <c r="CY25" i="2"/>
  <c r="CY48" i="2"/>
  <c r="CY32" i="2"/>
  <c r="CY166" i="2"/>
  <c r="CY162" i="2"/>
  <c r="CY33" i="2"/>
  <c r="CY161" i="2"/>
  <c r="CY151" i="2"/>
  <c r="CY158" i="2"/>
  <c r="CY76" i="2"/>
  <c r="CY165" i="2"/>
  <c r="CY95" i="2"/>
  <c r="CY111" i="2"/>
  <c r="CY149" i="2"/>
  <c r="CY69" i="2"/>
  <c r="CY109" i="2"/>
  <c r="CY96" i="2"/>
  <c r="CY106" i="2"/>
  <c r="CY41" i="2"/>
  <c r="CY169" i="2"/>
  <c r="CY66" i="2"/>
  <c r="CY164" i="2"/>
  <c r="CY64" i="2"/>
  <c r="CY160" i="2"/>
  <c r="CY40" i="2"/>
  <c r="CY21" i="2"/>
  <c r="CY124" i="2"/>
  <c r="CY60" i="2"/>
  <c r="CY129" i="2"/>
  <c r="CY118" i="2"/>
  <c r="CY130" i="2"/>
  <c r="CY53" i="2"/>
  <c r="CY107" i="2"/>
  <c r="CY70" i="2"/>
  <c r="CY148" i="2"/>
  <c r="CY38" i="2"/>
  <c r="CY67" i="2"/>
  <c r="CY180" i="2"/>
  <c r="CY93" i="2"/>
  <c r="CY62" i="2"/>
  <c r="CY170" i="2"/>
  <c r="CY184" i="2"/>
  <c r="CY30" i="2"/>
  <c r="CY197" i="2"/>
  <c r="CY142" i="2"/>
  <c r="CY200" i="2"/>
  <c r="CY90" i="2"/>
  <c r="CY126" i="2"/>
  <c r="CY195" i="2"/>
  <c r="CY52" i="2"/>
  <c r="CY85" i="2"/>
  <c r="CY138" i="2"/>
  <c r="CY46" i="2"/>
  <c r="CY120" i="2"/>
  <c r="CY133" i="2"/>
  <c r="CY182" i="2"/>
  <c r="CY203" i="2"/>
  <c r="CY188" i="2"/>
  <c r="CY65" i="2"/>
  <c r="CY113" i="2"/>
  <c r="CY202" i="2"/>
  <c r="CY122" i="2"/>
  <c r="CY143" i="2"/>
  <c r="CY36" i="2"/>
  <c r="CY29" i="2"/>
  <c r="CY141" i="2"/>
  <c r="CY72" i="2"/>
  <c r="CY42" i="2"/>
  <c r="CY47" i="2"/>
  <c r="CY153" i="2"/>
  <c r="CY16" i="2"/>
  <c r="CY68" i="2"/>
  <c r="CY136" i="2"/>
  <c r="CY35" i="2"/>
  <c r="CY179" i="2"/>
  <c r="CY73" i="2"/>
  <c r="CY50" i="2"/>
  <c r="CY57" i="2"/>
  <c r="CY167" i="2"/>
  <c r="CY6" i="2"/>
  <c r="CY27" i="2"/>
  <c r="CY171" i="2"/>
  <c r="CY112" i="2"/>
  <c r="CY194" i="2"/>
  <c r="CY22" i="2"/>
  <c r="CY150" i="2"/>
  <c r="CY137" i="2"/>
  <c r="CY105" i="2"/>
  <c r="CY163" i="2"/>
  <c r="CY11" i="2"/>
  <c r="CY61" i="2"/>
  <c r="CY45" i="2"/>
  <c r="CY19" i="2"/>
  <c r="CY115" i="2"/>
  <c r="CY74" i="2"/>
  <c r="CY39" i="2"/>
  <c r="CY172" i="2"/>
  <c r="CY187" i="2"/>
  <c r="CY49" i="2"/>
  <c r="CY127" i="2"/>
  <c r="CY146" i="2"/>
  <c r="CY43" i="2"/>
  <c r="CY189" i="2"/>
  <c r="CY173" i="2"/>
  <c r="CY20" i="2"/>
  <c r="CY192" i="2"/>
  <c r="CY4" i="2"/>
  <c r="CY12" i="2"/>
  <c r="CY177" i="2"/>
  <c r="CY193" i="2"/>
  <c r="CY81" i="2"/>
  <c r="CY91" i="2"/>
  <c r="CY71" i="2"/>
  <c r="CY198" i="2"/>
  <c r="CY14" i="2"/>
  <c r="CY114" i="2"/>
  <c r="CY154" i="2"/>
  <c r="CY178" i="2"/>
  <c r="CY134" i="2"/>
  <c r="CD60" i="2"/>
  <c r="CD162" i="2"/>
  <c r="CD56" i="2"/>
  <c r="CD145" i="2"/>
  <c r="CD10" i="2"/>
  <c r="CD45" i="2"/>
  <c r="CD148" i="2"/>
  <c r="CD14" i="2"/>
  <c r="CD151" i="2"/>
  <c r="CD182" i="2"/>
  <c r="CD58" i="2"/>
  <c r="CD5" i="2"/>
  <c r="CD53" i="2"/>
  <c r="CD135" i="2"/>
  <c r="CD18" i="2"/>
  <c r="CD62" i="2"/>
  <c r="CD115" i="2"/>
  <c r="CD184" i="2"/>
  <c r="CD73" i="2"/>
  <c r="CD175" i="2"/>
  <c r="CD11" i="2"/>
  <c r="CD179" i="2"/>
  <c r="CD149" i="2"/>
  <c r="CD23" i="2"/>
  <c r="CD25" i="2"/>
  <c r="CD97" i="2"/>
  <c r="CD165" i="2"/>
  <c r="CD96" i="2"/>
  <c r="CD125" i="2"/>
  <c r="CD102" i="2"/>
  <c r="CD155" i="2"/>
  <c r="CD126" i="2"/>
  <c r="CD101" i="2"/>
  <c r="CD116" i="2"/>
  <c r="CD98" i="2"/>
  <c r="CD190" i="2"/>
  <c r="CD12" i="2"/>
  <c r="CD108" i="2"/>
  <c r="CD164" i="2"/>
  <c r="CD113" i="2"/>
  <c r="CD50" i="2"/>
  <c r="CD19" i="2"/>
  <c r="CD94" i="2"/>
  <c r="CD134" i="2"/>
  <c r="CD194" i="2"/>
  <c r="CD46" i="2"/>
  <c r="CD77" i="2"/>
  <c r="CD159" i="2"/>
  <c r="CD38" i="2"/>
  <c r="CD166" i="2"/>
  <c r="CD93" i="2"/>
  <c r="CD128" i="2"/>
  <c r="CD201" i="2"/>
  <c r="CD181" i="2"/>
  <c r="CD150" i="2"/>
  <c r="CD27" i="2"/>
  <c r="CD4" i="2"/>
  <c r="CD105" i="2"/>
  <c r="CD79" i="2"/>
  <c r="CD3" i="2"/>
  <c r="C9" i="4" s="1"/>
  <c r="E9" i="4" s="1"/>
  <c r="F9" i="4" s="1"/>
  <c r="G9" i="4" s="1"/>
  <c r="L9" i="4" s="1"/>
  <c r="CD33" i="2"/>
  <c r="CD88" i="2"/>
  <c r="CD69" i="2"/>
  <c r="CD21" i="2"/>
  <c r="CD129" i="2"/>
  <c r="CD133" i="2"/>
  <c r="CD154" i="2"/>
  <c r="CD57" i="2"/>
  <c r="CD195" i="2"/>
  <c r="CD170" i="2"/>
  <c r="CD144" i="2"/>
  <c r="CD180" i="2"/>
  <c r="CD26" i="2"/>
  <c r="CD119" i="2"/>
  <c r="CD92" i="2"/>
  <c r="CD199" i="2"/>
  <c r="CD29" i="2"/>
  <c r="CD103" i="2"/>
  <c r="CD34" i="2"/>
  <c r="CD172" i="2"/>
  <c r="CD158" i="2"/>
  <c r="CD39" i="2"/>
  <c r="CD47" i="2"/>
  <c r="CD192" i="2"/>
  <c r="CD186" i="2"/>
  <c r="CD124" i="2"/>
  <c r="CD78" i="2"/>
  <c r="CD107" i="2"/>
  <c r="CD15" i="2"/>
  <c r="CD157" i="2"/>
  <c r="CD87" i="2"/>
  <c r="CD68" i="2"/>
  <c r="CD168" i="2"/>
  <c r="CD76" i="2"/>
  <c r="CD85" i="2"/>
  <c r="CD136" i="2"/>
  <c r="CD104" i="2"/>
  <c r="CD198" i="2"/>
  <c r="CD59" i="2"/>
  <c r="CD161" i="2"/>
  <c r="CD153" i="2"/>
  <c r="CD167" i="2"/>
  <c r="CD40" i="2"/>
  <c r="CD36" i="2"/>
  <c r="CD177" i="2"/>
  <c r="CD67" i="2"/>
  <c r="CD183" i="2"/>
  <c r="CD16" i="2"/>
  <c r="CD156" i="2"/>
  <c r="CD111" i="2"/>
  <c r="CD44" i="2"/>
  <c r="CD147" i="2"/>
  <c r="CD66" i="2"/>
  <c r="CD202" i="2"/>
  <c r="CD91" i="2"/>
  <c r="CD114" i="2"/>
  <c r="CD141" i="2"/>
  <c r="CD127" i="2"/>
  <c r="CD121" i="2"/>
  <c r="CD55" i="2"/>
  <c r="CD95" i="2"/>
  <c r="CD187" i="2"/>
  <c r="CD86" i="2"/>
  <c r="CD142" i="2"/>
  <c r="CD117" i="2"/>
  <c r="CD106" i="2"/>
  <c r="CD48" i="2"/>
  <c r="CD49" i="2"/>
  <c r="CD75" i="2"/>
  <c r="CD203" i="2"/>
  <c r="CD72" i="2"/>
  <c r="CD22" i="2"/>
  <c r="CD9" i="2"/>
  <c r="CD176" i="2"/>
  <c r="CD178" i="2"/>
  <c r="CD132" i="2"/>
  <c r="CD24" i="2"/>
  <c r="CD31" i="2"/>
  <c r="CD137" i="2"/>
  <c r="CD54" i="2"/>
  <c r="CD196" i="2"/>
  <c r="CD28" i="2"/>
  <c r="CD185" i="2"/>
  <c r="CD13" i="2"/>
  <c r="CD63" i="2"/>
  <c r="CD41" i="2"/>
  <c r="CD152" i="2"/>
  <c r="CD35" i="2"/>
  <c r="CD51" i="2"/>
  <c r="CD52" i="2"/>
  <c r="CD163" i="2"/>
  <c r="CD122" i="2"/>
  <c r="CD83" i="2"/>
  <c r="CD191" i="2"/>
  <c r="CD81" i="2"/>
  <c r="CD100" i="2"/>
  <c r="CD71" i="2"/>
  <c r="CD109" i="2"/>
  <c r="CD189" i="2"/>
  <c r="CD160" i="2"/>
  <c r="CD42" i="2"/>
  <c r="CD70" i="2"/>
  <c r="CD80" i="2"/>
  <c r="CD171" i="2"/>
  <c r="CD120" i="2"/>
  <c r="CD84" i="2"/>
  <c r="CD193" i="2"/>
  <c r="CD174" i="2"/>
  <c r="CD90" i="2"/>
  <c r="CD64" i="2"/>
  <c r="CD20" i="2"/>
  <c r="CD140" i="2"/>
  <c r="CD200" i="2"/>
  <c r="CD89" i="2"/>
  <c r="CD74" i="2"/>
  <c r="CD6" i="2"/>
  <c r="CD130" i="2"/>
  <c r="CD139" i="2"/>
  <c r="CD143" i="2"/>
  <c r="CD32" i="2"/>
  <c r="CD112" i="2"/>
  <c r="CD131" i="2"/>
  <c r="CD99" i="2"/>
  <c r="CD173" i="2"/>
  <c r="CD61" i="2"/>
  <c r="CD118" i="2"/>
  <c r="CD82" i="2"/>
  <c r="CD138" i="2"/>
  <c r="CD8" i="2"/>
  <c r="CD110" i="2"/>
  <c r="CD123" i="2"/>
  <c r="CD197" i="2"/>
  <c r="CD30" i="2"/>
  <c r="CD146" i="2"/>
  <c r="CD188" i="2"/>
  <c r="CD37" i="2"/>
  <c r="CD169" i="2"/>
  <c r="CD7" i="2"/>
  <c r="CD17" i="2"/>
  <c r="CD65" i="2"/>
  <c r="CD4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<sst xmlns="http://schemas.openxmlformats.org/spreadsheetml/2006/main" count="1175" uniqueCount="324">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</sst>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261.23480530332813</c:v>
                </c:pt>
                <c:pt idx="27">
                  <c:v>279.6138100199654</c:v>
                </c:pt>
                <c:pt idx="28">
                  <c:v>297.96572801830717</c:v>
                </c:pt>
                <c:pt idx="29">
                  <c:v>316.2924619195548</c:v>
                </c:pt>
                <c:pt idx="30">
                  <c:v>334.59567585759896</c:v>
                </c:pt>
                <c:pt idx="31">
                  <c:v>252.5979741368192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321.52428406625791</c:v>
                </c:pt>
                <c:pt idx="36">
                  <c:v>337.95505284834667</c:v>
                </c:pt>
                <c:pt idx="37">
                  <c:v>354.36824410252297</c:v>
                </c:pt>
                <c:pt idx="38">
                  <c:v>370.76478640470532</c:v>
                </c:pt>
                <c:pt idx="39">
                  <c:v>387.145519509954</c:v>
                </c:pt>
                <c:pt idx="40">
                  <c:v>403.5112063253232</c:v>
                </c:pt>
                <c:pt idx="41">
                  <c:v>317.78746245668049</c:v>
                </c:pt>
                <c:pt idx="42">
                  <c:v>332.72903457884468</c:v>
                </c:pt>
                <c:pt idx="43">
                  <c:v>347.65581965898082</c:v>
                </c:pt>
                <c:pt idx="44">
                  <c:v>362.56854195764816</c:v>
                </c:pt>
                <c:pt idx="45">
                  <c:v>377.46786129486037</c:v>
                </c:pt>
                <c:pt idx="46">
                  <c:v>391.23832354179859</c:v>
                </c:pt>
                <c:pt idx="47">
                  <c:v>404.99827447558869</c:v>
                </c:pt>
                <c:pt idx="48">
                  <c:v>418.74812151045376</c:v>
                </c:pt>
                <c:pt idx="49">
                  <c:v>432.48824312398892</c:v>
                </c:pt>
                <c:pt idx="50">
                  <c:v>446.21899178570385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390.122196844087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425.8050516370493</c:v>
                </c:pt>
                <c:pt idx="57">
                  <c:v>436.94246952460441</c:v>
                </c:pt>
                <c:pt idx="58">
                  <c:v>448.07379769140465</c:v>
                </c:pt>
                <c:pt idx="59">
                  <c:v>459.19920876443285</c:v>
                </c:pt>
                <c:pt idx="60">
                  <c:v>470.31886632272835</c:v>
                </c:pt>
                <c:pt idx="61">
                  <c:v>399.04928851891128</c:v>
                </c:pt>
                <c:pt idx="62">
                  <c:v>409.45877253580034</c:v>
                </c:pt>
                <c:pt idx="63">
                  <c:v>419.86254283875809</c:v>
                </c:pt>
                <c:pt idx="64">
                  <c:v>430.26076100517821</c:v>
                </c:pt>
                <c:pt idx="65">
                  <c:v>440.653580163588</c:v>
                </c:pt>
                <c:pt idx="66">
                  <c:v>449.92843925372944</c:v>
                </c:pt>
                <c:pt idx="67">
                  <c:v>459.19920876443285</c:v>
                </c:pt>
                <c:pt idx="68">
                  <c:v>468.46598292660593</c:v>
                </c:pt>
                <c:pt idx="69">
                  <c:v>477.72885193803222</c:v>
                </c:pt>
                <c:pt idx="70">
                  <c:v>486.98790221252949</c:v>
                </c:pt>
                <c:pt idx="71">
                  <c:v>424.69096797933253</c:v>
                </c:pt>
                <c:pt idx="72">
                  <c:v>432.85946614650533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464.75974684356009</c:v>
                </c:pt>
                <c:pt idx="77">
                  <c:v>472.17159422788433</c:v>
                </c:pt>
                <c:pt idx="78">
                  <c:v>479.58096479059623</c:v>
                </c:pt>
                <c:pt idx="79">
                  <c:v>486.98790221252949</c:v>
                </c:pt>
                <c:pt idx="80">
                  <c:v>494.39244873679627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475.8765863473584</c:v>
                </c:pt>
                <c:pt idx="87">
                  <c:v>481.43292557887906</c:v>
                </c:pt>
                <c:pt idx="88">
                  <c:v>486.98790221252949</c:v>
                </c:pt>
                <c:pt idx="89">
                  <c:v>492.54153399430999</c:v>
                </c:pt>
                <c:pt idx="90">
                  <c:v>498.09383823712534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483.28473497109491</c:v>
                </c:pt>
                <c:pt idx="97">
                  <c:v>488.83926137072314</c:v>
                </c:pt>
                <c:pt idx="98">
                  <c:v>494.39244873679627</c:v>
                </c:pt>
                <c:pt idx="99">
                  <c:v>499.94431424130977</c:v>
                </c:pt>
                <c:pt idx="100">
                  <c:v>505.49487464351938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906880"/>
        <c:axId val="169907424"/>
      </c:scatterChart>
      <c:valAx>
        <c:axId val="169906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907424"/>
        <c:crosses val="autoZero"/>
        <c:crossBetween val="midCat"/>
      </c:valAx>
      <c:valAx>
        <c:axId val="16990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906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953520"/>
        <c:axId val="333693216"/>
      </c:scatterChart>
      <c:valAx>
        <c:axId val="333953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693216"/>
        <c:crosses val="autoZero"/>
        <c:crossBetween val="midCat"/>
      </c:valAx>
      <c:valAx>
        <c:axId val="33369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53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140.27513047395146</c:v>
                </c:pt>
                <c:pt idx="17">
                  <c:v>164.16133458057877</c:v>
                </c:pt>
                <c:pt idx="18">
                  <c:v>187.96529046020362</c:v>
                </c:pt>
                <c:pt idx="19">
                  <c:v>211.698889435729</c:v>
                </c:pt>
                <c:pt idx="20">
                  <c:v>235.3711313482562</c:v>
                </c:pt>
                <c:pt idx="21">
                  <c:v>145.47552012532867</c:v>
                </c:pt>
                <c:pt idx="22">
                  <c:v>171.06890310603498</c:v>
                </c:pt>
                <c:pt idx="23">
                  <c:v>196.57202562416433</c:v>
                </c:pt>
                <c:pt idx="24">
                  <c:v>221.99825658782564</c:v>
                </c:pt>
                <c:pt idx="25">
                  <c:v>247.35764363735257</c:v>
                </c:pt>
                <c:pt idx="26">
                  <c:v>271.63337657752703</c:v>
                </c:pt>
                <c:pt idx="27">
                  <c:v>295.86031593712704</c:v>
                </c:pt>
                <c:pt idx="28">
                  <c:v>320.04301686645277</c:v>
                </c:pt>
                <c:pt idx="29">
                  <c:v>344.18528987135363</c:v>
                </c:pt>
                <c:pt idx="30">
                  <c:v>368.29036734139117</c:v>
                </c:pt>
                <c:pt idx="31">
                  <c:v>270.95024442791083</c:v>
                </c:pt>
                <c:pt idx="32">
                  <c:v>292.79183050888702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377.44791553782278</c:v>
                </c:pt>
                <c:pt idx="37">
                  <c:v>396.76479421746438</c:v>
                </c:pt>
                <c:pt idx="38">
                  <c:v>416.06130692450483</c:v>
                </c:pt>
                <c:pt idx="39">
                  <c:v>435.33853059869926</c:v>
                </c:pt>
                <c:pt idx="40">
                  <c:v>454.59743907080428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433.64829237195022</c:v>
                </c:pt>
                <c:pt idx="47">
                  <c:v>448.17978162908202</c:v>
                </c:pt>
                <c:pt idx="48">
                  <c:v>462.70119023345586</c:v>
                </c:pt>
                <c:pt idx="49">
                  <c:v>477.212879043182</c:v>
                </c:pt>
                <c:pt idx="50">
                  <c:v>491.71518518509515</c:v>
                </c:pt>
                <c:pt idx="51">
                  <c:v>431.61981966331092</c:v>
                </c:pt>
                <c:pt idx="52">
                  <c:v>444.12551245998566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481.59827184865549</c:v>
                </c:pt>
                <c:pt idx="56">
                  <c:v>492.05233905304067</c:v>
                </c:pt>
                <c:pt idx="57">
                  <c:v>502.50169784424844</c:v>
                </c:pt>
                <c:pt idx="58">
                  <c:v>512.94645994076382</c:v>
                </c:pt>
                <c:pt idx="59">
                  <c:v>523.38673214011703</c:v>
                </c:pt>
                <c:pt idx="60">
                  <c:v>533.82261663157112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518.33554162748931</c:v>
                </c:pt>
                <c:pt idx="65">
                  <c:v>527.09028501417185</c:v>
                </c:pt>
                <c:pt idx="66">
                  <c:v>534.49575116718881</c:v>
                </c:pt>
                <c:pt idx="67">
                  <c:v>541.89905996909988</c:v>
                </c:pt>
                <c:pt idx="68">
                  <c:v>549.30024505818949</c:v>
                </c:pt>
                <c:pt idx="69">
                  <c:v>556.69933909209135</c:v>
                </c:pt>
                <c:pt idx="70">
                  <c:v>564.09637378931632</c:v>
                </c:pt>
                <c:pt idx="71">
                  <c:v>527.7635992605982</c:v>
                </c:pt>
                <c:pt idx="72">
                  <c:v>535.16886787415808</c:v>
                </c:pt>
                <c:pt idx="73">
                  <c:v>542.57198223629882</c:v>
                </c:pt>
                <c:pt idx="74">
                  <c:v>549.97297589437528</c:v>
                </c:pt>
                <c:pt idx="75">
                  <c:v>557.37188141896661</c:v>
                </c:pt>
                <c:pt idx="76">
                  <c:v>563.4240003694224</c:v>
                </c:pt>
                <c:pt idx="77">
                  <c:v>569.47475955098753</c:v>
                </c:pt>
                <c:pt idx="78">
                  <c:v>575.52417545438061</c:v>
                </c:pt>
                <c:pt idx="79">
                  <c:v>581.57226419525409</c:v>
                </c:pt>
                <c:pt idx="80">
                  <c:v>587.61904152662294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907968"/>
        <c:axId val="169906336"/>
      </c:scatterChart>
      <c:valAx>
        <c:axId val="169907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906336"/>
        <c:crosses val="autoZero"/>
        <c:crossBetween val="midCat"/>
      </c:valAx>
      <c:valAx>
        <c:axId val="16990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907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129.54680830169983</c:v>
                </c:pt>
                <c:pt idx="17">
                  <c:v>151.60152381964372</c:v>
                </c:pt>
                <c:pt idx="18">
                  <c:v>173.57971788519089</c:v>
                </c:pt>
                <c:pt idx="19">
                  <c:v>195.49245385292795</c:v>
                </c:pt>
                <c:pt idx="20">
                  <c:v>217.34810492356107</c:v>
                </c:pt>
                <c:pt idx="21">
                  <c:v>134.34850957742927</c:v>
                </c:pt>
                <c:pt idx="22">
                  <c:v>157.97933796889393</c:v>
                </c:pt>
                <c:pt idx="23">
                  <c:v>181.52619054784418</c:v>
                </c:pt>
                <c:pt idx="24">
                  <c:v>205.00150537285901</c:v>
                </c:pt>
                <c:pt idx="25">
                  <c:v>228.41463048777476</c:v>
                </c:pt>
                <c:pt idx="26">
                  <c:v>250.82687328804494</c:v>
                </c:pt>
                <c:pt idx="27">
                  <c:v>273.19371990423588</c:v>
                </c:pt>
                <c:pt idx="28">
                  <c:v>295.51940832091657</c:v>
                </c:pt>
                <c:pt idx="29">
                  <c:v>317.80748372626402</c:v>
                </c:pt>
                <c:pt idx="30">
                  <c:v>340.06095344521378</c:v>
                </c:pt>
                <c:pt idx="31">
                  <c:v>250.19618568369205</c:v>
                </c:pt>
                <c:pt idx="32">
                  <c:v>270.36084436950495</c:v>
                </c:pt>
                <c:pt idx="33">
                  <c:v>290.49166725088827</c:v>
                </c:pt>
                <c:pt idx="34">
                  <c:v>310.59132815273171</c:v>
                </c:pt>
                <c:pt idx="35">
                  <c:v>330.66212656242288</c:v>
                </c:pt>
                <c:pt idx="36">
                  <c:v>348.51500770260941</c:v>
                </c:pt>
                <c:pt idx="37">
                  <c:v>366.34782727581296</c:v>
                </c:pt>
                <c:pt idx="38">
                  <c:v>384.16169891713145</c:v>
                </c:pt>
                <c:pt idx="39">
                  <c:v>401.95762458122357</c:v>
                </c:pt>
                <c:pt idx="40">
                  <c:v>419.73651029301635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400.39727281265874</c:v>
                </c:pt>
                <c:pt idx="47">
                  <c:v>413.81205599750405</c:v>
                </c:pt>
                <c:pt idx="48">
                  <c:v>427.21746042467572</c:v>
                </c:pt>
                <c:pt idx="49">
                  <c:v>440.61382182647702</c:v>
                </c:pt>
                <c:pt idx="50">
                  <c:v>454.00145385629588</c:v>
                </c:pt>
                <c:pt idx="51">
                  <c:v>398.52467686288418</c:v>
                </c:pt>
                <c:pt idx="52">
                  <c:v>410.06935400448907</c:v>
                </c:pt>
                <c:pt idx="53">
                  <c:v>421.60701499489011</c:v>
                </c:pt>
                <c:pt idx="54">
                  <c:v>433.1378789253036</c:v>
                </c:pt>
                <c:pt idx="55">
                  <c:v>444.66215226871265</c:v>
                </c:pt>
                <c:pt idx="56">
                  <c:v>454.3126926644839</c:v>
                </c:pt>
                <c:pt idx="57">
                  <c:v>463.95885248418728</c:v>
                </c:pt>
                <c:pt idx="58">
                  <c:v>473.6007356675803</c:v>
                </c:pt>
                <c:pt idx="59">
                  <c:v>483.23844157610074</c:v>
                </c:pt>
                <c:pt idx="60">
                  <c:v>492.87206528378402</c:v>
                </c:pt>
                <c:pt idx="61">
                  <c:v>454.31269266448368</c:v>
                </c:pt>
                <c:pt idx="62">
                  <c:v>462.4033121825118</c:v>
                </c:pt>
                <c:pt idx="63">
                  <c:v>470.49091188062226</c:v>
                </c:pt>
                <c:pt idx="64">
                  <c:v>478.57555101045642</c:v>
                </c:pt>
                <c:pt idx="65">
                  <c:v>486.65728665769001</c:v>
                </c:pt>
                <c:pt idx="66">
                  <c:v>493.49345138740472</c:v>
                </c:pt>
                <c:pt idx="67">
                  <c:v>500.32760897792667</c:v>
                </c:pt>
                <c:pt idx="68">
                  <c:v>507.15979072537567</c:v>
                </c:pt>
                <c:pt idx="69">
                  <c:v>513.99002701350196</c:v>
                </c:pt>
                <c:pt idx="70">
                  <c:v>520.81834735232155</c:v>
                </c:pt>
                <c:pt idx="71">
                  <c:v>487.27883995922622</c:v>
                </c:pt>
                <c:pt idx="72">
                  <c:v>494.11482090374903</c:v>
                </c:pt>
                <c:pt idx="73">
                  <c:v>500.94879759294128</c:v>
                </c:pt>
                <c:pt idx="74">
                  <c:v>507.78080123832439</c:v>
                </c:pt>
                <c:pt idx="75">
                  <c:v>514.61086214265504</c:v>
                </c:pt>
                <c:pt idx="76">
                  <c:v>520.19766936950464</c:v>
                </c:pt>
                <c:pt idx="77">
                  <c:v>525.78321150537022</c:v>
                </c:pt>
                <c:pt idx="78">
                  <c:v>531.36750389275528</c:v>
                </c:pt>
                <c:pt idx="79">
                  <c:v>536.95056152521329</c:v>
                </c:pt>
                <c:pt idx="80">
                  <c:v>542.53239905890871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908512"/>
        <c:axId val="333951344"/>
      </c:scatterChart>
      <c:valAx>
        <c:axId val="169908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51344"/>
        <c:crosses val="autoZero"/>
        <c:crossBetween val="midCat"/>
      </c:valAx>
      <c:valAx>
        <c:axId val="33395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908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954064"/>
        <c:axId val="333948624"/>
      </c:scatterChart>
      <c:valAx>
        <c:axId val="333954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48624"/>
        <c:crosses val="autoZero"/>
        <c:crossBetween val="midCat"/>
      </c:valAx>
      <c:valAx>
        <c:axId val="33394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5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594.0200993627401</c:v>
                </c:pt>
                <c:pt idx="82">
                  <c:v>605.75165740042189</c:v>
                </c:pt>
                <c:pt idx="83">
                  <c:v>617.47849820447721</c:v>
                </c:pt>
                <c:pt idx="84">
                  <c:v>629.200723961054</c:v>
                </c:pt>
                <c:pt idx="85">
                  <c:v>640.91843273956351</c:v>
                </c:pt>
                <c:pt idx="86">
                  <c:v>652.63171873234603</c:v>
                </c:pt>
                <c:pt idx="87">
                  <c:v>664.34067247624</c:v>
                </c:pt>
                <c:pt idx="88">
                  <c:v>676.0453810577319</c:v>
                </c:pt>
                <c:pt idx="89">
                  <c:v>687.74592830316158</c:v>
                </c:pt>
                <c:pt idx="90">
                  <c:v>699.44239495532099</c:v>
                </c:pt>
                <c:pt idx="91">
                  <c:v>560.75411650027115</c:v>
                </c:pt>
                <c:pt idx="92">
                  <c:v>571.25413823451834</c:v>
                </c:pt>
                <c:pt idx="93">
                  <c:v>581.75012922929818</c:v>
                </c:pt>
                <c:pt idx="94">
                  <c:v>592.24217245006082</c:v>
                </c:pt>
                <c:pt idx="95">
                  <c:v>602.73034768336299</c:v>
                </c:pt>
                <c:pt idx="96">
                  <c:v>613.21473171304285</c:v>
                </c:pt>
                <c:pt idx="97">
                  <c:v>623.6953984837188</c:v>
                </c:pt>
                <c:pt idx="98">
                  <c:v>634.1724192527347</c:v>
                </c:pt>
                <c:pt idx="99">
                  <c:v>644.64586273154237</c:v>
                </c:pt>
                <c:pt idx="100">
                  <c:v>655.11579521742237</c:v>
                </c:pt>
                <c:pt idx="101">
                  <c:v>664.34067247623955</c:v>
                </c:pt>
                <c:pt idx="102">
                  <c:v>673.56291460175487</c:v>
                </c:pt>
                <c:pt idx="103">
                  <c:v>682.78256275237675</c:v>
                </c:pt>
                <c:pt idx="104">
                  <c:v>691.99965688460588</c:v>
                </c:pt>
                <c:pt idx="105">
                  <c:v>701.2142358040129</c:v>
                </c:pt>
                <c:pt idx="106">
                  <c:v>710.42633721340314</c:v>
                </c:pt>
                <c:pt idx="107">
                  <c:v>719.63599775834973</c:v>
                </c:pt>
                <c:pt idx="108">
                  <c:v>728.84325307027939</c:v>
                </c:pt>
                <c:pt idx="109">
                  <c:v>738.0481378072659</c:v>
                </c:pt>
                <c:pt idx="110">
                  <c:v>747.25068569268603</c:v>
                </c:pt>
                <c:pt idx="111">
                  <c:v>567.16139348415538</c:v>
                </c:pt>
                <c:pt idx="112">
                  <c:v>575.16836435383323</c:v>
                </c:pt>
                <c:pt idx="113">
                  <c:v>583.17300871029295</c:v>
                </c:pt>
                <c:pt idx="114">
                  <c:v>591.17536299398307</c:v>
                </c:pt>
                <c:pt idx="115">
                  <c:v>599.17546257825973</c:v>
                </c:pt>
                <c:pt idx="116">
                  <c:v>607.1733418147719</c:v>
                </c:pt>
                <c:pt idx="117">
                  <c:v>615.16903407633276</c:v>
                </c:pt>
                <c:pt idx="118">
                  <c:v>623.16257179744491</c:v>
                </c:pt>
                <c:pt idx="119">
                  <c:v>631.15398651263888</c:v>
                </c:pt>
                <c:pt idx="120">
                  <c:v>639.14330889277005</c:v>
                </c:pt>
                <c:pt idx="121">
                  <c:v>646.59814836693397</c:v>
                </c:pt>
                <c:pt idx="122">
                  <c:v>654.05121482288484</c:v>
                </c:pt>
                <c:pt idx="123">
                  <c:v>661.50253131337433</c:v>
                </c:pt>
                <c:pt idx="124">
                  <c:v>668.95212032947177</c:v>
                </c:pt>
                <c:pt idx="125">
                  <c:v>676.40000382048788</c:v>
                </c:pt>
                <c:pt idx="126">
                  <c:v>683.84620321297291</c:v>
                </c:pt>
                <c:pt idx="127">
                  <c:v>691.29073942884872</c:v>
                </c:pt>
                <c:pt idx="128">
                  <c:v>698.73363290271425</c:v>
                </c:pt>
                <c:pt idx="129">
                  <c:v>706.1749035983803</c:v>
                </c:pt>
                <c:pt idx="130">
                  <c:v>713.61457102466704</c:v>
                </c:pt>
                <c:pt idx="131">
                  <c:v>558.79603262623471</c:v>
                </c:pt>
                <c:pt idx="132">
                  <c:v>565.55971684392955</c:v>
                </c:pt>
                <c:pt idx="133">
                  <c:v>572.32170984162178</c:v>
                </c:pt>
                <c:pt idx="134">
                  <c:v>579.08203442466424</c:v>
                </c:pt>
                <c:pt idx="135">
                  <c:v>585.84071282237744</c:v>
                </c:pt>
                <c:pt idx="136">
                  <c:v>592.59776670922179</c:v>
                </c:pt>
                <c:pt idx="137">
                  <c:v>599.35321722495371</c:v>
                </c:pt>
                <c:pt idx="138">
                  <c:v>606.1070849938277</c:v>
                </c:pt>
                <c:pt idx="139">
                  <c:v>612.85939014289363</c:v>
                </c:pt>
                <c:pt idx="140">
                  <c:v>619.61015231945032</c:v>
                </c:pt>
                <c:pt idx="141">
                  <c:v>625.82661106001285</c:v>
                </c:pt>
                <c:pt idx="142">
                  <c:v>632.04179177166873</c:v>
                </c:pt>
                <c:pt idx="143">
                  <c:v>638.2557087964218</c:v>
                </c:pt>
                <c:pt idx="144">
                  <c:v>644.46837617419681</c:v>
                </c:pt>
                <c:pt idx="145">
                  <c:v>650.67980765211689</c:v>
                </c:pt>
                <c:pt idx="146">
                  <c:v>656.89001669340757</c:v>
                </c:pt>
                <c:pt idx="147">
                  <c:v>663.0990164859453</c:v>
                </c:pt>
                <c:pt idx="148">
                  <c:v>669.30681995047235</c:v>
                </c:pt>
                <c:pt idx="149">
                  <c:v>675.51343974848794</c:v>
                </c:pt>
                <c:pt idx="150">
                  <c:v>681.71888828983617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949712"/>
        <c:axId val="333947536"/>
      </c:scatterChart>
      <c:valAx>
        <c:axId val="333949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47536"/>
        <c:crosses val="autoZero"/>
        <c:crossBetween val="midCat"/>
      </c:valAx>
      <c:valAx>
        <c:axId val="33394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49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212.89096465116634</c:v>
                </c:pt>
                <c:pt idx="27">
                  <c:v>225.32803014595461</c:v>
                </c:pt>
                <c:pt idx="28">
                  <c:v>237.74937198994965</c:v>
                </c:pt>
                <c:pt idx="29">
                  <c:v>250.15592780468808</c:v>
                </c:pt>
                <c:pt idx="30">
                  <c:v>262.54853455193677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272.11556422776465</c:v>
                </c:pt>
                <c:pt idx="37">
                  <c:v>283.08021534360483</c:v>
                </c:pt>
                <c:pt idx="38">
                  <c:v>294.03535513490755</c:v>
                </c:pt>
                <c:pt idx="39">
                  <c:v>304.98138810771269</c:v>
                </c:pt>
                <c:pt idx="40">
                  <c:v>315.9186873454837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306.94512587259828</c:v>
                </c:pt>
                <c:pt idx="47">
                  <c:v>316.19901919428327</c:v>
                </c:pt>
                <c:pt idx="48">
                  <c:v>325.44691298603851</c:v>
                </c:pt>
                <c:pt idx="49">
                  <c:v>334.68900188552061</c:v>
                </c:pt>
                <c:pt idx="50">
                  <c:v>343.92546889640727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328.24815038016754</c:v>
                </c:pt>
                <c:pt idx="57">
                  <c:v>336.36877249407837</c:v>
                </c:pt>
                <c:pt idx="58">
                  <c:v>344.48507794805369</c:v>
                </c:pt>
                <c:pt idx="59">
                  <c:v>352.59718287003494</c:v>
                </c:pt>
                <c:pt idx="60">
                  <c:v>360.70519760433928</c:v>
                </c:pt>
                <c:pt idx="61">
                  <c:v>304.98138810771292</c:v>
                </c:pt>
                <c:pt idx="62">
                  <c:v>312.27386950303764</c:v>
                </c:pt>
                <c:pt idx="63">
                  <c:v>319.56257332567844</c:v>
                </c:pt>
                <c:pt idx="64">
                  <c:v>326.8475979768308</c:v>
                </c:pt>
                <c:pt idx="65">
                  <c:v>334.12903710888452</c:v>
                </c:pt>
                <c:pt idx="66">
                  <c:v>340.84726036514826</c:v>
                </c:pt>
                <c:pt idx="67">
                  <c:v>347.56257164286984</c:v>
                </c:pt>
                <c:pt idx="68">
                  <c:v>354.27503519833527</c:v>
                </c:pt>
                <c:pt idx="69">
                  <c:v>360.9847126518253</c:v>
                </c:pt>
                <c:pt idx="70">
                  <c:v>367.6916631438292</c:v>
                </c:pt>
                <c:pt idx="71">
                  <c:v>319.56257332567856</c:v>
                </c:pt>
                <c:pt idx="72">
                  <c:v>326.0072029344945</c:v>
                </c:pt>
                <c:pt idx="73">
                  <c:v>332.44901850357945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351.19883890522459</c:v>
                </c:pt>
                <c:pt idx="77">
                  <c:v>357.07106927741597</c:v>
                </c:pt>
                <c:pt idx="78">
                  <c:v>362.94118566705487</c:v>
                </c:pt>
                <c:pt idx="79">
                  <c:v>368.80922712609191</c:v>
                </c:pt>
                <c:pt idx="80">
                  <c:v>374.67523136107457</c:v>
                </c:pt>
                <c:pt idx="81">
                  <c:v>332.44901850357923</c:v>
                </c:pt>
                <c:pt idx="82">
                  <c:v>337.7684401549443</c:v>
                </c:pt>
                <c:pt idx="83">
                  <c:v>343.08601778170447</c:v>
                </c:pt>
                <c:pt idx="84">
                  <c:v>348.40178403373972</c:v>
                </c:pt>
                <c:pt idx="85">
                  <c:v>353.71577048208883</c:v>
                </c:pt>
                <c:pt idx="86">
                  <c:v>358.74845936750722</c:v>
                </c:pt>
                <c:pt idx="87">
                  <c:v>363.77960344692724</c:v>
                </c:pt>
                <c:pt idx="88">
                  <c:v>368.80922712609203</c:v>
                </c:pt>
                <c:pt idx="89">
                  <c:v>373.83735408997183</c:v>
                </c:pt>
                <c:pt idx="90">
                  <c:v>378.86400733367799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946992"/>
        <c:axId val="333948080"/>
      </c:scatterChart>
      <c:valAx>
        <c:axId val="333946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48080"/>
        <c:crosses val="autoZero"/>
        <c:crossBetween val="midCat"/>
      </c:valAx>
      <c:valAx>
        <c:axId val="33394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4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952976"/>
        <c:axId val="333949168"/>
      </c:scatterChart>
      <c:valAx>
        <c:axId val="333952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49168"/>
        <c:crosses val="autoZero"/>
        <c:crossBetween val="midCat"/>
      </c:valAx>
      <c:valAx>
        <c:axId val="33394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52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950256"/>
        <c:axId val="333950800"/>
      </c:scatterChart>
      <c:valAx>
        <c:axId val="333950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50800"/>
        <c:crosses val="autoZero"/>
        <c:crossBetween val="midCat"/>
      </c:valAx>
      <c:valAx>
        <c:axId val="3339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50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951888"/>
        <c:axId val="333952432"/>
      </c:scatterChart>
      <c:valAx>
        <c:axId val="333951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52432"/>
        <c:crosses val="autoZero"/>
        <c:crossBetween val="midCat"/>
      </c:valAx>
      <c:valAx>
        <c:axId val="33395243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3951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25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25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25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25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25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25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25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25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25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25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25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25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25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25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25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25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25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25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4" t="s">
        <v>192</v>
      </c>
      <c r="C3" s="295"/>
      <c r="D3" s="295"/>
      <c r="E3" s="295"/>
      <c r="F3" s="296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0" t="s">
        <v>231</v>
      </c>
      <c r="B5" s="300"/>
      <c r="C5" s="26">
        <v>2.69</v>
      </c>
      <c r="D5" s="301" t="s">
        <v>229</v>
      </c>
      <c r="E5" s="302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6.25" x14ac:dyDescent="0.25">
      <c r="A7" s="298" t="s">
        <v>226</v>
      </c>
      <c r="B7" s="298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0.36359999999999998</v>
      </c>
      <c r="D9" s="36">
        <f t="shared" ref="D9:D18" si="0">C9*$C$5</f>
        <v>0.97808399999999995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23</v>
      </c>
      <c r="C10" s="35">
        <v>0.30299999999999999</v>
      </c>
      <c r="D10" s="36">
        <f t="shared" si="0"/>
        <v>0.81506999999999996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0.18179999999999999</v>
      </c>
      <c r="D11" s="36">
        <f t="shared" si="0"/>
        <v>0.48904199999999998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7.5700000000000003E-2</v>
      </c>
      <c r="D12" s="36">
        <f t="shared" si="0"/>
        <v>0.20363300000000001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11</v>
      </c>
      <c r="C13" s="35">
        <v>6.0600000000000001E-2</v>
      </c>
      <c r="D13" s="36">
        <f t="shared" si="0"/>
        <v>0.16301399999999999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4</v>
      </c>
      <c r="C14" s="35">
        <v>1.5100000000000001E-2</v>
      </c>
      <c r="D14" s="36">
        <f t="shared" si="0"/>
        <v>4.0619000000000002E-2</v>
      </c>
      <c r="E14" s="37">
        <v>90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6"/>
      <c r="B19" s="39" t="s">
        <v>175</v>
      </c>
      <c r="C19" s="40">
        <f>SUM(C9:C18)</f>
        <v>0.99979999999999991</v>
      </c>
      <c r="D19" s="41">
        <f>SUM(D9:D18)</f>
        <v>2.6894619999999998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7" t="s">
        <v>232</v>
      </c>
      <c r="B22" s="297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25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99" t="s">
        <v>227</v>
      </c>
      <c r="B30" s="299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25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8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10</v>
      </c>
      <c r="B36" s="61">
        <v>29</v>
      </c>
      <c r="C36" s="61"/>
      <c r="D36" s="61"/>
      <c r="E36" s="54"/>
      <c r="F36" s="54"/>
      <c r="G36" s="54"/>
      <c r="H36" s="54"/>
      <c r="I36" s="52">
        <f>IFERROR(B36/A36,"")</f>
        <v>2.9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15</v>
      </c>
      <c r="B37" s="61">
        <v>73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8.8000000000000007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20</v>
      </c>
      <c r="B38" s="61">
        <f>75+54</f>
        <v>129</v>
      </c>
      <c r="C38" s="61">
        <v>1</v>
      </c>
      <c r="D38" s="61">
        <v>54</v>
      </c>
      <c r="E38" s="54"/>
      <c r="F38" s="54"/>
      <c r="G38" s="54"/>
      <c r="H38" s="54">
        <v>1</v>
      </c>
      <c r="I38" s="56">
        <f t="shared" si="1"/>
        <v>11.2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25</v>
      </c>
      <c r="B39" s="61">
        <f>100+26</f>
        <v>126</v>
      </c>
      <c r="C39" s="61"/>
      <c r="D39" s="61"/>
      <c r="E39" s="54"/>
      <c r="F39" s="54"/>
      <c r="G39" s="54"/>
      <c r="H39" s="54"/>
      <c r="I39" s="52">
        <f t="shared" si="1"/>
        <v>10.199999999999999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30</v>
      </c>
      <c r="B40" s="61">
        <f>122+26+27</f>
        <v>175</v>
      </c>
      <c r="C40" s="61">
        <v>2</v>
      </c>
      <c r="D40" s="61">
        <f>26+27</f>
        <v>53</v>
      </c>
      <c r="E40" s="54"/>
      <c r="F40" s="54"/>
      <c r="G40" s="54"/>
      <c r="H40" s="54">
        <v>1</v>
      </c>
      <c r="I40" s="52">
        <f t="shared" si="1"/>
        <v>9.8000000000000007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35</v>
      </c>
      <c r="B41" s="61">
        <f>141+27</f>
        <v>168</v>
      </c>
      <c r="C41" s="61"/>
      <c r="D41" s="61"/>
      <c r="E41" s="54"/>
      <c r="F41" s="54"/>
      <c r="G41" s="54"/>
      <c r="H41" s="54"/>
      <c r="I41" s="56">
        <f t="shared" si="1"/>
        <v>9.1999999999999993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40</v>
      </c>
      <c r="B42" s="61">
        <f>158+27+27</f>
        <v>212</v>
      </c>
      <c r="C42" s="61">
        <v>3</v>
      </c>
      <c r="D42" s="61">
        <f>27+27</f>
        <v>54</v>
      </c>
      <c r="E42" s="54"/>
      <c r="F42" s="54"/>
      <c r="G42" s="54"/>
      <c r="H42" s="54"/>
      <c r="I42" s="56">
        <f t="shared" si="1"/>
        <v>8.8000000000000007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79">
        <v>45</v>
      </c>
      <c r="B43" s="61">
        <f>172+26</f>
        <v>198</v>
      </c>
      <c r="C43" s="61"/>
      <c r="D43" s="61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79">
        <v>50</v>
      </c>
      <c r="B44" s="61">
        <f>185+26+24</f>
        <v>235</v>
      </c>
      <c r="C44" s="61">
        <v>4</v>
      </c>
      <c r="D44" s="61">
        <f>26+24</f>
        <v>50</v>
      </c>
      <c r="E44" s="54"/>
      <c r="F44" s="54"/>
      <c r="G44" s="54"/>
      <c r="H44" s="54"/>
      <c r="I44" s="52">
        <f t="shared" si="1"/>
        <v>7.4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79">
        <v>55</v>
      </c>
      <c r="B45" s="61">
        <f>195+23</f>
        <v>218</v>
      </c>
      <c r="C45" s="61"/>
      <c r="D45" s="61"/>
      <c r="E45" s="54"/>
      <c r="F45" s="54"/>
      <c r="G45" s="54"/>
      <c r="H45" s="54"/>
      <c r="I45" s="52">
        <f t="shared" si="1"/>
        <v>6.6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79">
        <v>60</v>
      </c>
      <c r="B46" s="61">
        <f>204+23+21</f>
        <v>248</v>
      </c>
      <c r="C46" s="61">
        <v>5</v>
      </c>
      <c r="D46" s="61">
        <f>23+21</f>
        <v>44</v>
      </c>
      <c r="E46" s="54"/>
      <c r="F46" s="54"/>
      <c r="G46" s="54"/>
      <c r="H46" s="54"/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79">
        <v>65</v>
      </c>
      <c r="B47" s="61">
        <f>212+20</f>
        <v>232</v>
      </c>
      <c r="C47" s="61"/>
      <c r="D47" s="61"/>
      <c r="E47" s="54"/>
      <c r="F47" s="54"/>
      <c r="G47" s="54"/>
      <c r="H47" s="54"/>
      <c r="I47" s="52">
        <f t="shared" si="1"/>
        <v>5.6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79">
        <v>70</v>
      </c>
      <c r="B48" s="61">
        <f>219+20+18</f>
        <v>257</v>
      </c>
      <c r="C48" s="61">
        <v>6</v>
      </c>
      <c r="D48" s="61">
        <f>20+18</f>
        <v>38</v>
      </c>
      <c r="E48" s="54"/>
      <c r="F48" s="54"/>
      <c r="G48" s="54"/>
      <c r="H48" s="54"/>
      <c r="I48" s="52">
        <f t="shared" si="1"/>
        <v>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79">
        <v>75</v>
      </c>
      <c r="B49" s="61">
        <f>225+16</f>
        <v>241</v>
      </c>
      <c r="C49" s="61"/>
      <c r="D49" s="61"/>
      <c r="E49" s="54"/>
      <c r="F49" s="54"/>
      <c r="G49" s="54"/>
      <c r="H49" s="54"/>
      <c r="I49" s="52">
        <f t="shared" si="1"/>
        <v>4.4000000000000004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79">
        <v>80</v>
      </c>
      <c r="B50" s="53">
        <f>230+16+15</f>
        <v>261</v>
      </c>
      <c r="C50" s="53">
        <v>7</v>
      </c>
      <c r="D50" s="53">
        <f>16+15</f>
        <v>31</v>
      </c>
      <c r="E50" s="54"/>
      <c r="F50" s="54"/>
      <c r="G50" s="54"/>
      <c r="H50" s="54"/>
      <c r="I50" s="52">
        <f t="shared" si="1"/>
        <v>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79">
        <v>85</v>
      </c>
      <c r="B51" s="53">
        <f>234+14</f>
        <v>248</v>
      </c>
      <c r="C51" s="53"/>
      <c r="D51" s="53"/>
      <c r="E51" s="54"/>
      <c r="F51" s="54"/>
      <c r="G51" s="54"/>
      <c r="H51" s="54"/>
      <c r="I51" s="52">
        <f t="shared" si="1"/>
        <v>3.6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79">
        <v>90</v>
      </c>
      <c r="B52" s="53">
        <f>237+14+12</f>
        <v>263</v>
      </c>
      <c r="C52" s="53">
        <v>8</v>
      </c>
      <c r="D52" s="53">
        <f>14+12</f>
        <v>26</v>
      </c>
      <c r="E52" s="54"/>
      <c r="F52" s="54"/>
      <c r="G52" s="54"/>
      <c r="H52" s="54"/>
      <c r="I52" s="52">
        <f t="shared" si="1"/>
        <v>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79">
        <v>95</v>
      </c>
      <c r="B53" s="53">
        <f>240+12</f>
        <v>252</v>
      </c>
      <c r="C53" s="53"/>
      <c r="D53" s="53"/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79">
        <v>100</v>
      </c>
      <c r="B54" s="53">
        <f>243+12+12</f>
        <v>267</v>
      </c>
      <c r="C54" s="53">
        <v>9</v>
      </c>
      <c r="D54" s="53">
        <f>B54</f>
        <v>267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79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sycomore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8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1">
        <v>11</v>
      </c>
      <c r="C62" s="61"/>
      <c r="D62" s="61"/>
      <c r="E62" s="54"/>
      <c r="F62" s="54"/>
      <c r="G62" s="54"/>
      <c r="H62" s="54"/>
      <c r="I62" s="56">
        <f>IFERROR(B62/A62,"")</f>
        <v>1.1000000000000001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1">
        <v>65</v>
      </c>
      <c r="C63" s="61"/>
      <c r="D63" s="61"/>
      <c r="E63" s="54"/>
      <c r="F63" s="54"/>
      <c r="G63" s="54"/>
      <c r="H63" s="54"/>
      <c r="I63" s="52">
        <f>IF(A63&lt;&gt;0,(B63-(B62-D62))/(A63-A62),"")</f>
        <v>10.8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1">
        <f>102+32</f>
        <v>134</v>
      </c>
      <c r="C64" s="61">
        <v>1</v>
      </c>
      <c r="D64" s="61">
        <f>32+35</f>
        <v>67</v>
      </c>
      <c r="E64" s="54"/>
      <c r="F64" s="54"/>
      <c r="G64" s="54"/>
      <c r="H64" s="54">
        <v>1</v>
      </c>
      <c r="I64" s="52">
        <f>IF(A64&lt;&gt;0,(B64-(B63-D63))/(A64-A63),"")</f>
        <v>13.8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1">
        <v>141</v>
      </c>
      <c r="C65" s="61"/>
      <c r="D65" s="61"/>
      <c r="E65" s="54"/>
      <c r="F65" s="54"/>
      <c r="G65" s="54"/>
      <c r="H65" s="54"/>
      <c r="I65" s="52">
        <f>IF(A65&lt;&gt;0,(B65-(B64-D64))/(A65-A64),"")</f>
        <v>14.8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1">
        <f>177+35</f>
        <v>212</v>
      </c>
      <c r="C66" s="61">
        <v>2</v>
      </c>
      <c r="D66" s="61">
        <f>35+35</f>
        <v>70</v>
      </c>
      <c r="E66" s="54"/>
      <c r="F66" s="54"/>
      <c r="G66" s="54"/>
      <c r="H66" s="54">
        <v>1</v>
      </c>
      <c r="I66" s="52">
        <f t="shared" ref="I66:I81" si="2">IF(A66&lt;&gt;0,(B66-(B65-D65))/(A66-A65),"")</f>
        <v>14.2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1">
        <v>206</v>
      </c>
      <c r="C67" s="61"/>
      <c r="D67" s="61"/>
      <c r="E67" s="54"/>
      <c r="F67" s="54"/>
      <c r="G67" s="54"/>
      <c r="H67" s="54"/>
      <c r="I67" s="52">
        <f t="shared" si="2"/>
        <v>12.8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1">
        <f>228+35</f>
        <v>263</v>
      </c>
      <c r="C68" s="61">
        <v>3</v>
      </c>
      <c r="D68" s="61">
        <f>35+35</f>
        <v>70</v>
      </c>
      <c r="E68" s="54"/>
      <c r="F68" s="54"/>
      <c r="G68" s="54"/>
      <c r="H68" s="54"/>
      <c r="I68" s="52">
        <f t="shared" si="2"/>
        <v>11.4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242</v>
      </c>
      <c r="C69" s="53"/>
      <c r="D69" s="53"/>
      <c r="E69" s="54"/>
      <c r="F69" s="54"/>
      <c r="G69" s="54"/>
      <c r="H69" s="54"/>
      <c r="I69" s="52">
        <f t="shared" si="2"/>
        <v>9.8000000000000007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f>261+24</f>
        <v>285</v>
      </c>
      <c r="C70" s="53">
        <v>4</v>
      </c>
      <c r="D70" s="53">
        <f>24+19</f>
        <v>43</v>
      </c>
      <c r="E70" s="54"/>
      <c r="F70" s="54"/>
      <c r="G70" s="54"/>
      <c r="H70" s="54"/>
      <c r="I70" s="52">
        <f t="shared" si="2"/>
        <v>8.6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55</v>
      </c>
      <c r="B71" s="53">
        <v>279</v>
      </c>
      <c r="C71" s="53"/>
      <c r="D71" s="53"/>
      <c r="E71" s="54"/>
      <c r="F71" s="54"/>
      <c r="G71" s="54"/>
      <c r="H71" s="54"/>
      <c r="I71" s="52">
        <f t="shared" si="2"/>
        <v>7.4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60</v>
      </c>
      <c r="B72" s="53">
        <f>294+16</f>
        <v>310</v>
      </c>
      <c r="C72" s="53">
        <v>5</v>
      </c>
      <c r="D72" s="53">
        <f>16+14</f>
        <v>30</v>
      </c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65</v>
      </c>
      <c r="B73" s="53">
        <v>306</v>
      </c>
      <c r="C73" s="53"/>
      <c r="D73" s="53"/>
      <c r="E73" s="54"/>
      <c r="F73" s="54"/>
      <c r="G73" s="54"/>
      <c r="H73" s="54"/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70</v>
      </c>
      <c r="B74" s="53">
        <f>315+13</f>
        <v>328</v>
      </c>
      <c r="C74" s="53">
        <v>6</v>
      </c>
      <c r="D74" s="53">
        <f>13+13</f>
        <v>26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75</v>
      </c>
      <c r="B75" s="53">
        <v>324</v>
      </c>
      <c r="C75" s="53"/>
      <c r="D75" s="53"/>
      <c r="E75" s="54"/>
      <c r="F75" s="54"/>
      <c r="G75" s="54"/>
      <c r="H75" s="54"/>
      <c r="I75" s="52">
        <f t="shared" si="2"/>
        <v>4.4000000000000004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80</v>
      </c>
      <c r="B76" s="53">
        <f>330+12</f>
        <v>342</v>
      </c>
      <c r="C76" s="53">
        <v>7</v>
      </c>
      <c r="D76" s="53">
        <f>B76</f>
        <v>342</v>
      </c>
      <c r="E76" s="54"/>
      <c r="F76" s="54"/>
      <c r="G76" s="54"/>
      <c r="H76" s="54"/>
      <c r="I76" s="52">
        <f t="shared" si="2"/>
        <v>3.6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8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1">
        <v>11</v>
      </c>
      <c r="C88" s="61"/>
      <c r="D88" s="61"/>
      <c r="E88" s="54"/>
      <c r="F88" s="54"/>
      <c r="G88" s="54"/>
      <c r="H88" s="54"/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1">
        <v>65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1">
        <f>102+32</f>
        <v>134</v>
      </c>
      <c r="C90" s="61">
        <v>1</v>
      </c>
      <c r="D90" s="61">
        <f>32+35</f>
        <v>67</v>
      </c>
      <c r="E90" s="54"/>
      <c r="F90" s="54"/>
      <c r="G90" s="54"/>
      <c r="H90" s="54">
        <v>1</v>
      </c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1">
        <v>141</v>
      </c>
      <c r="C91" s="61"/>
      <c r="D91" s="61"/>
      <c r="E91" s="54"/>
      <c r="F91" s="54"/>
      <c r="G91" s="54"/>
      <c r="H91" s="54"/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1">
        <f>177+35</f>
        <v>212</v>
      </c>
      <c r="C92" s="61">
        <v>2</v>
      </c>
      <c r="D92" s="61">
        <f>35+35</f>
        <v>70</v>
      </c>
      <c r="E92" s="54"/>
      <c r="F92" s="54"/>
      <c r="G92" s="54"/>
      <c r="H92" s="54">
        <v>1</v>
      </c>
      <c r="I92" s="56">
        <f t="shared" si="3"/>
        <v>14.2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1">
        <v>206</v>
      </c>
      <c r="C93" s="61"/>
      <c r="D93" s="61"/>
      <c r="E93" s="54"/>
      <c r="F93" s="54"/>
      <c r="G93" s="54"/>
      <c r="H93" s="54"/>
      <c r="I93" s="56">
        <f t="shared" si="3"/>
        <v>12.8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1">
        <f>228+35</f>
        <v>263</v>
      </c>
      <c r="C94" s="61">
        <v>3</v>
      </c>
      <c r="D94" s="61">
        <f>35+35</f>
        <v>70</v>
      </c>
      <c r="E94" s="54"/>
      <c r="F94" s="54"/>
      <c r="G94" s="54"/>
      <c r="H94" s="54"/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45</v>
      </c>
      <c r="B95" s="53">
        <v>242</v>
      </c>
      <c r="C95" s="53"/>
      <c r="D95" s="53"/>
      <c r="E95" s="54"/>
      <c r="F95" s="54"/>
      <c r="G95" s="54"/>
      <c r="H95" s="54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50</v>
      </c>
      <c r="B96" s="53">
        <v>285</v>
      </c>
      <c r="C96" s="53">
        <v>4</v>
      </c>
      <c r="D96" s="53">
        <v>43</v>
      </c>
      <c r="E96" s="54"/>
      <c r="F96" s="54"/>
      <c r="G96" s="54"/>
      <c r="H96" s="54"/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55</v>
      </c>
      <c r="B97" s="53">
        <v>279</v>
      </c>
      <c r="C97" s="53"/>
      <c r="D97" s="53"/>
      <c r="E97" s="54"/>
      <c r="F97" s="54"/>
      <c r="G97" s="54"/>
      <c r="H97" s="54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60</v>
      </c>
      <c r="B98" s="53">
        <v>310</v>
      </c>
      <c r="C98" s="53">
        <v>5</v>
      </c>
      <c r="D98" s="53">
        <v>30</v>
      </c>
      <c r="E98" s="54"/>
      <c r="F98" s="54"/>
      <c r="G98" s="54"/>
      <c r="H98" s="54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65</v>
      </c>
      <c r="B99" s="53">
        <v>306</v>
      </c>
      <c r="C99" s="53"/>
      <c r="D99" s="53"/>
      <c r="E99" s="54"/>
      <c r="F99" s="54"/>
      <c r="G99" s="54"/>
      <c r="H99" s="54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70</v>
      </c>
      <c r="B100" s="53">
        <v>328</v>
      </c>
      <c r="C100" s="53">
        <v>6</v>
      </c>
      <c r="D100" s="53">
        <v>26</v>
      </c>
      <c r="E100" s="54"/>
      <c r="F100" s="54"/>
      <c r="G100" s="54"/>
      <c r="H100" s="54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75</v>
      </c>
      <c r="B101" s="53">
        <v>324</v>
      </c>
      <c r="C101" s="53"/>
      <c r="D101" s="53"/>
      <c r="E101" s="54"/>
      <c r="F101" s="54"/>
      <c r="G101" s="54"/>
      <c r="H101" s="54"/>
      <c r="I101" s="56">
        <f t="shared" si="3"/>
        <v>4.4000000000000004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80</v>
      </c>
      <c r="B102" s="53">
        <v>342</v>
      </c>
      <c r="C102" s="53">
        <v>7</v>
      </c>
      <c r="D102" s="53">
        <v>342</v>
      </c>
      <c r="E102" s="54"/>
      <c r="F102" s="54"/>
      <c r="G102" s="54"/>
      <c r="H102" s="54"/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8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f>67+6</f>
        <v>73</v>
      </c>
      <c r="C114" s="61"/>
      <c r="D114" s="61"/>
      <c r="E114" s="54"/>
      <c r="F114" s="54"/>
      <c r="G114" s="54"/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75+6+28</f>
        <v>109</v>
      </c>
      <c r="C115" s="61">
        <v>1</v>
      </c>
      <c r="D115" s="61">
        <f>6+28</f>
        <v>34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93+28</f>
        <v>121</v>
      </c>
      <c r="C116" s="61"/>
      <c r="D116" s="61"/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119+28+28</f>
        <v>175</v>
      </c>
      <c r="C117" s="61">
        <v>2</v>
      </c>
      <c r="D117" s="61">
        <f>28+28</f>
        <v>56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147+28</f>
        <v>175</v>
      </c>
      <c r="C118" s="61"/>
      <c r="D118" s="61"/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176+28+28</f>
        <v>232</v>
      </c>
      <c r="C119" s="61">
        <v>3</v>
      </c>
      <c r="D119" s="61">
        <f>28+28</f>
        <v>56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203+28</f>
        <v>231</v>
      </c>
      <c r="C120" s="61"/>
      <c r="D120" s="61"/>
      <c r="E120" s="54"/>
      <c r="F120" s="54"/>
      <c r="G120" s="54"/>
      <c r="H120" s="54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79">
        <v>55</v>
      </c>
      <c r="B121" s="61">
        <f>226+28+28</f>
        <v>282</v>
      </c>
      <c r="C121" s="61">
        <v>4</v>
      </c>
      <c r="D121" s="61">
        <f>28+28</f>
        <v>56</v>
      </c>
      <c r="E121" s="54"/>
      <c r="F121" s="54"/>
      <c r="G121" s="54"/>
      <c r="H121" s="54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79">
        <v>60</v>
      </c>
      <c r="B122" s="61">
        <f>245+28</f>
        <v>273</v>
      </c>
      <c r="C122" s="61"/>
      <c r="D122" s="61"/>
      <c r="E122" s="54"/>
      <c r="F122" s="54"/>
      <c r="G122" s="54"/>
      <c r="H122" s="54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79">
        <v>65</v>
      </c>
      <c r="B123" s="61">
        <f>261+28+28</f>
        <v>317</v>
      </c>
      <c r="C123" s="61">
        <v>5</v>
      </c>
      <c r="D123" s="61">
        <f>28+28</f>
        <v>56</v>
      </c>
      <c r="E123" s="54"/>
      <c r="F123" s="54"/>
      <c r="G123" s="54"/>
      <c r="H123" s="54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79">
        <v>70</v>
      </c>
      <c r="B124" s="61">
        <f>274+28</f>
        <v>302</v>
      </c>
      <c r="C124" s="61"/>
      <c r="D124" s="61"/>
      <c r="E124" s="54"/>
      <c r="F124" s="54"/>
      <c r="G124" s="54"/>
      <c r="H124" s="54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79">
        <v>75</v>
      </c>
      <c r="B125" s="61">
        <f>284+28+28</f>
        <v>340</v>
      </c>
      <c r="C125" s="61">
        <v>6</v>
      </c>
      <c r="D125" s="61">
        <f>28+28</f>
        <v>56</v>
      </c>
      <c r="E125" s="54"/>
      <c r="F125" s="54"/>
      <c r="G125" s="54"/>
      <c r="H125" s="54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79">
        <v>80</v>
      </c>
      <c r="B126" s="61">
        <f>292+28</f>
        <v>320</v>
      </c>
      <c r="C126" s="61"/>
      <c r="D126" s="61"/>
      <c r="E126" s="54"/>
      <c r="F126" s="54"/>
      <c r="G126" s="54"/>
      <c r="H126" s="54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79">
        <v>90</v>
      </c>
      <c r="B127" s="61">
        <f>302+28+28+28</f>
        <v>386</v>
      </c>
      <c r="C127" s="61">
        <v>7</v>
      </c>
      <c r="D127" s="61">
        <f>28+28+28</f>
        <v>84</v>
      </c>
      <c r="E127" s="54"/>
      <c r="F127" s="54"/>
      <c r="G127" s="54"/>
      <c r="H127" s="54"/>
      <c r="I127" s="56">
        <f t="shared" si="4"/>
        <v>6.6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79">
        <v>100</v>
      </c>
      <c r="B128" s="53">
        <v>361</v>
      </c>
      <c r="C128" s="53"/>
      <c r="D128" s="53"/>
      <c r="E128" s="54"/>
      <c r="F128" s="54"/>
      <c r="G128" s="54"/>
      <c r="H128" s="54"/>
      <c r="I128" s="56">
        <f t="shared" si="4"/>
        <v>5.9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79">
        <v>110</v>
      </c>
      <c r="B129" s="53">
        <v>413</v>
      </c>
      <c r="C129" s="53">
        <v>8</v>
      </c>
      <c r="D129" s="53">
        <v>106</v>
      </c>
      <c r="E129" s="54"/>
      <c r="F129" s="54"/>
      <c r="G129" s="54"/>
      <c r="H129" s="54"/>
      <c r="I129" s="56">
        <f t="shared" si="4"/>
        <v>5.2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79">
        <v>120</v>
      </c>
      <c r="B130" s="53">
        <v>352</v>
      </c>
      <c r="C130" s="53"/>
      <c r="D130" s="53"/>
      <c r="E130" s="54"/>
      <c r="F130" s="54"/>
      <c r="G130" s="54"/>
      <c r="H130" s="54"/>
      <c r="I130" s="56">
        <f t="shared" si="4"/>
        <v>4.5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79">
        <v>130</v>
      </c>
      <c r="B131" s="53">
        <v>394</v>
      </c>
      <c r="C131" s="53">
        <v>9</v>
      </c>
      <c r="D131" s="53">
        <v>91</v>
      </c>
      <c r="E131" s="54"/>
      <c r="F131" s="54"/>
      <c r="G131" s="54"/>
      <c r="H131" s="54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79">
        <v>140</v>
      </c>
      <c r="B132" s="53">
        <v>341</v>
      </c>
      <c r="C132" s="53"/>
      <c r="D132" s="53"/>
      <c r="E132" s="54"/>
      <c r="F132" s="54"/>
      <c r="G132" s="54"/>
      <c r="H132" s="54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79">
        <v>150</v>
      </c>
      <c r="B133" s="53">
        <v>376</v>
      </c>
      <c r="C133" s="53">
        <v>10</v>
      </c>
      <c r="D133" s="53">
        <v>376</v>
      </c>
      <c r="E133" s="54"/>
      <c r="F133" s="54"/>
      <c r="G133" s="54"/>
      <c r="H133" s="54"/>
      <c r="I133" s="56">
        <f t="shared" si="4"/>
        <v>3.5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pédonculé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8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f>67+6</f>
        <v>73</v>
      </c>
      <c r="C140" s="61"/>
      <c r="D140" s="61"/>
      <c r="E140" s="54"/>
      <c r="F140" s="54"/>
      <c r="G140" s="54"/>
      <c r="H140" s="54"/>
      <c r="I140" s="59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75+6+28</f>
        <v>109</v>
      </c>
      <c r="C141" s="61">
        <v>1</v>
      </c>
      <c r="D141" s="61">
        <f>6+28</f>
        <v>34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93+28</f>
        <v>121</v>
      </c>
      <c r="C142" s="61"/>
      <c r="D142" s="61"/>
      <c r="E142" s="54"/>
      <c r="F142" s="54"/>
      <c r="G142" s="54"/>
      <c r="H142" s="54"/>
      <c r="I142" s="59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119+28+28</f>
        <v>175</v>
      </c>
      <c r="C143" s="61">
        <v>2</v>
      </c>
      <c r="D143" s="61">
        <f>28+28</f>
        <v>56</v>
      </c>
      <c r="E143" s="54"/>
      <c r="F143" s="54"/>
      <c r="G143" s="54"/>
      <c r="H143" s="54"/>
      <c r="I143" s="59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147+28</f>
        <v>175</v>
      </c>
      <c r="C144" s="61"/>
      <c r="D144" s="61"/>
      <c r="E144" s="54"/>
      <c r="F144" s="54"/>
      <c r="G144" s="54"/>
      <c r="H144" s="54"/>
      <c r="I144" s="59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176+28+28</f>
        <v>232</v>
      </c>
      <c r="C145" s="61">
        <v>3</v>
      </c>
      <c r="D145" s="61">
        <f>28+28</f>
        <v>56</v>
      </c>
      <c r="E145" s="54"/>
      <c r="F145" s="54"/>
      <c r="G145" s="54"/>
      <c r="H145" s="54"/>
      <c r="I145" s="59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203+28</f>
        <v>231</v>
      </c>
      <c r="C146" s="61"/>
      <c r="D146" s="61"/>
      <c r="E146" s="54"/>
      <c r="F146" s="54"/>
      <c r="G146" s="54"/>
      <c r="H146" s="54"/>
      <c r="I146" s="59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79">
        <v>55</v>
      </c>
      <c r="B147" s="61">
        <f>226+28+28</f>
        <v>282</v>
      </c>
      <c r="C147" s="61">
        <v>4</v>
      </c>
      <c r="D147" s="61">
        <f>28+28</f>
        <v>56</v>
      </c>
      <c r="E147" s="54"/>
      <c r="F147" s="54"/>
      <c r="G147" s="54"/>
      <c r="H147" s="54"/>
      <c r="I147" s="59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279">
        <v>60</v>
      </c>
      <c r="B148" s="61">
        <f>245+28</f>
        <v>273</v>
      </c>
      <c r="C148" s="61"/>
      <c r="D148" s="61"/>
      <c r="E148" s="54"/>
      <c r="F148" s="54"/>
      <c r="G148" s="54"/>
      <c r="H148" s="54"/>
      <c r="I148" s="59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279">
        <v>65</v>
      </c>
      <c r="B149" s="61">
        <f>261+28+28</f>
        <v>317</v>
      </c>
      <c r="C149" s="61">
        <v>5</v>
      </c>
      <c r="D149" s="61">
        <f>28+28</f>
        <v>56</v>
      </c>
      <c r="E149" s="54"/>
      <c r="F149" s="54"/>
      <c r="G149" s="54"/>
      <c r="H149" s="54"/>
      <c r="I149" s="59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279">
        <v>70</v>
      </c>
      <c r="B150" s="61">
        <f>274+28</f>
        <v>302</v>
      </c>
      <c r="C150" s="61"/>
      <c r="D150" s="61"/>
      <c r="E150" s="54"/>
      <c r="F150" s="54"/>
      <c r="G150" s="54"/>
      <c r="H150" s="54"/>
      <c r="I150" s="59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279">
        <v>75</v>
      </c>
      <c r="B151" s="61">
        <f>284+28+28</f>
        <v>340</v>
      </c>
      <c r="C151" s="61">
        <v>6</v>
      </c>
      <c r="D151" s="61">
        <f>28+28</f>
        <v>56</v>
      </c>
      <c r="E151" s="54"/>
      <c r="F151" s="54"/>
      <c r="G151" s="54"/>
      <c r="H151" s="54"/>
      <c r="I151" s="59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279">
        <v>80</v>
      </c>
      <c r="B152" s="61">
        <f>292+28</f>
        <v>320</v>
      </c>
      <c r="C152" s="61"/>
      <c r="D152" s="61"/>
      <c r="E152" s="54"/>
      <c r="F152" s="54"/>
      <c r="G152" s="54"/>
      <c r="H152" s="54"/>
      <c r="I152" s="59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279">
        <v>90</v>
      </c>
      <c r="B153" s="61">
        <f>302+28+28+28</f>
        <v>386</v>
      </c>
      <c r="C153" s="61">
        <v>7</v>
      </c>
      <c r="D153" s="61">
        <f>28+28+28</f>
        <v>84</v>
      </c>
      <c r="E153" s="54"/>
      <c r="F153" s="54"/>
      <c r="G153" s="54"/>
      <c r="H153" s="54"/>
      <c r="I153" s="59">
        <f t="shared" si="5"/>
        <v>6.6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279">
        <v>100</v>
      </c>
      <c r="B154" s="53">
        <v>361</v>
      </c>
      <c r="C154" s="53"/>
      <c r="D154" s="53"/>
      <c r="E154" s="54"/>
      <c r="F154" s="54"/>
      <c r="G154" s="54"/>
      <c r="H154" s="54"/>
      <c r="I154" s="59">
        <f t="shared" si="5"/>
        <v>5.9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279">
        <v>110</v>
      </c>
      <c r="B155" s="53">
        <v>413</v>
      </c>
      <c r="C155" s="53">
        <v>8</v>
      </c>
      <c r="D155" s="53">
        <v>106</v>
      </c>
      <c r="E155" s="54"/>
      <c r="F155" s="54"/>
      <c r="G155" s="54"/>
      <c r="H155" s="54"/>
      <c r="I155" s="59">
        <f t="shared" si="5"/>
        <v>5.2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279">
        <v>120</v>
      </c>
      <c r="B156" s="53">
        <v>352</v>
      </c>
      <c r="C156" s="53"/>
      <c r="D156" s="53"/>
      <c r="E156" s="54"/>
      <c r="F156" s="54"/>
      <c r="G156" s="54"/>
      <c r="H156" s="54"/>
      <c r="I156" s="59">
        <f t="shared" si="5"/>
        <v>4.5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279">
        <v>130</v>
      </c>
      <c r="B157" s="53">
        <v>394</v>
      </c>
      <c r="C157" s="53">
        <v>9</v>
      </c>
      <c r="D157" s="53">
        <v>91</v>
      </c>
      <c r="E157" s="54"/>
      <c r="F157" s="54"/>
      <c r="G157" s="54"/>
      <c r="H157" s="54"/>
      <c r="I157" s="59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279">
        <v>140</v>
      </c>
      <c r="B158" s="53">
        <v>341</v>
      </c>
      <c r="C158" s="53"/>
      <c r="D158" s="53"/>
      <c r="E158" s="54"/>
      <c r="F158" s="54"/>
      <c r="G158" s="54"/>
      <c r="H158" s="54"/>
      <c r="I158" s="59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279">
        <v>150</v>
      </c>
      <c r="B159" s="53">
        <v>376</v>
      </c>
      <c r="C159" s="53">
        <v>10</v>
      </c>
      <c r="D159" s="53">
        <v>376</v>
      </c>
      <c r="E159" s="54"/>
      <c r="F159" s="54"/>
      <c r="G159" s="54"/>
      <c r="H159" s="54"/>
      <c r="I159" s="59">
        <f t="shared" si="5"/>
        <v>3.5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Aulne glutineux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8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1">
        <f>10+1</f>
        <v>11</v>
      </c>
      <c r="C166" s="61"/>
      <c r="D166" s="61"/>
      <c r="E166" s="54"/>
      <c r="F166" s="54"/>
      <c r="G166" s="54"/>
      <c r="H166" s="54"/>
      <c r="I166" s="52">
        <f>IFERROR(B166/A166,"")</f>
        <v>1.1000000000000001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1">
        <f>40+1+4</f>
        <v>45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6.8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1">
        <f>90+1+4+10</f>
        <v>105</v>
      </c>
      <c r="C168" s="61">
        <v>1</v>
      </c>
      <c r="D168" s="61">
        <f>1+4+10</f>
        <v>15</v>
      </c>
      <c r="E168" s="54"/>
      <c r="F168" s="54"/>
      <c r="G168" s="54"/>
      <c r="H168" s="54">
        <v>1</v>
      </c>
      <c r="I168" s="52">
        <f t="shared" si="6"/>
        <v>12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1">
        <f>117+21</f>
        <v>138</v>
      </c>
      <c r="C169" s="61"/>
      <c r="D169" s="61"/>
      <c r="E169" s="54"/>
      <c r="F169" s="54"/>
      <c r="G169" s="54"/>
      <c r="H169" s="54"/>
      <c r="I169" s="52">
        <f t="shared" si="6"/>
        <v>9.6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1">
        <f>138+21+23</f>
        <v>182</v>
      </c>
      <c r="C170" s="61">
        <v>2</v>
      </c>
      <c r="D170" s="61">
        <f>21+23</f>
        <v>44</v>
      </c>
      <c r="E170" s="54"/>
      <c r="F170" s="54"/>
      <c r="G170" s="54"/>
      <c r="H170" s="54">
        <v>1</v>
      </c>
      <c r="I170" s="52">
        <f t="shared" si="6"/>
        <v>8.8000000000000007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1">
        <f>156+25</f>
        <v>181</v>
      </c>
      <c r="C171" s="61"/>
      <c r="D171" s="61"/>
      <c r="E171" s="54"/>
      <c r="F171" s="54"/>
      <c r="G171" s="54"/>
      <c r="H171" s="54"/>
      <c r="I171" s="52">
        <f t="shared" si="6"/>
        <v>8.6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1">
        <f>170+25+25</f>
        <v>220</v>
      </c>
      <c r="C172" s="61">
        <v>3</v>
      </c>
      <c r="D172" s="61">
        <f>25+25</f>
        <v>50</v>
      </c>
      <c r="E172" s="54"/>
      <c r="F172" s="54"/>
      <c r="G172" s="54"/>
      <c r="H172" s="54"/>
      <c r="I172" s="52">
        <f t="shared" si="6"/>
        <v>7.8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f>182+25</f>
        <v>207</v>
      </c>
      <c r="C173" s="53"/>
      <c r="D173" s="53"/>
      <c r="E173" s="54"/>
      <c r="F173" s="54"/>
      <c r="G173" s="54"/>
      <c r="H173" s="54"/>
      <c r="I173" s="52">
        <f t="shared" si="6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f>191+25+24</f>
        <v>240</v>
      </c>
      <c r="C174" s="53">
        <v>4</v>
      </c>
      <c r="D174" s="53">
        <f>25+24</f>
        <v>49</v>
      </c>
      <c r="E174" s="54"/>
      <c r="F174" s="54"/>
      <c r="G174" s="54"/>
      <c r="H174" s="54"/>
      <c r="I174" s="52">
        <f t="shared" si="6"/>
        <v>6.6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f>200+23</f>
        <v>223</v>
      </c>
      <c r="C175" s="53"/>
      <c r="D175" s="53"/>
      <c r="E175" s="54"/>
      <c r="F175" s="54"/>
      <c r="G175" s="54"/>
      <c r="H175" s="54"/>
      <c r="I175" s="52">
        <f t="shared" si="6"/>
        <v>6.4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f>207+23+22</f>
        <v>252</v>
      </c>
      <c r="C176" s="53">
        <v>5</v>
      </c>
      <c r="D176" s="53">
        <f>23+22</f>
        <v>45</v>
      </c>
      <c r="E176" s="54"/>
      <c r="F176" s="54"/>
      <c r="G176" s="54"/>
      <c r="H176" s="54"/>
      <c r="I176" s="52">
        <f t="shared" si="6"/>
        <v>5.8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f>213+20</f>
        <v>233</v>
      </c>
      <c r="C177" s="53"/>
      <c r="D177" s="53"/>
      <c r="E177" s="54"/>
      <c r="F177" s="54"/>
      <c r="G177" s="54"/>
      <c r="H177" s="54"/>
      <c r="I177" s="52">
        <f t="shared" si="6"/>
        <v>5.2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f>218+20+19</f>
        <v>257</v>
      </c>
      <c r="C178" s="53">
        <v>6</v>
      </c>
      <c r="D178" s="53">
        <f>20+19</f>
        <v>39</v>
      </c>
      <c r="E178" s="54"/>
      <c r="F178" s="54"/>
      <c r="G178" s="54"/>
      <c r="H178" s="54"/>
      <c r="I178" s="52">
        <f t="shared" si="6"/>
        <v>4.8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f>223+18</f>
        <v>241</v>
      </c>
      <c r="C179" s="53"/>
      <c r="D179" s="53"/>
      <c r="E179" s="54"/>
      <c r="F179" s="54"/>
      <c r="G179" s="54"/>
      <c r="H179" s="54"/>
      <c r="I179" s="52">
        <f t="shared" si="6"/>
        <v>4.5999999999999996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f>228+18+16</f>
        <v>262</v>
      </c>
      <c r="C180" s="53">
        <v>7</v>
      </c>
      <c r="D180" s="53">
        <f>18+16</f>
        <v>34</v>
      </c>
      <c r="E180" s="54"/>
      <c r="F180" s="54"/>
      <c r="G180" s="54"/>
      <c r="H180" s="54"/>
      <c r="I180" s="52">
        <f t="shared" si="6"/>
        <v>4.2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85</v>
      </c>
      <c r="B181" s="53">
        <f>232+15</f>
        <v>247</v>
      </c>
      <c r="C181" s="53"/>
      <c r="D181" s="53"/>
      <c r="E181" s="54"/>
      <c r="F181" s="54"/>
      <c r="G181" s="54"/>
      <c r="H181" s="54"/>
      <c r="I181" s="52">
        <f t="shared" si="6"/>
        <v>3.8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90</v>
      </c>
      <c r="B182" s="53">
        <f>236+15+14</f>
        <v>265</v>
      </c>
      <c r="C182" s="53">
        <v>8</v>
      </c>
      <c r="D182" s="53">
        <f>B182</f>
        <v>265</v>
      </c>
      <c r="E182" s="54"/>
      <c r="F182" s="54"/>
      <c r="G182" s="54"/>
      <c r="H182" s="54"/>
      <c r="I182" s="52">
        <f t="shared" si="6"/>
        <v>3.6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8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8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0"/>
      <c r="B231" s="61"/>
      <c r="C231" s="90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8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0"/>
      <c r="B257" s="61"/>
      <c r="C257" s="90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8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25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25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8" bestFit="1" customWidth="1"/>
    <col min="2" max="4" width="11.42578125" style="68"/>
    <col min="5" max="5" width="9.5703125" style="68" customWidth="1"/>
    <col min="6" max="7" width="11.42578125" style="68"/>
    <col min="8" max="8" width="10.7109375" style="68" customWidth="1"/>
    <col min="9" max="9" width="9.42578125" style="68" customWidth="1"/>
    <col min="10" max="11" width="10.5703125" style="68" bestFit="1" customWidth="1"/>
    <col min="12" max="12" width="14" style="68" bestFit="1" customWidth="1"/>
    <col min="13" max="13" width="14" style="68" customWidth="1"/>
    <col min="14" max="23" width="11.42578125" style="68"/>
    <col min="24" max="24" width="11.7109375" style="68" bestFit="1" customWidth="1"/>
    <col min="25" max="25" width="14.5703125" style="68" bestFit="1" customWidth="1"/>
    <col min="26" max="26" width="12.42578125" style="68" bestFit="1" customWidth="1"/>
    <col min="27" max="27" width="9.7109375" style="68" bestFit="1" customWidth="1"/>
    <col min="28" max="28" width="11" style="68" bestFit="1" customWidth="1"/>
    <col min="29" max="29" width="9.42578125" style="68" bestFit="1" customWidth="1"/>
    <col min="30" max="31" width="9.42578125" style="68" customWidth="1"/>
    <col min="32" max="32" width="11.42578125" style="68"/>
    <col min="33" max="34" width="14" style="68" bestFit="1" customWidth="1"/>
    <col min="35" max="35" width="10.5703125" style="68" bestFit="1" customWidth="1"/>
    <col min="36" max="36" width="9.42578125" style="68" bestFit="1" customWidth="1"/>
    <col min="37" max="38" width="10.5703125" style="68" bestFit="1" customWidth="1"/>
    <col min="39" max="41" width="10.5703125" style="68" customWidth="1"/>
    <col min="42" max="42" width="9" style="68" bestFit="1" customWidth="1"/>
    <col min="43" max="43" width="10.5703125" style="68" bestFit="1" customWidth="1"/>
    <col min="44" max="44" width="9.28515625" style="68" bestFit="1" customWidth="1"/>
    <col min="45" max="45" width="11.7109375" style="68" bestFit="1" customWidth="1"/>
    <col min="46" max="46" width="8.42578125" style="68" bestFit="1" customWidth="1"/>
    <col min="47" max="47" width="9.42578125" style="68" bestFit="1" customWidth="1"/>
    <col min="48" max="48" width="9.7109375" style="68" bestFit="1" customWidth="1"/>
    <col min="49" max="49" width="11" style="68" bestFit="1" customWidth="1"/>
    <col min="50" max="50" width="9.42578125" style="68" bestFit="1" customWidth="1"/>
    <col min="51" max="52" width="9.42578125" style="68" customWidth="1"/>
    <col min="53" max="53" width="10.5703125" style="68" bestFit="1" customWidth="1"/>
    <col min="54" max="54" width="14.28515625" style="68" customWidth="1"/>
    <col min="55" max="55" width="14" style="68" customWidth="1"/>
    <col min="56" max="56" width="10.5703125" style="68" bestFit="1" customWidth="1"/>
    <col min="57" max="57" width="9.42578125" style="68" bestFit="1" customWidth="1"/>
    <col min="58" max="59" width="10.5703125" style="68" bestFit="1" customWidth="1"/>
    <col min="60" max="62" width="10.5703125" style="68" customWidth="1"/>
    <col min="63" max="63" width="9" style="68" bestFit="1" customWidth="1"/>
    <col min="64" max="64" width="10.5703125" style="68" bestFit="1" customWidth="1"/>
    <col min="65" max="65" width="9.28515625" style="68" bestFit="1" customWidth="1"/>
    <col min="66" max="66" width="11.7109375" style="68" bestFit="1" customWidth="1"/>
    <col min="67" max="67" width="8.42578125" style="68" bestFit="1" customWidth="1"/>
    <col min="68" max="68" width="9.42578125" style="68" bestFit="1" customWidth="1"/>
    <col min="69" max="69" width="9.7109375" style="68" bestFit="1" customWidth="1"/>
    <col min="70" max="70" width="11" style="68" bestFit="1" customWidth="1"/>
    <col min="71" max="71" width="9.42578125" style="68" bestFit="1" customWidth="1"/>
    <col min="72" max="73" width="9.42578125" style="68" customWidth="1"/>
    <col min="74" max="74" width="10.5703125" style="68" bestFit="1" customWidth="1"/>
    <col min="75" max="75" width="14" style="68" bestFit="1" customWidth="1"/>
    <col min="76" max="76" width="13.85546875" style="68" customWidth="1"/>
    <col min="77" max="77" width="10.5703125" style="68" bestFit="1" customWidth="1"/>
    <col min="78" max="78" width="9.42578125" style="68" bestFit="1" customWidth="1"/>
    <col min="79" max="80" width="10.5703125" style="68" bestFit="1" customWidth="1"/>
    <col min="81" max="83" width="10.5703125" style="68" customWidth="1"/>
    <col min="84" max="84" width="11.42578125" style="68"/>
    <col min="85" max="85" width="10.5703125" style="68" bestFit="1" customWidth="1"/>
    <col min="86" max="86" width="9.28515625" style="68" bestFit="1" customWidth="1"/>
    <col min="87" max="87" width="11.7109375" style="68" bestFit="1" customWidth="1"/>
    <col min="88" max="88" width="8.42578125" style="68" bestFit="1" customWidth="1"/>
    <col min="89" max="89" width="9.42578125" style="68" bestFit="1" customWidth="1"/>
    <col min="90" max="90" width="9.7109375" style="68" bestFit="1" customWidth="1"/>
    <col min="91" max="91" width="11" style="68" bestFit="1" customWidth="1"/>
    <col min="92" max="92" width="9.42578125" style="68" bestFit="1" customWidth="1"/>
    <col min="93" max="94" width="9.42578125" style="68" customWidth="1"/>
    <col min="95" max="95" width="11.42578125" style="68"/>
    <col min="96" max="97" width="14" style="68" customWidth="1"/>
    <col min="98" max="98" width="10.5703125" style="68" bestFit="1" customWidth="1"/>
    <col min="99" max="99" width="9.42578125" style="68" bestFit="1" customWidth="1"/>
    <col min="100" max="101" width="10.5703125" style="68" bestFit="1" customWidth="1"/>
    <col min="102" max="104" width="10.5703125" style="68" customWidth="1"/>
    <col min="105" max="105" width="9" style="68" bestFit="1" customWidth="1"/>
    <col min="106" max="106" width="10.5703125" style="68" bestFit="1" customWidth="1"/>
    <col min="107" max="107" width="9.28515625" style="68" bestFit="1" customWidth="1"/>
    <col min="108" max="108" width="11.7109375" style="68" bestFit="1" customWidth="1"/>
    <col min="109" max="109" width="8.42578125" style="68" bestFit="1" customWidth="1"/>
    <col min="110" max="110" width="9.42578125" style="68" bestFit="1" customWidth="1"/>
    <col min="111" max="111" width="9.7109375" style="68" bestFit="1" customWidth="1"/>
    <col min="112" max="112" width="11" style="68" bestFit="1" customWidth="1"/>
    <col min="113" max="113" width="9.42578125" style="68" bestFit="1" customWidth="1"/>
    <col min="114" max="115" width="9.42578125" style="68" customWidth="1"/>
    <col min="116" max="116" width="10.5703125" style="68" bestFit="1" customWidth="1"/>
    <col min="117" max="117" width="14.28515625" style="68" customWidth="1"/>
    <col min="118" max="118" width="14" style="68" bestFit="1" customWidth="1"/>
    <col min="119" max="119" width="10.5703125" style="68" bestFit="1" customWidth="1"/>
    <col min="120" max="120" width="9.42578125" style="68" bestFit="1" customWidth="1"/>
    <col min="121" max="122" width="10.5703125" style="68" bestFit="1" customWidth="1"/>
    <col min="123" max="125" width="10.5703125" style="68" customWidth="1"/>
    <col min="126" max="126" width="9" style="68" bestFit="1" customWidth="1"/>
    <col min="127" max="127" width="10.5703125" style="68" bestFit="1" customWidth="1"/>
    <col min="128" max="128" width="9.28515625" style="68" bestFit="1" customWidth="1"/>
    <col min="129" max="129" width="11.7109375" style="68" bestFit="1" customWidth="1"/>
    <col min="130" max="130" width="8.42578125" style="68" bestFit="1" customWidth="1"/>
    <col min="131" max="131" width="9.42578125" style="68" bestFit="1" customWidth="1"/>
    <col min="132" max="132" width="9.7109375" style="68" bestFit="1" customWidth="1"/>
    <col min="133" max="133" width="11" style="68" bestFit="1" customWidth="1"/>
    <col min="134" max="134" width="9.42578125" style="68" bestFit="1" customWidth="1"/>
    <col min="135" max="136" width="9.42578125" style="68" customWidth="1"/>
    <col min="137" max="137" width="10.5703125" style="68" bestFit="1" customWidth="1"/>
    <col min="138" max="139" width="14" style="68" customWidth="1"/>
    <col min="140" max="140" width="10.5703125" style="68" bestFit="1" customWidth="1"/>
    <col min="141" max="141" width="9.42578125" style="68" bestFit="1" customWidth="1"/>
    <col min="142" max="143" width="10.5703125" style="68" bestFit="1" customWidth="1"/>
    <col min="144" max="146" width="10.5703125" style="68" customWidth="1"/>
    <col min="147" max="147" width="9" style="68" bestFit="1" customWidth="1"/>
    <col min="148" max="148" width="10.5703125" style="68" bestFit="1" customWidth="1"/>
    <col min="149" max="149" width="9.28515625" style="68" bestFit="1" customWidth="1"/>
    <col min="150" max="150" width="11.7109375" style="68" bestFit="1" customWidth="1"/>
    <col min="151" max="151" width="8.42578125" style="68" bestFit="1" customWidth="1"/>
    <col min="152" max="152" width="9.42578125" style="68" bestFit="1" customWidth="1"/>
    <col min="153" max="153" width="9.7109375" style="68" bestFit="1" customWidth="1"/>
    <col min="154" max="154" width="11" style="68" bestFit="1" customWidth="1"/>
    <col min="155" max="155" width="9.42578125" style="68" bestFit="1" customWidth="1"/>
    <col min="156" max="157" width="9.42578125" style="68" customWidth="1"/>
    <col min="158" max="158" width="11.42578125" style="68"/>
    <col min="159" max="160" width="14" style="68" bestFit="1" customWidth="1"/>
    <col min="161" max="161" width="10.5703125" style="68" bestFit="1" customWidth="1"/>
    <col min="162" max="162" width="9.42578125" style="68" bestFit="1" customWidth="1"/>
    <col min="163" max="164" width="10.5703125" style="68" bestFit="1" customWidth="1"/>
    <col min="165" max="167" width="10.5703125" style="68" customWidth="1"/>
    <col min="168" max="168" width="9" style="68" bestFit="1" customWidth="1"/>
    <col min="169" max="169" width="10.5703125" style="68" bestFit="1" customWidth="1"/>
    <col min="170" max="170" width="9.28515625" style="68" bestFit="1" customWidth="1"/>
    <col min="171" max="171" width="11.7109375" style="68" bestFit="1" customWidth="1"/>
    <col min="172" max="172" width="8.140625" style="68" bestFit="1" customWidth="1"/>
    <col min="173" max="173" width="9.42578125" style="68" bestFit="1" customWidth="1"/>
    <col min="174" max="174" width="9.7109375" style="68" bestFit="1" customWidth="1"/>
    <col min="175" max="175" width="11" style="68" bestFit="1" customWidth="1"/>
    <col min="176" max="176" width="9.42578125" style="68" bestFit="1" customWidth="1"/>
    <col min="177" max="178" width="9.42578125" style="68" customWidth="1"/>
    <col min="179" max="179" width="10.5703125" style="68" bestFit="1" customWidth="1"/>
    <col min="180" max="181" width="14" style="68" bestFit="1" customWidth="1"/>
    <col min="182" max="182" width="10.5703125" style="68" bestFit="1" customWidth="1"/>
    <col min="183" max="183" width="9.42578125" style="68" bestFit="1" customWidth="1"/>
    <col min="184" max="185" width="10.5703125" style="68" bestFit="1" customWidth="1"/>
    <col min="186" max="188" width="10.5703125" style="68" customWidth="1"/>
    <col min="189" max="189" width="9" style="68" bestFit="1" customWidth="1"/>
    <col min="190" max="190" width="10.5703125" style="68" bestFit="1" customWidth="1"/>
    <col min="191" max="191" width="9.28515625" style="68" bestFit="1" customWidth="1"/>
    <col min="192" max="192" width="11.42578125" style="68"/>
    <col min="193" max="193" width="8.42578125" style="68" bestFit="1" customWidth="1"/>
    <col min="194" max="194" width="9.42578125" style="68" bestFit="1" customWidth="1"/>
    <col min="195" max="195" width="9.7109375" style="68" bestFit="1" customWidth="1"/>
    <col min="196" max="196" width="11" style="68" bestFit="1" customWidth="1"/>
    <col min="197" max="197" width="9.42578125" style="68" bestFit="1" customWidth="1"/>
    <col min="198" max="199" width="9.42578125" style="68" customWidth="1"/>
    <col min="200" max="200" width="10.5703125" style="68" bestFit="1" customWidth="1"/>
    <col min="201" max="201" width="14" style="68" customWidth="1"/>
    <col min="202" max="202" width="14.28515625" style="68" customWidth="1"/>
    <col min="203" max="203" width="10.5703125" style="68" bestFit="1" customWidth="1"/>
    <col min="204" max="204" width="9.42578125" style="68" bestFit="1" customWidth="1"/>
    <col min="205" max="206" width="10.5703125" style="68" bestFit="1" customWidth="1"/>
    <col min="207" max="209" width="10.5703125" style="68" customWidth="1"/>
    <col min="210" max="210" width="9" style="68" bestFit="1" customWidth="1"/>
    <col min="211" max="211" width="10.5703125" style="68" bestFit="1" customWidth="1"/>
    <col min="212" max="212" width="9.28515625" style="68" bestFit="1" customWidth="1"/>
    <col min="213" max="213" width="11.7109375" style="68" bestFit="1" customWidth="1"/>
    <col min="214" max="214" width="8.42578125" style="68" bestFit="1" customWidth="1"/>
    <col min="215" max="215" width="9.42578125" style="68" bestFit="1" customWidth="1"/>
    <col min="216" max="216" width="9.7109375" style="68" bestFit="1" customWidth="1"/>
    <col min="217" max="217" width="11" style="68" bestFit="1" customWidth="1"/>
    <col min="218" max="218" width="9.42578125" style="68" bestFit="1" customWidth="1"/>
    <col min="219" max="16384" width="11.42578125" style="68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Chêne rouge d'Amérique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Erable sycomore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Châtaignier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Chêne sessile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Chêne pédonculé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>Aulne glutineux</v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369.34989412920129</v>
      </c>
      <c r="T3" s="60">
        <f>IF('Données projet'!E9&gt;30,$R$33-$H$33,LOOKUP('Données projet'!$E$9,$A$3:$A$203,R3:R203)-LOOKUP('Données projet'!$E$9,$A$3:$A$203,$H$3:$H$203))</f>
        <v>371.26234252426553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370.79299728190904</v>
      </c>
      <c r="AO3" s="60">
        <f>IF('Données projet'!E10&gt;30,$AM$33-$H$33,LOOKUP('Données projet'!$E$10,$A$3:$A$203,AM3:AM203)-LOOKUP('Données projet'!$E$10,$A$3:$A$203,$H$3:$H$203))</f>
        <v>404.95703400805775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344.63665697794022</v>
      </c>
      <c r="BJ3" s="60">
        <f>IF('Données projet'!E11&gt;30,$BH$33-$H$33,LOOKUP('Données projet'!$E$11,$A$3:$A$203,BH3:BH203)-LOOKUP('Données projet'!$E$11,$A$3:$A$203,$H$3:$H$203))</f>
        <v>376.72762011188041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529.25712986118265</v>
      </c>
      <c r="CE3" s="60">
        <f>IF('Données projet'!E12&gt;30,$CC$33-$H$33,LOOKUP('Données projet'!$E$12,$A$3:$A$203,CC3:CC203)-LOOKUP('Données projet'!$E$12,$A$3:$A$203,$H$3:$H$203))</f>
        <v>278.21741231699929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495.77338291316386</v>
      </c>
      <c r="CZ3" s="60">
        <f>IF('Données projet'!E13&gt;30,$CX$33-$H$33,LOOKUP('Données projet'!$E$13,$A$3:$A$203,CX3:CX203)-LOOKUP('Données projet'!$E$13,$A$3:$A$203,$H$3:$H$203))</f>
        <v>261.95434270986397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275.11574966125522</v>
      </c>
      <c r="DU3" s="60">
        <f>IF('Données projet'!E14&gt;30,$DS$33-$H$33,LOOKUP('Données projet'!$E$14,$A$3:$A$203,DS3:DS203)-LOOKUP('Données projet'!$E$14,$A$3:$A$203,$H$3:$H$203))</f>
        <v>299.21520121860345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2.9</v>
      </c>
      <c r="N4" s="14">
        <f>IF('Données projet'!$A$36&gt;35,N3+M4-V3,IF(A4&lt;'Données projet'!$A$36,$K$205^A4,IF(A4='Données projet'!$A$36,'Données projet'!$B$36,N3+M4-V3)))</f>
        <v>1.4003603312913959</v>
      </c>
      <c r="O4" s="14">
        <f>N4*VLOOKUP('Données projet'!$B$9,Paramètres!$A$1:$I$89,3,0)*VLOOKUP('Données projet'!$B$9,Paramètres!$A$1:$I$89,5,0)</f>
        <v>1.2233547854161635</v>
      </c>
      <c r="P4" s="14">
        <f>EXP(-1.0587+0.8836*LN(O4)+0.284)</f>
        <v>0.55069785861405296</v>
      </c>
      <c r="Q4" s="22">
        <f t="shared" ref="Q4:Q34" si="2">(O4+P4)*0.475*44/12</f>
        <v>3.0898083550192936</v>
      </c>
      <c r="R4" s="60">
        <f t="shared" si="0"/>
        <v>260.97869724390813</v>
      </c>
      <c r="S4" s="60">
        <f ca="1">AVERAGE(OFFSET($R$3,0,0,'Données projet'!$E$9+1,1))-AVERAGE(OFFSET($H$3,0,0,'Données projet'!$E$9+1,1))</f>
        <v>369.34989412920129</v>
      </c>
      <c r="T4" s="60">
        <f>$T$3</f>
        <v>371.26234252426553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1.1000000000000001</v>
      </c>
      <c r="AI4" s="14">
        <f>IF('Données projet'!$A$62&gt;35,AI3+AH4-AQ3,IF(A4&lt;'Données projet'!$A$62,$AF$205^A4,IF(A4='Données projet'!$A$62,'Données projet'!$B$62,AI3+AH4-AQ3)))</f>
        <v>1.2709816152101407</v>
      </c>
      <c r="AJ4" s="14">
        <f>AI4*VLOOKUP('Données projet'!$B$10,Paramètres!$A$1:$I$89,3,0)*VLOOKUP('Données projet'!$B$10,Paramètres!$A$1:$I$89,5,0)</f>
        <v>1.0111929730611879</v>
      </c>
      <c r="AK4" s="14">
        <f>EXP(-1.0587+0.8836*LN(AJ4)+0.284)</f>
        <v>0.46539683474213156</v>
      </c>
      <c r="AL4" s="22">
        <f t="shared" ref="AL4:AL67" si="4">(AJ4+AK4)*0.475*44/12</f>
        <v>2.5717272485907814</v>
      </c>
      <c r="AM4" s="60">
        <f t="shared" ref="AM4:AM67" si="5">AL4+(AD4+AE4)*44/12</f>
        <v>260.46061613747963</v>
      </c>
      <c r="AN4" s="60">
        <f ca="1">AVERAGE(OFFSET($AM$3,0,0,'Données projet'!$E$10+1,1))-AVERAGE(OFFSET($H$3,0,0,'Données projet'!$E$10+1,1))</f>
        <v>370.79299728190904</v>
      </c>
      <c r="AO4" s="60">
        <f>$AO$3</f>
        <v>404.95703400805775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0.93188372027207511</v>
      </c>
      <c r="BF4" s="14">
        <f>EXP(-1.0587+0.8836*LN(BE4)+0.284)</f>
        <v>0.43299221190803017</v>
      </c>
      <c r="BG4" s="22">
        <f t="shared" ref="BG4:BG67" si="7">(BE4+BF4)*0.475*44/12</f>
        <v>2.3771589152136832</v>
      </c>
      <c r="BH4" s="60">
        <f t="shared" ref="BH4:BH67" si="8">BG4+(AY4+AZ4)*44/12</f>
        <v>260.26604780410253</v>
      </c>
      <c r="BI4" s="60">
        <f ca="1">AVERAGE(OFFSET($BH$3,0,0,'Données projet'!$E$11+1,1))-AVERAGE(OFFSET($H$3,0,0,'Données projet'!$E$11+1,1))</f>
        <v>344.63665697794022</v>
      </c>
      <c r="BJ4" s="60">
        <f>$BJ$3</f>
        <v>376.72762011188041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1.1212920291467359</v>
      </c>
      <c r="CA4" s="14">
        <f>EXP(-1.0587+0.8836*LN(BZ4)+0.284)</f>
        <v>0.50989827066551541</v>
      </c>
      <c r="CB4" s="22">
        <f t="shared" ref="CB4:CB67" si="10">(BZ4+CA4)*0.475*44/12</f>
        <v>2.8409897721730037</v>
      </c>
      <c r="CC4" s="60">
        <f t="shared" ref="CC4:CC67" si="11">CB4+(BT4+BU4)*44/12</f>
        <v>260.72987866106189</v>
      </c>
      <c r="CD4" s="60">
        <f ca="1">AVERAGE(OFFSET($CC$3,0,0,'Données projet'!$E$12+1,1))-AVERAGE(OFFSET($H$3,0,0,'Données projet'!$E$12+1,1))</f>
        <v>529.25712986118265</v>
      </c>
      <c r="CE4" s="60">
        <f>$CE$3</f>
        <v>278.21741231699929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1.0439615443779955</v>
      </c>
      <c r="CV4" s="14">
        <f>EXP(-1.0587+0.8836*LN(CU4)+0.284)</f>
        <v>0.478698084995758</v>
      </c>
      <c r="CW4" s="22">
        <f t="shared" ref="CW4:CW67" si="13">(CU4+CV4)*0.475*44/12</f>
        <v>2.6519655211592874</v>
      </c>
      <c r="CX4" s="60">
        <f t="shared" ref="CX4:CX67" si="14">CW4+(CO4+CP4)*44/12</f>
        <v>260.54085441004815</v>
      </c>
      <c r="CY4" s="60">
        <f ca="1">AVERAGE(OFFSET($CX$3,0,0,'Données projet'!$E$13+1,1))-AVERAGE(OFFSET($H$3,0,0,'Données projet'!$E$13+1,1))</f>
        <v>495.77338291316386</v>
      </c>
      <c r="CZ4" s="60">
        <f>$CZ$3</f>
        <v>261.95434270986397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1.1000000000000001</v>
      </c>
      <c r="DO4" s="13">
        <f>IF('Données projet'!$A$166&gt;35,DO3+DN4-DW3,IF(A4&lt;'Données projet'!$A$166,$DL$205^A4,IF(A4='Données projet'!$A$166,'Données projet'!$B$166,DO3+DN4-DW3)))</f>
        <v>1.2709816152101407</v>
      </c>
      <c r="DP4" s="18">
        <f>DO4*VLOOKUP('Données projet'!$B$14,Paramètres!$A$1:$I$89,3,0)*VLOOKUP('Données projet'!$B$14,Paramètres!$A$1:$I$89,5,0)</f>
        <v>0.83274715428568413</v>
      </c>
      <c r="DQ4" s="14">
        <f>EXP(-1.0587+0.8836*LN(DP4)+0.284)</f>
        <v>0.39202836439738087</v>
      </c>
      <c r="DR4" s="22">
        <f t="shared" ref="DR4:DR67" si="16">(DP4+DQ4)*0.475*44/12</f>
        <v>2.1331506950396717</v>
      </c>
      <c r="DS4" s="60">
        <f t="shared" ref="DS4:DS67" si="17">DR4+(DJ4+DK4)*44/12</f>
        <v>260.02203958392852</v>
      </c>
      <c r="DT4" s="60">
        <f ca="1">AVERAGE(OFFSET($DS$3,0,0,'Données projet'!$E$14+1,1))-AVERAGE(OFFSET($H$3,0,0,'Données projet'!$E$14+1,1))</f>
        <v>275.11574966125522</v>
      </c>
      <c r="DU4" s="60">
        <f>$DU$3</f>
        <v>299.21520121860345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2.9</v>
      </c>
      <c r="N5" s="14">
        <f>IF('Données projet'!$A$36&gt;35,N4+M5-V4,IF(A5&lt;'Données projet'!$A$36,$K$205^A5,IF(A5='Données projet'!$A$36,'Données projet'!$B$36,N4+M5-V4)))</f>
        <v>1.9610090574545482</v>
      </c>
      <c r="O5" s="14">
        <f>N5*VLOOKUP('Données projet'!$B$9,Paramètres!$A$1:$I$89,3,0)*VLOOKUP('Données projet'!$B$9,Paramètres!$A$1:$I$89,5,0)</f>
        <v>1.7131375125922934</v>
      </c>
      <c r="P5" s="14">
        <f t="shared" ref="P5:P68" si="33">EXP(-1.0587+0.8836*LN(O5)+0.284)</f>
        <v>0.74153366912094132</v>
      </c>
      <c r="Q5" s="22">
        <f t="shared" si="2"/>
        <v>4.2752189748172169</v>
      </c>
      <c r="R5" s="60">
        <f t="shared" si="0"/>
        <v>263.38633008592836</v>
      </c>
      <c r="S5" s="60">
        <f ca="1">AVERAGE(OFFSET($R$3,0,0,'Données projet'!$E$9+1,1))-AVERAGE(OFFSET($H$3,0,0,'Données projet'!$E$9+1,1))</f>
        <v>369.34989412920129</v>
      </c>
      <c r="T5" s="60">
        <f t="shared" ref="T5:T68" si="34">$T$3</f>
        <v>371.26234252426553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1.1000000000000001</v>
      </c>
      <c r="AI5" s="14">
        <f>IF('Données projet'!$A$62&gt;35,AI4+AH5-AQ4,IF(A5&lt;'Données projet'!$A$62,$AF$205^A5,IF(A5='Données projet'!$A$62,'Données projet'!$B$62,AI4+AH5-AQ4)))</f>
        <v>1.6153942662021783</v>
      </c>
      <c r="AJ5" s="14">
        <f>AI5*VLOOKUP('Données projet'!$B$10,Paramètres!$A$1:$I$89,3,0)*VLOOKUP('Données projet'!$B$10,Paramètres!$A$1:$I$89,5,0)</f>
        <v>1.2852076781904531</v>
      </c>
      <c r="AK5" s="14">
        <f t="shared" ref="AK5:AK68" si="35">EXP(-1.0587+0.8836*LN(AJ5)+0.284)</f>
        <v>0.57522914588482876</v>
      </c>
      <c r="AL5" s="22">
        <f t="shared" si="4"/>
        <v>3.2402608019311159</v>
      </c>
      <c r="AM5" s="60">
        <f t="shared" si="5"/>
        <v>262.35137191304227</v>
      </c>
      <c r="AN5" s="60">
        <f ca="1">AVERAGE(OFFSET($AM$3,0,0,'Données projet'!$E$10+1,1))-AVERAGE(OFFSET($H$3,0,0,'Données projet'!$E$10+1,1))</f>
        <v>370.79299728190904</v>
      </c>
      <c r="AO5" s="60">
        <f t="shared" ref="AO5:AO68" si="36">$AO$3</f>
        <v>404.95703400805775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1.1844070759794372</v>
      </c>
      <c r="BF5" s="14">
        <f t="shared" ref="BF5:BF68" si="37">EXP(-1.0587+0.8836*LN(BE5)+0.284)</f>
        <v>0.53517712549257934</v>
      </c>
      <c r="BG5" s="22">
        <f t="shared" si="7"/>
        <v>2.9949424842304286</v>
      </c>
      <c r="BH5" s="60">
        <f t="shared" si="8"/>
        <v>262.10605359534156</v>
      </c>
      <c r="BI5" s="60">
        <f ca="1">AVERAGE(OFFSET($BH$3,0,0,'Données projet'!$E$11+1,1))-AVERAGE(OFFSET($H$3,0,0,'Données projet'!$E$11+1,1))</f>
        <v>344.63665697794022</v>
      </c>
      <c r="BJ5" s="60">
        <f t="shared" ref="BJ5:BJ68" si="38">$BJ$3</f>
        <v>376.72762011188041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1.3895842336737447</v>
      </c>
      <c r="CA5" s="14">
        <f t="shared" ref="CA5:CA68" si="39">EXP(-1.0587+0.8836*LN(BZ5)+0.284)</f>
        <v>0.61631841327304715</v>
      </c>
      <c r="CB5" s="22">
        <f t="shared" si="10"/>
        <v>3.4936137767656628</v>
      </c>
      <c r="CC5" s="60">
        <f t="shared" si="11"/>
        <v>262.60472488787678</v>
      </c>
      <c r="CD5" s="60">
        <f ca="1">AVERAGE(OFFSET($CC$3,0,0,'Données projet'!$E$12+1,1))-AVERAGE(OFFSET($H$3,0,0,'Données projet'!$E$12+1,1))</f>
        <v>529.25712986118265</v>
      </c>
      <c r="CE5" s="60">
        <f t="shared" ref="CE5:CE68" si="40">$CE$3</f>
        <v>278.21741231699929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1.2937508382479692</v>
      </c>
      <c r="CV5" s="14">
        <f t="shared" ref="CV5:CV68" si="41">EXP(-1.0587+0.8836*LN(CU5)+0.284)</f>
        <v>0.57860648124254321</v>
      </c>
      <c r="CW5" s="22">
        <f t="shared" si="13"/>
        <v>3.2610223314459752</v>
      </c>
      <c r="CX5" s="60">
        <f t="shared" si="14"/>
        <v>262.37213344255713</v>
      </c>
      <c r="CY5" s="60">
        <f ca="1">AVERAGE(OFFSET($CX$3,0,0,'Données projet'!$E$13+1,1))-AVERAGE(OFFSET($H$3,0,0,'Données projet'!$E$13+1,1))</f>
        <v>495.77338291316386</v>
      </c>
      <c r="CZ5" s="60">
        <f t="shared" ref="CZ5:CZ68" si="42">$CZ$3</f>
        <v>261.95434270986397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1.1000000000000001</v>
      </c>
      <c r="DO5" s="13">
        <f>IF('Données projet'!$A$166&gt;35,DO4+DN5-DW4,IF(A5&lt;'Données projet'!$A$166,$DL$205^A5,IF(A5='Données projet'!$A$166,'Données projet'!$B$166,DO4+DN5-DW4)))</f>
        <v>1.6153942662021783</v>
      </c>
      <c r="DP5" s="18">
        <f>DO5*VLOOKUP('Données projet'!$B$14,Paramètres!$A$1:$I$89,3,0)*VLOOKUP('Données projet'!$B$14,Paramètres!$A$1:$I$89,5,0)</f>
        <v>1.0584063232156671</v>
      </c>
      <c r="DQ5" s="14">
        <f t="shared" ref="DQ5:DQ68" si="43">EXP(-1.0587+0.8836*LN(DP5)+0.284)</f>
        <v>0.48454592807852009</v>
      </c>
      <c r="DR5" s="22">
        <f t="shared" si="16"/>
        <v>2.6873085043373757</v>
      </c>
      <c r="DS5" s="60">
        <f t="shared" si="17"/>
        <v>261.79841961544849</v>
      </c>
      <c r="DT5" s="60">
        <f ca="1">AVERAGE(OFFSET($DS$3,0,0,'Données projet'!$E$14+1,1))-AVERAGE(OFFSET($H$3,0,0,'Données projet'!$E$14+1,1))</f>
        <v>275.11574966125522</v>
      </c>
      <c r="DU5" s="60">
        <f t="shared" ref="DU5:DU68" si="44">$DU$3</f>
        <v>299.21520121860345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2.9</v>
      </c>
      <c r="N6" s="14">
        <f>IF('Données projet'!$A$36&gt;35,N5+M6-V5,IF(A6&lt;'Données projet'!$A$36,$K$205^A6,IF(A6='Données projet'!$A$36,'Données projet'!$B$36,N5+M6-V5)))</f>
        <v>2.7461192933624794</v>
      </c>
      <c r="O6" s="14">
        <f>N6*VLOOKUP('Données projet'!$B$9,Paramètres!$A$1:$I$89,3,0)*VLOOKUP('Données projet'!$B$9,Paramètres!$A$1:$I$89,5,0)</f>
        <v>2.3990098146814622</v>
      </c>
      <c r="P6" s="14">
        <f t="shared" si="33"/>
        <v>0.99850067298942213</v>
      </c>
      <c r="Q6" s="22">
        <f t="shared" si="2"/>
        <v>5.9173307660267902</v>
      </c>
      <c r="R6" s="60">
        <f t="shared" si="0"/>
        <v>266.25066409936011</v>
      </c>
      <c r="S6" s="60">
        <f ca="1">AVERAGE(OFFSET($R$3,0,0,'Données projet'!$E$9+1,1))-AVERAGE(OFFSET($H$3,0,0,'Données projet'!$E$9+1,1))</f>
        <v>369.34989412920129</v>
      </c>
      <c r="T6" s="60">
        <f t="shared" si="34"/>
        <v>371.26234252426553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1.1000000000000001</v>
      </c>
      <c r="AI6" s="14">
        <f>IF('Données projet'!$A$62&gt;35,AI5+AH6-AQ5,IF(A6&lt;'Données projet'!$A$62,$AF$205^A6,IF(A6='Données projet'!$A$62,'Données projet'!$B$62,AI5+AH6-AQ5)))</f>
        <v>2.0531364136588448</v>
      </c>
      <c r="AJ6" s="14">
        <f>AI6*VLOOKUP('Données projet'!$B$10,Paramètres!$A$1:$I$89,3,0)*VLOOKUP('Données projet'!$B$10,Paramètres!$A$1:$I$89,5,0)</f>
        <v>1.6334753307069771</v>
      </c>
      <c r="AK6" s="14">
        <f t="shared" si="35"/>
        <v>0.71098156578295024</v>
      </c>
      <c r="AL6" s="22">
        <f t="shared" si="4"/>
        <v>4.0832624280532892</v>
      </c>
      <c r="AM6" s="60">
        <f t="shared" si="5"/>
        <v>264.41659576138659</v>
      </c>
      <c r="AN6" s="60">
        <f ca="1">AVERAGE(OFFSET($AM$3,0,0,'Données projet'!$E$10+1,1))-AVERAGE(OFFSET($H$3,0,0,'Données projet'!$E$10+1,1))</f>
        <v>370.79299728190904</v>
      </c>
      <c r="AO6" s="60">
        <f t="shared" si="36"/>
        <v>404.95703400805775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1.5053596184946649</v>
      </c>
      <c r="BF6" s="14">
        <f t="shared" si="37"/>
        <v>0.66147738405820555</v>
      </c>
      <c r="BG6" s="22">
        <f t="shared" si="7"/>
        <v>3.7739077794462492</v>
      </c>
      <c r="BH6" s="60">
        <f t="shared" si="8"/>
        <v>264.10724111277955</v>
      </c>
      <c r="BI6" s="60">
        <f ca="1">AVERAGE(OFFSET($BH$3,0,0,'Données projet'!$E$11+1,1))-AVERAGE(OFFSET($H$3,0,0,'Données projet'!$E$11+1,1))</f>
        <v>344.63665697794022</v>
      </c>
      <c r="BJ6" s="60">
        <f t="shared" si="38"/>
        <v>376.72762011188041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1.7220708720671365</v>
      </c>
      <c r="CA6" s="14">
        <f t="shared" si="39"/>
        <v>0.74494935243383209</v>
      </c>
      <c r="CB6" s="22">
        <f t="shared" si="10"/>
        <v>4.2967268910058536</v>
      </c>
      <c r="CC6" s="60">
        <f t="shared" si="11"/>
        <v>264.63006022433916</v>
      </c>
      <c r="CD6" s="60">
        <f ca="1">AVERAGE(OFFSET($CC$3,0,0,'Données projet'!$E$12+1,1))-AVERAGE(OFFSET($H$3,0,0,'Données projet'!$E$12+1,1))</f>
        <v>529.25712986118265</v>
      </c>
      <c r="CE6" s="60">
        <f t="shared" si="40"/>
        <v>278.21741231699929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1.6033073636487132</v>
      </c>
      <c r="CV6" s="14">
        <f t="shared" si="41"/>
        <v>0.69936661672428513</v>
      </c>
      <c r="CW6" s="22">
        <f t="shared" si="13"/>
        <v>4.0104905158163051</v>
      </c>
      <c r="CX6" s="60">
        <f t="shared" si="14"/>
        <v>264.3438238491496</v>
      </c>
      <c r="CY6" s="60">
        <f ca="1">AVERAGE(OFFSET($CX$3,0,0,'Données projet'!$E$13+1,1))-AVERAGE(OFFSET($H$3,0,0,'Données projet'!$E$13+1,1))</f>
        <v>495.77338291316386</v>
      </c>
      <c r="CZ6" s="60">
        <f t="shared" si="42"/>
        <v>261.95434270986397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1.1000000000000001</v>
      </c>
      <c r="DO6" s="13">
        <f>IF('Données projet'!$A$166&gt;35,DO5+DN6-DW5,IF(A6&lt;'Données projet'!$A$166,$DL$205^A6,IF(A6='Données projet'!$A$166,'Données projet'!$B$166,DO5+DN6-DW5)))</f>
        <v>2.0531364136588448</v>
      </c>
      <c r="DP6" s="18">
        <f>DO6*VLOOKUP('Données projet'!$B$14,Paramètres!$A$1:$I$89,3,0)*VLOOKUP('Données projet'!$B$14,Paramètres!$A$1:$I$89,5,0)</f>
        <v>1.3452149782292753</v>
      </c>
      <c r="DQ6" s="14">
        <f t="shared" si="43"/>
        <v>0.59889737003693966</v>
      </c>
      <c r="DR6" s="22">
        <f t="shared" si="16"/>
        <v>3.3859956732303242</v>
      </c>
      <c r="DS6" s="60">
        <f t="shared" si="17"/>
        <v>263.71932900656361</v>
      </c>
      <c r="DT6" s="60">
        <f ca="1">AVERAGE(OFFSET($DS$3,0,0,'Données projet'!$E$14+1,1))-AVERAGE(OFFSET($H$3,0,0,'Données projet'!$E$14+1,1))</f>
        <v>275.11574966125522</v>
      </c>
      <c r="DU6" s="60">
        <f t="shared" si="44"/>
        <v>299.21520121860345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2.9</v>
      </c>
      <c r="N7" s="14">
        <f>IF('Données projet'!$A$36&gt;35,N6+M7-V6,IF(A7&lt;'Données projet'!$A$36,$K$205^A7,IF(A7='Données projet'!$A$36,'Données projet'!$B$36,N6+M7-V6)))</f>
        <v>3.8455565234187756</v>
      </c>
      <c r="O7" s="14">
        <f>N7*VLOOKUP('Données projet'!$B$9,Paramètres!$A$1:$I$89,3,0)*VLOOKUP('Données projet'!$B$9,Paramètres!$A$1:$I$89,5,0)</f>
        <v>3.3594781788586427</v>
      </c>
      <c r="P7" s="14">
        <f t="shared" si="33"/>
        <v>1.3445156106562728</v>
      </c>
      <c r="Q7" s="22">
        <f t="shared" si="2"/>
        <v>8.1927891834051447</v>
      </c>
      <c r="R7" s="60">
        <f t="shared" si="0"/>
        <v>269.74834473896067</v>
      </c>
      <c r="S7" s="60">
        <f ca="1">AVERAGE(OFFSET($R$3,0,0,'Données projet'!$E$9+1,1))-AVERAGE(OFFSET($H$3,0,0,'Données projet'!$E$9+1,1))</f>
        <v>369.34989412920129</v>
      </c>
      <c r="T7" s="60">
        <f t="shared" si="34"/>
        <v>371.26234252426553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1.1000000000000001</v>
      </c>
      <c r="AI7" s="14">
        <f>IF('Données projet'!$A$62&gt;35,AI6+AH7-AQ6,IF(A7&lt;'Données projet'!$A$62,$AF$205^A7,IF(A7='Données projet'!$A$62,'Données projet'!$B$62,AI6+AH7-AQ6)))</f>
        <v>2.6094986352788743</v>
      </c>
      <c r="AJ7" s="14">
        <f>AI7*VLOOKUP('Données projet'!$B$10,Paramètres!$A$1:$I$89,3,0)*VLOOKUP('Données projet'!$B$10,Paramètres!$A$1:$I$89,5,0)</f>
        <v>2.0761171142278725</v>
      </c>
      <c r="AK7" s="14">
        <f t="shared" si="35"/>
        <v>0.87877116536856548</v>
      </c>
      <c r="AL7" s="22">
        <f t="shared" si="4"/>
        <v>5.14643042029713</v>
      </c>
      <c r="AM7" s="60">
        <f t="shared" si="5"/>
        <v>266.70198597585266</v>
      </c>
      <c r="AN7" s="60">
        <f ca="1">AVERAGE(OFFSET($AM$3,0,0,'Données projet'!$E$10+1,1))-AVERAGE(OFFSET($H$3,0,0,'Données projet'!$E$10+1,1))</f>
        <v>370.79299728190904</v>
      </c>
      <c r="AO7" s="60">
        <f t="shared" si="36"/>
        <v>404.95703400805775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1.9132843993864705</v>
      </c>
      <c r="BF7" s="14">
        <f t="shared" si="37"/>
        <v>0.81758413948982178</v>
      </c>
      <c r="BG7" s="22">
        <f t="shared" si="7"/>
        <v>4.7562627052095419</v>
      </c>
      <c r="BH7" s="60">
        <f t="shared" si="8"/>
        <v>266.31181826076511</v>
      </c>
      <c r="BI7" s="60">
        <f ca="1">AVERAGE(OFFSET($BH$3,0,0,'Données projet'!$E$11+1,1))-AVERAGE(OFFSET($H$3,0,0,'Données projet'!$E$11+1,1))</f>
        <v>344.63665697794022</v>
      </c>
      <c r="BJ7" s="60">
        <f t="shared" si="38"/>
        <v>376.72762011188041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2.1341117843442179</v>
      </c>
      <c r="CA7" s="14">
        <f t="shared" si="39"/>
        <v>0.90042667189585779</v>
      </c>
      <c r="CB7" s="22">
        <f t="shared" si="10"/>
        <v>5.2851544779514645</v>
      </c>
      <c r="CC7" s="60">
        <f t="shared" si="11"/>
        <v>266.84071003350698</v>
      </c>
      <c r="CD7" s="60">
        <f ca="1">AVERAGE(OFFSET($CC$3,0,0,'Données projet'!$E$12+1,1))-AVERAGE(OFFSET($H$3,0,0,'Données projet'!$E$12+1,1))</f>
        <v>529.25712986118265</v>
      </c>
      <c r="CE7" s="60">
        <f t="shared" si="40"/>
        <v>278.21741231699929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1.9869316612859962</v>
      </c>
      <c r="CV7" s="14">
        <f t="shared" si="41"/>
        <v>0.84533042826968274</v>
      </c>
      <c r="CW7" s="22">
        <f t="shared" si="13"/>
        <v>4.9328564726428068</v>
      </c>
      <c r="CX7" s="60">
        <f t="shared" si="14"/>
        <v>266.48841202819835</v>
      </c>
      <c r="CY7" s="60">
        <f ca="1">AVERAGE(OFFSET($CX$3,0,0,'Données projet'!$E$13+1,1))-AVERAGE(OFFSET($H$3,0,0,'Données projet'!$E$13+1,1))</f>
        <v>495.77338291316386</v>
      </c>
      <c r="CZ7" s="60">
        <f t="shared" si="42"/>
        <v>261.95434270986397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1.1000000000000001</v>
      </c>
      <c r="DO7" s="13">
        <f>IF('Données projet'!$A$166&gt;35,DO6+DN7-DW6,IF(A7&lt;'Données projet'!$A$166,$DL$205^A7,IF(A7='Données projet'!$A$166,'Données projet'!$B$166,DO6+DN7-DW6)))</f>
        <v>2.6094986352788743</v>
      </c>
      <c r="DP7" s="18">
        <f>DO7*VLOOKUP('Données projet'!$B$14,Paramètres!$A$1:$I$89,3,0)*VLOOKUP('Données projet'!$B$14,Paramètres!$A$1:$I$89,5,0)</f>
        <v>1.7097435058347183</v>
      </c>
      <c r="DQ7" s="14">
        <f t="shared" si="43"/>
        <v>0.74023542259349984</v>
      </c>
      <c r="DR7" s="22">
        <f t="shared" si="16"/>
        <v>4.2670466336791462</v>
      </c>
      <c r="DS7" s="60">
        <f t="shared" si="17"/>
        <v>265.82260218923471</v>
      </c>
      <c r="DT7" s="60">
        <f ca="1">AVERAGE(OFFSET($DS$3,0,0,'Données projet'!$E$14+1,1))-AVERAGE(OFFSET($H$3,0,0,'Données projet'!$E$14+1,1))</f>
        <v>275.11574966125522</v>
      </c>
      <c r="DU7" s="60">
        <f t="shared" si="44"/>
        <v>299.21520121860345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2.9</v>
      </c>
      <c r="N8" s="14">
        <f>IF('Données projet'!$A$36&gt;35,N7+M8-V7,IF(A8&lt;'Données projet'!$A$36,$K$205^A8,IF(A8='Données projet'!$A$36,'Données projet'!$B$36,N7+M8-V7)))</f>
        <v>5.3851648071345055</v>
      </c>
      <c r="O8" s="14">
        <f>N8*VLOOKUP('Données projet'!$B$9,Paramètres!$A$1:$I$89,3,0)*VLOOKUP('Données projet'!$B$9,Paramètres!$A$1:$I$89,5,0)</f>
        <v>4.7044799755127045</v>
      </c>
      <c r="P8" s="14">
        <f t="shared" si="33"/>
        <v>1.8104366638895204</v>
      </c>
      <c r="Q8" s="22">
        <f t="shared" si="2"/>
        <v>11.346813146958874</v>
      </c>
      <c r="R8" s="60">
        <f t="shared" si="0"/>
        <v>274.12459092473665</v>
      </c>
      <c r="S8" s="60">
        <f ca="1">AVERAGE(OFFSET($R$3,0,0,'Données projet'!$E$9+1,1))-AVERAGE(OFFSET($H$3,0,0,'Données projet'!$E$9+1,1))</f>
        <v>369.34989412920129</v>
      </c>
      <c r="T8" s="60">
        <f t="shared" si="34"/>
        <v>371.26234252426553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1.1000000000000001</v>
      </c>
      <c r="AI8" s="14">
        <f>IF('Données projet'!$A$62&gt;35,AI7+AH8-AQ7,IF(A8&lt;'Données projet'!$A$62,$AF$205^A8,IF(A8='Données projet'!$A$62,'Données projet'!$B$62,AI7+AH8-AQ7)))</f>
        <v>3.3166247903554016</v>
      </c>
      <c r="AJ8" s="14">
        <f>AI8*VLOOKUP('Données projet'!$B$10,Paramètres!$A$1:$I$89,3,0)*VLOOKUP('Données projet'!$B$10,Paramètres!$A$1:$I$89,5,0)</f>
        <v>2.6387066832067574</v>
      </c>
      <c r="AK8" s="14">
        <f t="shared" si="35"/>
        <v>1.0861586266766543</v>
      </c>
      <c r="AL8" s="22">
        <f t="shared" si="4"/>
        <v>6.4874737480469413</v>
      </c>
      <c r="AM8" s="60">
        <f t="shared" si="5"/>
        <v>269.26525152582474</v>
      </c>
      <c r="AN8" s="60">
        <f ca="1">AVERAGE(OFFSET($AM$3,0,0,'Données projet'!$E$10+1,1))-AVERAGE(OFFSET($H$3,0,0,'Données projet'!$E$10+1,1))</f>
        <v>370.79299728190904</v>
      </c>
      <c r="AO8" s="60">
        <f t="shared" si="36"/>
        <v>404.95703400805775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2.4317492962885807</v>
      </c>
      <c r="BF8" s="14">
        <f t="shared" si="37"/>
        <v>1.010531639108154</v>
      </c>
      <c r="BG8" s="22">
        <f t="shared" si="7"/>
        <v>5.9953059624826457</v>
      </c>
      <c r="BH8" s="60">
        <f t="shared" si="8"/>
        <v>268.7730837402604</v>
      </c>
      <c r="BI8" s="60">
        <f ca="1">AVERAGE(OFFSET($BH$3,0,0,'Données projet'!$E$11+1,1))-AVERAGE(OFFSET($H$3,0,0,'Données projet'!$E$11+1,1))</f>
        <v>344.63665697794022</v>
      </c>
      <c r="BJ8" s="60">
        <f t="shared" si="38"/>
        <v>376.72762011188041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2.6447419684939089</v>
      </c>
      <c r="CA8" s="14">
        <f t="shared" si="39"/>
        <v>1.0883534414958294</v>
      </c>
      <c r="CB8" s="22">
        <f t="shared" si="10"/>
        <v>6.5018078390654601</v>
      </c>
      <c r="CC8" s="60">
        <f t="shared" si="11"/>
        <v>269.27958561684324</v>
      </c>
      <c r="CD8" s="60">
        <f ca="1">AVERAGE(OFFSET($CC$3,0,0,'Données projet'!$E$12+1,1))-AVERAGE(OFFSET($H$3,0,0,'Données projet'!$E$12+1,1))</f>
        <v>529.25712986118265</v>
      </c>
      <c r="CE8" s="60">
        <f t="shared" si="40"/>
        <v>278.21741231699929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2.462345970666743</v>
      </c>
      <c r="CV8" s="14">
        <f t="shared" si="41"/>
        <v>1.021758139251189</v>
      </c>
      <c r="CW8" s="22">
        <f t="shared" si="13"/>
        <v>6.068147991440398</v>
      </c>
      <c r="CX8" s="60">
        <f t="shared" si="14"/>
        <v>268.84592576921818</v>
      </c>
      <c r="CY8" s="60">
        <f ca="1">AVERAGE(OFFSET($CX$3,0,0,'Données projet'!$E$13+1,1))-AVERAGE(OFFSET($H$3,0,0,'Données projet'!$E$13+1,1))</f>
        <v>495.77338291316386</v>
      </c>
      <c r="CZ8" s="60">
        <f t="shared" si="42"/>
        <v>261.95434270986397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1.1000000000000001</v>
      </c>
      <c r="DO8" s="13">
        <f>IF('Données projet'!$A$166&gt;35,DO7+DN8-DW7,IF(A8&lt;'Données projet'!$A$166,$DL$205^A8,IF(A8='Données projet'!$A$166,'Données projet'!$B$166,DO7+DN8-DW7)))</f>
        <v>3.3166247903554016</v>
      </c>
      <c r="DP8" s="18">
        <f>DO8*VLOOKUP('Données projet'!$B$14,Paramètres!$A$1:$I$89,3,0)*VLOOKUP('Données projet'!$B$14,Paramètres!$A$1:$I$89,5,0)</f>
        <v>2.173052562640859</v>
      </c>
      <c r="DQ8" s="14">
        <f t="shared" si="43"/>
        <v>0.91492884804015795</v>
      </c>
      <c r="DR8" s="22">
        <f t="shared" si="16"/>
        <v>5.3782342902694369</v>
      </c>
      <c r="DS8" s="60">
        <f t="shared" si="17"/>
        <v>268.15601206804723</v>
      </c>
      <c r="DT8" s="60">
        <f ca="1">AVERAGE(OFFSET($DS$3,0,0,'Données projet'!$E$14+1,1))-AVERAGE(OFFSET($H$3,0,0,'Données projet'!$E$14+1,1))</f>
        <v>275.11574966125522</v>
      </c>
      <c r="DU8" s="60">
        <f t="shared" si="44"/>
        <v>299.21520121860345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2.9</v>
      </c>
      <c r="N9" s="14">
        <f>IF('Données projet'!$A$36&gt;35,N8+M9-V8,IF(A9&lt;'Données projet'!$A$36,$K$205^A9,IF(A9='Données projet'!$A$36,'Données projet'!$B$36,N8+M9-V8)))</f>
        <v>7.5411711733776423</v>
      </c>
      <c r="O9" s="14">
        <f>N9*VLOOKUP('Données projet'!$B$9,Paramètres!$A$1:$I$89,3,0)*VLOOKUP('Données projet'!$B$9,Paramètres!$A$1:$I$89,5,0)</f>
        <v>6.5879671370627086</v>
      </c>
      <c r="P9" s="14">
        <f t="shared" si="33"/>
        <v>2.4378154392387783</v>
      </c>
      <c r="Q9" s="22">
        <f t="shared" si="2"/>
        <v>15.71990465372509</v>
      </c>
      <c r="R9" s="60">
        <f t="shared" si="0"/>
        <v>279.71990465372511</v>
      </c>
      <c r="S9" s="60">
        <f ca="1">AVERAGE(OFFSET($R$3,0,0,'Données projet'!$E$9+1,1))-AVERAGE(OFFSET($H$3,0,0,'Données projet'!$E$9+1,1))</f>
        <v>369.34989412920129</v>
      </c>
      <c r="T9" s="60">
        <f t="shared" si="34"/>
        <v>371.26234252426553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1.1000000000000001</v>
      </c>
      <c r="AI9" s="14">
        <f>IF('Données projet'!$A$62&gt;35,AI8+AH9-AQ8,IF(A9&lt;'Données projet'!$A$62,$AF$205^A9,IF(A9='Données projet'!$A$62,'Données projet'!$B$62,AI8+AH9-AQ8)))</f>
        <v>4.2153691330919028</v>
      </c>
      <c r="AJ9" s="14">
        <f>AI9*VLOOKUP('Données projet'!$B$10,Paramètres!$A$1:$I$89,3,0)*VLOOKUP('Données projet'!$B$10,Paramètres!$A$1:$I$89,5,0)</f>
        <v>3.353747682287918</v>
      </c>
      <c r="AK9" s="14">
        <f t="shared" si="35"/>
        <v>1.3424889309030987</v>
      </c>
      <c r="AL9" s="22">
        <f t="shared" si="4"/>
        <v>8.1792787679743544</v>
      </c>
      <c r="AM9" s="60">
        <f t="shared" si="5"/>
        <v>272.17927876797438</v>
      </c>
      <c r="AN9" s="60">
        <f ca="1">AVERAGE(OFFSET($AM$3,0,0,'Données projet'!$E$10+1,1))-AVERAGE(OFFSET($H$3,0,0,'Données projet'!$E$10+1,1))</f>
        <v>370.79299728190904</v>
      </c>
      <c r="AO9" s="60">
        <f t="shared" si="36"/>
        <v>404.95703400805775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3.0907086483829831</v>
      </c>
      <c r="BF9" s="14">
        <f t="shared" si="37"/>
        <v>1.2490141923201104</v>
      </c>
      <c r="BG9" s="22">
        <f t="shared" si="7"/>
        <v>7.5583506142245538</v>
      </c>
      <c r="BH9" s="60">
        <f t="shared" si="8"/>
        <v>271.55835061422454</v>
      </c>
      <c r="BI9" s="60">
        <f ca="1">AVERAGE(OFFSET($BH$3,0,0,'Données projet'!$E$11+1,1))-AVERAGE(OFFSET($H$3,0,0,'Données projet'!$E$11+1,1))</f>
        <v>344.63665697794022</v>
      </c>
      <c r="BJ9" s="60">
        <f t="shared" si="38"/>
        <v>376.72762011188041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3.2775509376901719</v>
      </c>
      <c r="CA9" s="14">
        <f t="shared" si="39"/>
        <v>1.315502139804245</v>
      </c>
      <c r="CB9" s="22">
        <f t="shared" si="10"/>
        <v>7.9995674433027766</v>
      </c>
      <c r="CC9" s="60">
        <f t="shared" si="11"/>
        <v>271.99956744330279</v>
      </c>
      <c r="CD9" s="60">
        <f ca="1">AVERAGE(OFFSET($CC$3,0,0,'Données projet'!$E$12+1,1))-AVERAGE(OFFSET($H$3,0,0,'Données projet'!$E$12+1,1))</f>
        <v>529.25712986118265</v>
      </c>
      <c r="CE9" s="60">
        <f t="shared" si="40"/>
        <v>278.21741231699929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3.0515129419874016</v>
      </c>
      <c r="CV9" s="14">
        <f t="shared" si="41"/>
        <v>1.2350078267772846</v>
      </c>
      <c r="CW9" s="22">
        <f t="shared" si="13"/>
        <v>7.4656903389318279</v>
      </c>
      <c r="CX9" s="60">
        <f t="shared" si="14"/>
        <v>271.46569033893184</v>
      </c>
      <c r="CY9" s="60">
        <f ca="1">AVERAGE(OFFSET($CX$3,0,0,'Données projet'!$E$13+1,1))-AVERAGE(OFFSET($H$3,0,0,'Données projet'!$E$13+1,1))</f>
        <v>495.77338291316386</v>
      </c>
      <c r="CZ9" s="60">
        <f t="shared" si="42"/>
        <v>261.95434270986397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1.1000000000000001</v>
      </c>
      <c r="DO9" s="13">
        <f>IF('Données projet'!$A$166&gt;35,DO8+DN9-DW8,IF(A9&lt;'Données projet'!$A$166,$DL$205^A9,IF(A9='Données projet'!$A$166,'Données projet'!$B$166,DO8+DN9-DW8)))</f>
        <v>4.2153691330919028</v>
      </c>
      <c r="DP9" s="18">
        <f>DO9*VLOOKUP('Données projet'!$B$14,Paramètres!$A$1:$I$89,3,0)*VLOOKUP('Données projet'!$B$14,Paramètres!$A$1:$I$89,5,0)</f>
        <v>2.7619098560018145</v>
      </c>
      <c r="DQ9" s="14">
        <f t="shared" si="43"/>
        <v>1.1308494182070246</v>
      </c>
      <c r="DR9" s="22">
        <f t="shared" si="16"/>
        <v>6.7798890692470613</v>
      </c>
      <c r="DS9" s="60">
        <f t="shared" si="17"/>
        <v>270.77988906924708</v>
      </c>
      <c r="DT9" s="60">
        <f ca="1">AVERAGE(OFFSET($DS$3,0,0,'Données projet'!$E$14+1,1))-AVERAGE(OFFSET($H$3,0,0,'Données projet'!$E$14+1,1))</f>
        <v>275.11574966125522</v>
      </c>
      <c r="DU9" s="60">
        <f t="shared" si="44"/>
        <v>299.21520121860345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2.9</v>
      </c>
      <c r="N10" s="14">
        <f>IF('Données projet'!$A$36&gt;35,N9+M10-V9,IF(A10&lt;'Données projet'!$A$36,$K$205^A10,IF(A10='Données projet'!$A$36,'Données projet'!$B$36,N9+M10-V9)))</f>
        <v>10.560356962676241</v>
      </c>
      <c r="O10" s="14">
        <f>N10*VLOOKUP('Données projet'!$B$9,Paramètres!$A$1:$I$89,3,0)*VLOOKUP('Données projet'!$B$9,Paramètres!$A$1:$I$89,5,0)</f>
        <v>9.2255278425939657</v>
      </c>
      <c r="P10" s="14">
        <f t="shared" si="33"/>
        <v>3.282602608711652</v>
      </c>
      <c r="Q10" s="22">
        <f t="shared" si="2"/>
        <v>21.784993869357283</v>
      </c>
      <c r="R10" s="60">
        <f t="shared" si="0"/>
        <v>287.00721609157949</v>
      </c>
      <c r="S10" s="60">
        <f ca="1">AVERAGE(OFFSET($R$3,0,0,'Données projet'!$E$9+1,1))-AVERAGE(OFFSET($H$3,0,0,'Données projet'!$E$9+1,1))</f>
        <v>369.34989412920129</v>
      </c>
      <c r="T10" s="60">
        <f t="shared" si="34"/>
        <v>371.26234252426553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1.1000000000000001</v>
      </c>
      <c r="AI10" s="14">
        <f>IF('Données projet'!$A$62&gt;35,AI9+AH10-AQ9,IF(A10&lt;'Données projet'!$A$62,$AF$205^A10,IF(A10='Données projet'!$A$62,'Données projet'!$B$62,AI9+AH10-AQ9)))</f>
        <v>5.3576566694841175</v>
      </c>
      <c r="AJ10" s="14">
        <f>AI10*VLOOKUP('Données projet'!$B$10,Paramètres!$A$1:$I$89,3,0)*VLOOKUP('Données projet'!$B$10,Paramètres!$A$1:$I$89,5,0)</f>
        <v>4.2625516462415645</v>
      </c>
      <c r="AK10" s="14">
        <f t="shared" si="35"/>
        <v>1.6593124478620722</v>
      </c>
      <c r="AL10" s="22">
        <f t="shared" si="4"/>
        <v>10.313913297230501</v>
      </c>
      <c r="AM10" s="60">
        <f t="shared" si="5"/>
        <v>275.53613551945273</v>
      </c>
      <c r="AN10" s="60">
        <f ca="1">AVERAGE(OFFSET($AM$3,0,0,'Données projet'!$E$10+1,1))-AVERAGE(OFFSET($H$3,0,0,'Données projet'!$E$10+1,1))</f>
        <v>370.79299728190904</v>
      </c>
      <c r="AO10" s="60">
        <f t="shared" si="36"/>
        <v>404.95703400805775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3.9282338700657551</v>
      </c>
      <c r="BF10" s="14">
        <f t="shared" si="37"/>
        <v>1.5437779404847436</v>
      </c>
      <c r="BG10" s="22">
        <f t="shared" si="7"/>
        <v>9.5304205700421178</v>
      </c>
      <c r="BH10" s="60">
        <f t="shared" si="8"/>
        <v>274.75264279226434</v>
      </c>
      <c r="BI10" s="60">
        <f ca="1">AVERAGE(OFFSET($BH$3,0,0,'Données projet'!$E$11+1,1))-AVERAGE(OFFSET($H$3,0,0,'Données projet'!$E$11+1,1))</f>
        <v>344.63665697794022</v>
      </c>
      <c r="BJ10" s="60">
        <f t="shared" si="38"/>
        <v>376.72762011188041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4.0617724818240486</v>
      </c>
      <c r="CA10" s="14">
        <f t="shared" si="39"/>
        <v>1.590058719758437</v>
      </c>
      <c r="CB10" s="22">
        <f t="shared" si="10"/>
        <v>9.8436060094228282</v>
      </c>
      <c r="CC10" s="60">
        <f t="shared" si="11"/>
        <v>275.06582823164507</v>
      </c>
      <c r="CD10" s="60">
        <f ca="1">AVERAGE(OFFSET($CC$3,0,0,'Données projet'!$E$12+1,1))-AVERAGE(OFFSET($H$3,0,0,'Données projet'!$E$12+1,1))</f>
        <v>529.25712986118265</v>
      </c>
      <c r="CE10" s="60">
        <f t="shared" si="40"/>
        <v>278.21741231699929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3.7816502416982529</v>
      </c>
      <c r="CV10" s="14">
        <f t="shared" si="41"/>
        <v>1.492764553183741</v>
      </c>
      <c r="CW10" s="22">
        <f t="shared" si="13"/>
        <v>9.1862724344194735</v>
      </c>
      <c r="CX10" s="60">
        <f t="shared" si="14"/>
        <v>274.40849465664172</v>
      </c>
      <c r="CY10" s="60">
        <f ca="1">AVERAGE(OFFSET($CX$3,0,0,'Données projet'!$E$13+1,1))-AVERAGE(OFFSET($H$3,0,0,'Données projet'!$E$13+1,1))</f>
        <v>495.77338291316386</v>
      </c>
      <c r="CZ10" s="60">
        <f t="shared" si="42"/>
        <v>261.95434270986397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1.1000000000000001</v>
      </c>
      <c r="DO10" s="13">
        <f>IF('Données projet'!$A$166&gt;35,DO9+DN10-DW9,IF(A10&lt;'Données projet'!$A$166,$DL$205^A10,IF(A10='Données projet'!$A$166,'Données projet'!$B$166,DO9+DN10-DW9)))</f>
        <v>5.3576566694841175</v>
      </c>
      <c r="DP10" s="18">
        <f>DO10*VLOOKUP('Données projet'!$B$14,Paramètres!$A$1:$I$89,3,0)*VLOOKUP('Données projet'!$B$14,Paramètres!$A$1:$I$89,5,0)</f>
        <v>3.510336649845994</v>
      </c>
      <c r="DQ10" s="14">
        <f t="shared" si="43"/>
        <v>1.397726620379814</v>
      </c>
      <c r="DR10" s="22">
        <f t="shared" si="16"/>
        <v>8.5482101956432839</v>
      </c>
      <c r="DS10" s="60">
        <f t="shared" si="17"/>
        <v>273.77043241786549</v>
      </c>
      <c r="DT10" s="60">
        <f ca="1">AVERAGE(OFFSET($DS$3,0,0,'Données projet'!$E$14+1,1))-AVERAGE(OFFSET($H$3,0,0,'Données projet'!$E$14+1,1))</f>
        <v>275.11574966125522</v>
      </c>
      <c r="DU10" s="60">
        <f t="shared" si="44"/>
        <v>299.21520121860345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2.9</v>
      </c>
      <c r="N11" s="14">
        <f>IF('Données projet'!$A$36&gt;35,N10+M11-V10,IF(A11&lt;'Données projet'!$A$36,$K$205^A11,IF(A11='Données projet'!$A$36,'Données projet'!$B$36,N10+M11-V10)))</f>
        <v>14.7883049748087</v>
      </c>
      <c r="O11" s="14">
        <f>N11*VLOOKUP('Données projet'!$B$9,Paramètres!$A$1:$I$89,3,0)*VLOOKUP('Données projet'!$B$9,Paramètres!$A$1:$I$89,5,0)</f>
        <v>12.919063225992881</v>
      </c>
      <c r="P11" s="14">
        <f t="shared" si="33"/>
        <v>4.4201376828121335</v>
      </c>
      <c r="Q11" s="22">
        <f t="shared" si="2"/>
        <v>30.199108249502064</v>
      </c>
      <c r="R11" s="60">
        <f t="shared" si="0"/>
        <v>296.6435526939465</v>
      </c>
      <c r="S11" s="60">
        <f ca="1">AVERAGE(OFFSET($R$3,0,0,'Données projet'!$E$9+1,1))-AVERAGE(OFFSET($H$3,0,0,'Données projet'!$E$9+1,1))</f>
        <v>369.34989412920129</v>
      </c>
      <c r="T11" s="60">
        <f t="shared" si="34"/>
        <v>371.26234252426553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1.1000000000000001</v>
      </c>
      <c r="AI11" s="14">
        <f>IF('Données projet'!$A$62&gt;35,AI10+AH11-AQ10,IF(A11&lt;'Données projet'!$A$62,$AF$205^A11,IF(A11='Données projet'!$A$62,'Données projet'!$B$62,AI10+AH11-AQ10)))</f>
        <v>6.8094831275223076</v>
      </c>
      <c r="AJ11" s="14">
        <f>AI11*VLOOKUP('Données projet'!$B$10,Paramètres!$A$1:$I$89,3,0)*VLOOKUP('Données projet'!$B$10,Paramètres!$A$1:$I$89,5,0)</f>
        <v>5.4176247762567487</v>
      </c>
      <c r="AK11" s="14">
        <f t="shared" si="35"/>
        <v>2.0509054013412618</v>
      </c>
      <c r="AL11" s="22">
        <f t="shared" si="4"/>
        <v>13.007690059316532</v>
      </c>
      <c r="AM11" s="60">
        <f t="shared" si="5"/>
        <v>279.45213450376099</v>
      </c>
      <c r="AN11" s="60">
        <f ca="1">AVERAGE(OFFSET($AM$3,0,0,'Données projet'!$E$10+1,1))-AVERAGE(OFFSET($H$3,0,0,'Données projet'!$E$10+1,1))</f>
        <v>370.79299728190904</v>
      </c>
      <c r="AO11" s="60">
        <f t="shared" si="36"/>
        <v>404.95703400805775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4.9927130290993551</v>
      </c>
      <c r="BF11" s="14">
        <f t="shared" si="37"/>
        <v>1.9081050833380053</v>
      </c>
      <c r="BG11" s="22">
        <f t="shared" si="7"/>
        <v>12.018924879161736</v>
      </c>
      <c r="BH11" s="60">
        <f t="shared" si="8"/>
        <v>278.46336932360617</v>
      </c>
      <c r="BI11" s="60">
        <f ca="1">AVERAGE(OFFSET($BH$3,0,0,'Données projet'!$E$11+1,1))-AVERAGE(OFFSET($H$3,0,0,'Données projet'!$E$11+1,1))</f>
        <v>344.63665697794022</v>
      </c>
      <c r="BJ11" s="60">
        <f t="shared" si="38"/>
        <v>376.72762011188041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5.0336351769196082</v>
      </c>
      <c r="CA11" s="14">
        <f t="shared" si="39"/>
        <v>1.9219176128866391</v>
      </c>
      <c r="CB11" s="22">
        <f t="shared" si="10"/>
        <v>12.11425444224588</v>
      </c>
      <c r="CC11" s="60">
        <f t="shared" si="11"/>
        <v>278.55869888669031</v>
      </c>
      <c r="CD11" s="60">
        <f ca="1">AVERAGE(OFFSET($CC$3,0,0,'Données projet'!$E$12+1,1))-AVERAGE(OFFSET($H$3,0,0,'Données projet'!$E$12+1,1))</f>
        <v>529.25712986118265</v>
      </c>
      <c r="CE11" s="60">
        <f t="shared" si="40"/>
        <v>278.21741231699929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4.6864879233389463</v>
      </c>
      <c r="CV11" s="14">
        <f t="shared" si="41"/>
        <v>1.8043173192324258</v>
      </c>
      <c r="CW11" s="22">
        <f t="shared" si="13"/>
        <v>11.304819130811806</v>
      </c>
      <c r="CX11" s="60">
        <f t="shared" si="14"/>
        <v>277.74926357525624</v>
      </c>
      <c r="CY11" s="60">
        <f ca="1">AVERAGE(OFFSET($CX$3,0,0,'Données projet'!$E$13+1,1))-AVERAGE(OFFSET($H$3,0,0,'Données projet'!$E$13+1,1))</f>
        <v>495.77338291316386</v>
      </c>
      <c r="CZ11" s="60">
        <f t="shared" si="42"/>
        <v>261.95434270986397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1.1000000000000001</v>
      </c>
      <c r="DO11" s="13">
        <f>IF('Données projet'!$A$166&gt;35,DO10+DN11-DW10,IF(A11&lt;'Données projet'!$A$166,$DL$205^A11,IF(A11='Données projet'!$A$166,'Données projet'!$B$166,DO10+DN11-DW10)))</f>
        <v>6.8094831275223076</v>
      </c>
      <c r="DP11" s="18">
        <f>DO11*VLOOKUP('Données projet'!$B$14,Paramètres!$A$1:$I$89,3,0)*VLOOKUP('Données projet'!$B$14,Paramètres!$A$1:$I$89,5,0)</f>
        <v>4.4615733451526163</v>
      </c>
      <c r="DQ11" s="14">
        <f t="shared" si="43"/>
        <v>1.7275860727911023</v>
      </c>
      <c r="DR11" s="22">
        <f t="shared" si="16"/>
        <v>10.779452652918643</v>
      </c>
      <c r="DS11" s="60">
        <f t="shared" si="17"/>
        <v>277.22389709736308</v>
      </c>
      <c r="DT11" s="60">
        <f ca="1">AVERAGE(OFFSET($DS$3,0,0,'Données projet'!$E$14+1,1))-AVERAGE(OFFSET($H$3,0,0,'Données projet'!$E$14+1,1))</f>
        <v>275.11574966125522</v>
      </c>
      <c r="DU11" s="60">
        <f t="shared" si="44"/>
        <v>299.21520121860345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2.9</v>
      </c>
      <c r="N12" s="14">
        <f>IF('Données projet'!$A$36&gt;35,N11+M12-V11,IF(A12&lt;'Données projet'!$A$36,$K$205^A12,IF(A12='Données projet'!$A$36,'Données projet'!$B$36,N11+M12-V11)))</f>
        <v>20.708955653761308</v>
      </c>
      <c r="O12" s="14">
        <f>N12*VLOOKUP('Données projet'!$B$9,Paramètres!$A$1:$I$89,3,0)*VLOOKUP('Données projet'!$B$9,Paramètres!$A$1:$I$89,5,0)</f>
        <v>18.091343659125879</v>
      </c>
      <c r="P12" s="14">
        <f t="shared" si="33"/>
        <v>5.9518679121149844</v>
      </c>
      <c r="Q12" s="22">
        <f t="shared" si="2"/>
        <v>41.875260153244504</v>
      </c>
      <c r="R12" s="60">
        <f t="shared" si="0"/>
        <v>309.54192681991117</v>
      </c>
      <c r="S12" s="60">
        <f ca="1">AVERAGE(OFFSET($R$3,0,0,'Données projet'!$E$9+1,1))-AVERAGE(OFFSET($H$3,0,0,'Données projet'!$E$9+1,1))</f>
        <v>369.34989412920129</v>
      </c>
      <c r="T12" s="60">
        <f t="shared" si="34"/>
        <v>371.26234252426553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1.1000000000000001</v>
      </c>
      <c r="AI12" s="14">
        <f>IF('Données projet'!$A$62&gt;35,AI11+AH12-AQ11,IF(A12&lt;'Données projet'!$A$62,$AF$205^A12,IF(A12='Données projet'!$A$62,'Données projet'!$B$62,AI11+AH12-AQ11)))</f>
        <v>8.6547278641645029</v>
      </c>
      <c r="AJ12" s="14">
        <f>AI12*VLOOKUP('Données projet'!$B$10,Paramètres!$A$1:$I$89,3,0)*VLOOKUP('Données projet'!$B$10,Paramètres!$A$1:$I$89,5,0)</f>
        <v>6.8857014887292793</v>
      </c>
      <c r="AK12" s="14">
        <f t="shared" si="35"/>
        <v>2.5349131627802968</v>
      </c>
      <c r="AL12" s="22">
        <f t="shared" si="4"/>
        <v>16.407570518045844</v>
      </c>
      <c r="AM12" s="60">
        <f t="shared" si="5"/>
        <v>284.0742371847125</v>
      </c>
      <c r="AN12" s="60">
        <f ca="1">AVERAGE(OFFSET($AM$3,0,0,'Données projet'!$E$10+1,1))-AVERAGE(OFFSET($H$3,0,0,'Données projet'!$E$10+1,1))</f>
        <v>370.79299728190904</v>
      </c>
      <c r="AO12" s="60">
        <f t="shared" si="36"/>
        <v>404.95703400805775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6.3456464700054127</v>
      </c>
      <c r="BF12" s="14">
        <f t="shared" si="37"/>
        <v>2.3584123814576028</v>
      </c>
      <c r="BG12" s="22">
        <f t="shared" si="7"/>
        <v>15.159569166298086</v>
      </c>
      <c r="BH12" s="60">
        <f t="shared" si="8"/>
        <v>282.82623583296476</v>
      </c>
      <c r="BI12" s="60">
        <f ca="1">AVERAGE(OFFSET($BH$3,0,0,'Données projet'!$E$11+1,1))-AVERAGE(OFFSET($H$3,0,0,'Données projet'!$E$11+1,1))</f>
        <v>344.63665697794022</v>
      </c>
      <c r="BJ12" s="60">
        <f t="shared" si="38"/>
        <v>376.72762011188041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6.2380360317336141</v>
      </c>
      <c r="CA12" s="14">
        <f t="shared" si="39"/>
        <v>2.3230383034439352</v>
      </c>
      <c r="CB12" s="22">
        <f t="shared" si="10"/>
        <v>14.910537800434229</v>
      </c>
      <c r="CC12" s="60">
        <f t="shared" si="11"/>
        <v>282.5772044671009</v>
      </c>
      <c r="CD12" s="60">
        <f ca="1">AVERAGE(OFFSET($CC$3,0,0,'Données projet'!$E$12+1,1))-AVERAGE(OFFSET($H$3,0,0,'Données projet'!$E$12+1,1))</f>
        <v>529.25712986118265</v>
      </c>
      <c r="CE12" s="60">
        <f t="shared" si="40"/>
        <v>278.21741231699929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5.8078266502347455</v>
      </c>
      <c r="CV12" s="14">
        <f t="shared" si="41"/>
        <v>2.1808938198181922</v>
      </c>
      <c r="CW12" s="22">
        <f t="shared" si="13"/>
        <v>13.913688152008866</v>
      </c>
      <c r="CX12" s="60">
        <f t="shared" si="14"/>
        <v>281.58035481867557</v>
      </c>
      <c r="CY12" s="60">
        <f ca="1">AVERAGE(OFFSET($CX$3,0,0,'Données projet'!$E$13+1,1))-AVERAGE(OFFSET($H$3,0,0,'Données projet'!$E$13+1,1))</f>
        <v>495.77338291316386</v>
      </c>
      <c r="CZ12" s="60">
        <f t="shared" si="42"/>
        <v>261.95434270986397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1.1000000000000001</v>
      </c>
      <c r="DO12" s="13">
        <f>IF('Données projet'!$A$166&gt;35,DO11+DN12-DW11,IF(A12&lt;'Données projet'!$A$166,$DL$205^A12,IF(A12='Données projet'!$A$166,'Données projet'!$B$166,DO11+DN12-DW11)))</f>
        <v>8.6547278641645029</v>
      </c>
      <c r="DP12" s="18">
        <f>DO12*VLOOKUP('Données projet'!$B$14,Paramètres!$A$1:$I$89,3,0)*VLOOKUP('Données projet'!$B$14,Paramètres!$A$1:$I$89,5,0)</f>
        <v>5.6705776966005823</v>
      </c>
      <c r="DQ12" s="14">
        <f t="shared" si="43"/>
        <v>2.1352914049034637</v>
      </c>
      <c r="DR12" s="22">
        <f t="shared" si="16"/>
        <v>13.59522201845288</v>
      </c>
      <c r="DS12" s="60">
        <f t="shared" si="17"/>
        <v>281.26188868511957</v>
      </c>
      <c r="DT12" s="60">
        <f ca="1">AVERAGE(OFFSET($DS$3,0,0,'Données projet'!$E$14+1,1))-AVERAGE(OFFSET($H$3,0,0,'Données projet'!$E$14+1,1))</f>
        <v>275.11574966125522</v>
      </c>
      <c r="DU12" s="60">
        <f t="shared" si="44"/>
        <v>299.21520121860345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29</v>
      </c>
      <c r="L13" s="13">
        <f>VLOOKUP(A13,'Données projet'!$A$35:$I$55,9,0)</f>
        <v>2.9</v>
      </c>
      <c r="M13" s="13">
        <f t="array" ref="M13">INDEX(L:L,MIN(IF(ISNUMBER(L13:L209),ROW(L13:L209),"")))</f>
        <v>2.9</v>
      </c>
      <c r="N13" s="14">
        <f>IF('Données projet'!$A$36&gt;35,N12+M13-V12,IF(A13&lt;'Données projet'!$A$36,$K$205^A13,IF(A13='Données projet'!$A$36,'Données projet'!$B$36,N12+M13-V12)))</f>
        <v>29</v>
      </c>
      <c r="O13" s="14">
        <f>N13*VLOOKUP('Données projet'!$B$9,Paramètres!$A$1:$I$89,3,0)*VLOOKUP('Données projet'!$B$9,Paramètres!$A$1:$I$89,5,0)</f>
        <v>25.334400000000002</v>
      </c>
      <c r="P13" s="14">
        <f t="shared" si="33"/>
        <v>8.0143955200794572</v>
      </c>
      <c r="Q13" s="22">
        <f t="shared" si="2"/>
        <v>58.082485530805059</v>
      </c>
      <c r="R13" s="60">
        <f t="shared" si="0"/>
        <v>326.97137441969392</v>
      </c>
      <c r="S13" s="60">
        <f ca="1">AVERAGE(OFFSET($R$3,0,0,'Données projet'!$E$9+1,1))-AVERAGE(OFFSET($H$3,0,0,'Données projet'!$E$9+1,1))</f>
        <v>369.34989412920129</v>
      </c>
      <c r="T13" s="60">
        <f t="shared" si="34"/>
        <v>371.26234252426553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</v>
      </c>
      <c r="AG13" s="13">
        <f>VLOOKUP(A13,'Données projet'!$A$61:$I$81,9,0)</f>
        <v>1.1000000000000001</v>
      </c>
      <c r="AH13" s="13">
        <f t="array" ref="AH13">INDEX(AG:AG,MIN(IF(ISNUMBER(AG13:AG209),ROW(AG13:AG209),"")))</f>
        <v>1.1000000000000001</v>
      </c>
      <c r="AI13" s="14">
        <f>IF('Données projet'!$A$62&gt;35,AI12+AH13-AQ12,IF(A13&lt;'Données projet'!$A$62,$AF$205^A13,IF(A13='Données projet'!$A$62,'Données projet'!$B$62,AI12+AH13-AQ12)))</f>
        <v>11</v>
      </c>
      <c r="AJ13" s="14">
        <f>AI13*VLOOKUP('Données projet'!$B$10,Paramètres!$A$1:$I$89,3,0)*VLOOKUP('Données projet'!$B$10,Paramètres!$A$1:$I$89,5,0)</f>
        <v>8.7516000000000016</v>
      </c>
      <c r="AK13" s="14">
        <f t="shared" si="35"/>
        <v>3.1331453604025001</v>
      </c>
      <c r="AL13" s="22">
        <f t="shared" si="4"/>
        <v>20.699264836034356</v>
      </c>
      <c r="AM13" s="60">
        <f t="shared" si="5"/>
        <v>289.58815372492319</v>
      </c>
      <c r="AN13" s="60">
        <f ca="1">AVERAGE(OFFSET($AM$3,0,0,'Données projet'!$E$10+1,1))-AVERAGE(OFFSET($H$3,0,0,'Données projet'!$E$10+1,1))</f>
        <v>370.79299728190904</v>
      </c>
      <c r="AO13" s="60">
        <f t="shared" si="36"/>
        <v>404.95703400805775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8.0652000000000008</v>
      </c>
      <c r="BF13" s="14">
        <f t="shared" si="37"/>
        <v>2.9149909035839161</v>
      </c>
      <c r="BG13" s="22">
        <f t="shared" si="7"/>
        <v>19.123832490408656</v>
      </c>
      <c r="BH13" s="60">
        <f t="shared" si="8"/>
        <v>288.01272137929749</v>
      </c>
      <c r="BI13" s="60">
        <f ca="1">AVERAGE(OFFSET($BH$3,0,0,'Données projet'!$E$11+1,1))-AVERAGE(OFFSET($H$3,0,0,'Données projet'!$E$11+1,1))</f>
        <v>344.63665697794022</v>
      </c>
      <c r="BJ13" s="60">
        <f t="shared" si="38"/>
        <v>376.72762011188041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7.7306145887633031</v>
      </c>
      <c r="CA13" s="14">
        <f t="shared" si="39"/>
        <v>2.8078763226288115</v>
      </c>
      <c r="CB13" s="22">
        <f t="shared" si="10"/>
        <v>18.354538337341264</v>
      </c>
      <c r="CC13" s="60">
        <f t="shared" si="11"/>
        <v>287.2434272262301</v>
      </c>
      <c r="CD13" s="60">
        <f ca="1">AVERAGE(OFFSET($CC$3,0,0,'Données projet'!$E$12+1,1))-AVERAGE(OFFSET($H$3,0,0,'Données projet'!$E$12+1,1))</f>
        <v>529.25712986118265</v>
      </c>
      <c r="CE13" s="60">
        <f t="shared" si="40"/>
        <v>278.21741231699929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7.1974687550554899</v>
      </c>
      <c r="CV13" s="14">
        <f t="shared" si="41"/>
        <v>2.6360650660630816</v>
      </c>
      <c r="CW13" s="22">
        <f t="shared" si="13"/>
        <v>17.126738071781514</v>
      </c>
      <c r="CX13" s="60">
        <f t="shared" si="14"/>
        <v>286.01562696067037</v>
      </c>
      <c r="CY13" s="60">
        <f ca="1">AVERAGE(OFFSET($CX$3,0,0,'Données projet'!$E$13+1,1))-AVERAGE(OFFSET($H$3,0,0,'Données projet'!$E$13+1,1))</f>
        <v>495.77338291316386</v>
      </c>
      <c r="CZ13" s="60">
        <f t="shared" si="42"/>
        <v>261.95434270986397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11</v>
      </c>
      <c r="DM13" s="13">
        <f>VLOOKUP(A13,'Données projet'!$A$165:$I$185,9,0)</f>
        <v>1.1000000000000001</v>
      </c>
      <c r="DN13" s="13">
        <f t="array" ref="DN13">INDEX(DM:DM,MIN(IF(ISNUMBER(DM13:DM209),ROW(DM13:DM209),"")))</f>
        <v>1.1000000000000001</v>
      </c>
      <c r="DO13" s="13">
        <f>IF('Données projet'!$A$166&gt;35,DO12+DN13-DW12,IF(A13&lt;'Données projet'!$A$166,$DL$205^A13,IF(A13='Données projet'!$A$166,'Données projet'!$B$166,DO12+DN13-DW12)))</f>
        <v>11</v>
      </c>
      <c r="DP13" s="18">
        <f>DO13*VLOOKUP('Données projet'!$B$14,Paramètres!$A$1:$I$89,3,0)*VLOOKUP('Données projet'!$B$14,Paramètres!$A$1:$I$89,5,0)</f>
        <v>7.2072000000000003</v>
      </c>
      <c r="DQ13" s="14">
        <f t="shared" si="43"/>
        <v>2.6392140198770462</v>
      </c>
      <c r="DR13" s="22">
        <f t="shared" si="16"/>
        <v>17.149171084619187</v>
      </c>
      <c r="DS13" s="60">
        <f t="shared" si="17"/>
        <v>286.03805997350804</v>
      </c>
      <c r="DT13" s="60">
        <f ca="1">AVERAGE(OFFSET($DS$3,0,0,'Données projet'!$E$14+1,1))-AVERAGE(OFFSET($H$3,0,0,'Données projet'!$E$14+1,1))</f>
        <v>275.11574966125522</v>
      </c>
      <c r="DU13" s="60">
        <f t="shared" si="44"/>
        <v>299.21520121860345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8.8000000000000007</v>
      </c>
      <c r="N14" s="14">
        <f>IF('Données projet'!$A$36&gt;35,N13+M14-V13,IF(A14&lt;'Données projet'!$A$36,$K$205^A14,IF(A14='Données projet'!$A$36,'Données projet'!$B$36,N13+M14-V13)))</f>
        <v>37.799999999999997</v>
      </c>
      <c r="O14" s="14">
        <f>N14*VLOOKUP('Données projet'!$B$9,Paramètres!$A$1:$I$89,3,0)*VLOOKUP('Données projet'!$B$9,Paramètres!$A$1:$I$89,5,0)</f>
        <v>33.022080000000003</v>
      </c>
      <c r="P14" s="14">
        <f t="shared" si="33"/>
        <v>10.129025278332465</v>
      </c>
      <c r="Q14" s="22">
        <f t="shared" si="2"/>
        <v>75.154841693095705</v>
      </c>
      <c r="R14" s="60">
        <f t="shared" si="0"/>
        <v>345.26595280420685</v>
      </c>
      <c r="S14" s="60">
        <f ca="1">AVERAGE(OFFSET($R$3,0,0,'Données projet'!$E$9+1,1))-AVERAGE(OFFSET($H$3,0,0,'Données projet'!$E$9+1,1))</f>
        <v>369.34989412920129</v>
      </c>
      <c r="T14" s="60">
        <f t="shared" si="34"/>
        <v>371.26234252426553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10.8</v>
      </c>
      <c r="AI14" s="14">
        <f>IF('Données projet'!$A$62&gt;35,AI13+AH14-AQ13,IF(A14&lt;'Données projet'!$A$62,$AF$205^A14,IF(A14='Données projet'!$A$62,'Données projet'!$B$62,AI13+AH14-AQ13)))</f>
        <v>21.8</v>
      </c>
      <c r="AJ14" s="14">
        <f>AI14*VLOOKUP('Données projet'!$B$10,Paramètres!$A$1:$I$89,3,0)*VLOOKUP('Données projet'!$B$10,Paramètres!$A$1:$I$89,5,0)</f>
        <v>17.344080000000002</v>
      </c>
      <c r="AK14" s="14">
        <f t="shared" si="35"/>
        <v>5.7341113912136308</v>
      </c>
      <c r="AL14" s="22">
        <f t="shared" si="4"/>
        <v>40.194516673030414</v>
      </c>
      <c r="AM14" s="60">
        <f t="shared" si="5"/>
        <v>310.30562778414156</v>
      </c>
      <c r="AN14" s="60">
        <f ca="1">AVERAGE(OFFSET($AM$3,0,0,'Données projet'!$E$10+1,1))-AVERAGE(OFFSET($H$3,0,0,'Données projet'!$E$10+1,1))</f>
        <v>370.79299728190904</v>
      </c>
      <c r="AO14" s="60">
        <f t="shared" si="36"/>
        <v>404.95703400805775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15.983760000000002</v>
      </c>
      <c r="BF14" s="14">
        <f t="shared" si="37"/>
        <v>5.3348570279475842</v>
      </c>
      <c r="BG14" s="22">
        <f t="shared" si="7"/>
        <v>37.129924657008708</v>
      </c>
      <c r="BH14" s="60">
        <f t="shared" si="8"/>
        <v>307.24103576811984</v>
      </c>
      <c r="BI14" s="60">
        <f ca="1">AVERAGE(OFFSET($BH$3,0,0,'Données projet'!$E$11+1,1))-AVERAGE(OFFSET($H$3,0,0,'Données projet'!$E$11+1,1))</f>
        <v>344.63665697794022</v>
      </c>
      <c r="BJ14" s="60">
        <f t="shared" si="38"/>
        <v>376.72762011188041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9.5803232966244067</v>
      </c>
      <c r="CA14" s="14">
        <f t="shared" si="39"/>
        <v>3.3939041949894282</v>
      </c>
      <c r="CB14" s="22">
        <f t="shared" si="10"/>
        <v>22.596779547894098</v>
      </c>
      <c r="CC14" s="60">
        <f t="shared" si="11"/>
        <v>292.70789065900522</v>
      </c>
      <c r="CD14" s="60">
        <f ca="1">AVERAGE(OFFSET($CC$3,0,0,'Données projet'!$E$12+1,1))-AVERAGE(OFFSET($H$3,0,0,'Données projet'!$E$12+1,1))</f>
        <v>529.25712986118265</v>
      </c>
      <c r="CE14" s="60">
        <f t="shared" si="40"/>
        <v>278.21741231699929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8.9196113451330703</v>
      </c>
      <c r="CV14" s="14">
        <f t="shared" si="41"/>
        <v>3.186234455512118</v>
      </c>
      <c r="CW14" s="22">
        <f t="shared" si="13"/>
        <v>21.084348102790369</v>
      </c>
      <c r="CX14" s="60">
        <f t="shared" si="14"/>
        <v>291.19545921390153</v>
      </c>
      <c r="CY14" s="60">
        <f ca="1">AVERAGE(OFFSET($CX$3,0,0,'Données projet'!$E$13+1,1))-AVERAGE(OFFSET($H$3,0,0,'Données projet'!$E$13+1,1))</f>
        <v>495.77338291316386</v>
      </c>
      <c r="CZ14" s="60">
        <f t="shared" si="42"/>
        <v>261.95434270986397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6.8</v>
      </c>
      <c r="DO14" s="13">
        <f>IF('Données projet'!$A$166&gt;35,DO13+DN14-DW13,IF(A14&lt;'Données projet'!$A$166,$DL$205^A14,IF(A14='Données projet'!$A$166,'Données projet'!$B$166,DO13+DN14-DW13)))</f>
        <v>17.8</v>
      </c>
      <c r="DP14" s="18">
        <f>DO14*VLOOKUP('Données projet'!$B$14,Paramètres!$A$1:$I$89,3,0)*VLOOKUP('Données projet'!$B$14,Paramètres!$A$1:$I$89,5,0)</f>
        <v>11.662560000000001</v>
      </c>
      <c r="DQ14" s="14">
        <f t="shared" si="43"/>
        <v>4.0380449311592468</v>
      </c>
      <c r="DR14" s="22">
        <f t="shared" si="16"/>
        <v>27.345220255102358</v>
      </c>
      <c r="DS14" s="60">
        <f t="shared" si="17"/>
        <v>297.45633136621348</v>
      </c>
      <c r="DT14" s="60">
        <f ca="1">AVERAGE(OFFSET($DS$3,0,0,'Données projet'!$E$14+1,1))-AVERAGE(OFFSET($H$3,0,0,'Données projet'!$E$14+1,1))</f>
        <v>275.11574966125522</v>
      </c>
      <c r="DU14" s="60">
        <f t="shared" si="44"/>
        <v>299.21520121860345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8.8000000000000007</v>
      </c>
      <c r="N15" s="14">
        <f>IF('Données projet'!$A$36&gt;35,N14+M15-V14,IF(A15&lt;'Données projet'!$A$36,$K$205^A15,IF(A15='Données projet'!$A$36,'Données projet'!$B$36,N14+M15-V14)))</f>
        <v>46.599999999999994</v>
      </c>
      <c r="O15" s="14">
        <f>N15*VLOOKUP('Données projet'!$B$9,Paramètres!$A$1:$I$89,3,0)*VLOOKUP('Données projet'!$B$9,Paramètres!$A$1:$I$89,5,0)</f>
        <v>40.709760000000003</v>
      </c>
      <c r="P15" s="14">
        <f t="shared" si="33"/>
        <v>12.186575870088381</v>
      </c>
      <c r="Q15" s="22">
        <f t="shared" si="2"/>
        <v>92.127784973737278</v>
      </c>
      <c r="R15" s="60">
        <f t="shared" si="0"/>
        <v>363.46111830707059</v>
      </c>
      <c r="S15" s="60">
        <f ca="1">AVERAGE(OFFSET($R$3,0,0,'Données projet'!$E$9+1,1))-AVERAGE(OFFSET($H$3,0,0,'Données projet'!$E$9+1,1))</f>
        <v>369.34989412920129</v>
      </c>
      <c r="T15" s="60">
        <f t="shared" si="34"/>
        <v>371.26234252426553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10.8</v>
      </c>
      <c r="AI15" s="14">
        <f>IF('Données projet'!$A$62&gt;35,AI14+AH15-AQ14,IF(A15&lt;'Données projet'!$A$62,$AF$205^A15,IF(A15='Données projet'!$A$62,'Données projet'!$B$62,AI14+AH15-AQ14)))</f>
        <v>32.6</v>
      </c>
      <c r="AJ15" s="14">
        <f>AI15*VLOOKUP('Données projet'!$B$10,Paramètres!$A$1:$I$89,3,0)*VLOOKUP('Données projet'!$B$10,Paramètres!$A$1:$I$89,5,0)</f>
        <v>25.936560000000004</v>
      </c>
      <c r="AK15" s="14">
        <f t="shared" si="35"/>
        <v>8.1824816304360635</v>
      </c>
      <c r="AL15" s="22">
        <f t="shared" si="4"/>
        <v>59.423997506342801</v>
      </c>
      <c r="AM15" s="60">
        <f t="shared" si="5"/>
        <v>330.75733083967611</v>
      </c>
      <c r="AN15" s="60">
        <f ca="1">AVERAGE(OFFSET($AM$3,0,0,'Données projet'!$E$10+1,1))-AVERAGE(OFFSET($H$3,0,0,'Données projet'!$E$10+1,1))</f>
        <v>370.79299728190904</v>
      </c>
      <c r="AO15" s="60">
        <f t="shared" si="36"/>
        <v>404.95703400805775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23.90232</v>
      </c>
      <c r="BF15" s="14">
        <f t="shared" si="37"/>
        <v>7.6127522913266521</v>
      </c>
      <c r="BG15" s="22">
        <f t="shared" si="7"/>
        <v>54.88875090739392</v>
      </c>
      <c r="BH15" s="60">
        <f t="shared" si="8"/>
        <v>326.22208424072721</v>
      </c>
      <c r="BI15" s="60">
        <f ca="1">AVERAGE(OFFSET($BH$3,0,0,'Données projet'!$E$11+1,1))-AVERAGE(OFFSET($H$3,0,0,'Données projet'!$E$11+1,1))</f>
        <v>344.63665697794022</v>
      </c>
      <c r="BJ15" s="60">
        <f t="shared" si="38"/>
        <v>376.72762011188041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11.872612896942668</v>
      </c>
      <c r="CA15" s="14">
        <f t="shared" si="39"/>
        <v>4.1022411108131784</v>
      </c>
      <c r="CB15" s="22">
        <f t="shared" si="10"/>
        <v>27.822870730174767</v>
      </c>
      <c r="CC15" s="60">
        <f t="shared" si="11"/>
        <v>299.15620406350808</v>
      </c>
      <c r="CD15" s="60">
        <f ca="1">AVERAGE(OFFSET($CC$3,0,0,'Données projet'!$E$12+1,1))-AVERAGE(OFFSET($H$3,0,0,'Données projet'!$E$12+1,1))</f>
        <v>529.25712986118265</v>
      </c>
      <c r="CE15" s="60">
        <f t="shared" si="40"/>
        <v>278.21741231699929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11.053812007498347</v>
      </c>
      <c r="CV15" s="14">
        <f t="shared" si="41"/>
        <v>3.8512289154738402</v>
      </c>
      <c r="CW15" s="22">
        <f t="shared" si="13"/>
        <v>25.959612940843225</v>
      </c>
      <c r="CX15" s="60">
        <f t="shared" si="14"/>
        <v>297.29294627417653</v>
      </c>
      <c r="CY15" s="60">
        <f ca="1">AVERAGE(OFFSET($CX$3,0,0,'Données projet'!$E$13+1,1))-AVERAGE(OFFSET($H$3,0,0,'Données projet'!$E$13+1,1))</f>
        <v>495.77338291316386</v>
      </c>
      <c r="CZ15" s="60">
        <f t="shared" si="42"/>
        <v>261.95434270986397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6.8</v>
      </c>
      <c r="DO15" s="13">
        <f>IF('Données projet'!$A$166&gt;35,DO14+DN15-DW14,IF(A15&lt;'Données projet'!$A$166,$DL$205^A15,IF(A15='Données projet'!$A$166,'Données projet'!$B$166,DO14+DN15-DW14)))</f>
        <v>24.6</v>
      </c>
      <c r="DP15" s="18">
        <f>DO15*VLOOKUP('Données projet'!$B$14,Paramètres!$A$1:$I$89,3,0)*VLOOKUP('Données projet'!$B$14,Paramètres!$A$1:$I$89,5,0)</f>
        <v>16.117920000000002</v>
      </c>
      <c r="DQ15" s="14">
        <f t="shared" si="43"/>
        <v>5.3744038004928587</v>
      </c>
      <c r="DR15" s="22">
        <f t="shared" si="16"/>
        <v>37.432463952525062</v>
      </c>
      <c r="DS15" s="60">
        <f t="shared" si="17"/>
        <v>308.76579728585835</v>
      </c>
      <c r="DT15" s="60">
        <f ca="1">AVERAGE(OFFSET($DS$3,0,0,'Données projet'!$E$14+1,1))-AVERAGE(OFFSET($H$3,0,0,'Données projet'!$E$14+1,1))</f>
        <v>275.11574966125522</v>
      </c>
      <c r="DU15" s="60">
        <f t="shared" si="44"/>
        <v>299.21520121860345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8.8000000000000007</v>
      </c>
      <c r="N16" s="14">
        <f>IF('Données projet'!$A$36&gt;35,N15+M16-V15,IF(A16&lt;'Données projet'!$A$36,$K$205^A16,IF(A16='Données projet'!$A$36,'Données projet'!$B$36,N15+M16-V15)))</f>
        <v>55.399999999999991</v>
      </c>
      <c r="O16" s="14">
        <f>N16*VLOOKUP('Données projet'!$B$9,Paramètres!$A$1:$I$89,3,0)*VLOOKUP('Données projet'!$B$9,Paramètres!$A$1:$I$89,5,0)</f>
        <v>48.397439999999996</v>
      </c>
      <c r="P16" s="14">
        <f t="shared" si="33"/>
        <v>14.199110166340073</v>
      </c>
      <c r="Q16" s="22">
        <f t="shared" si="2"/>
        <v>109.02232487304228</v>
      </c>
      <c r="R16" s="60">
        <f t="shared" si="0"/>
        <v>381.57788042859784</v>
      </c>
      <c r="S16" s="60">
        <f ca="1">AVERAGE(OFFSET($R$3,0,0,'Données projet'!$E$9+1,1))-AVERAGE(OFFSET($H$3,0,0,'Données projet'!$E$9+1,1))</f>
        <v>369.34989412920129</v>
      </c>
      <c r="T16" s="60">
        <f t="shared" si="34"/>
        <v>371.26234252426553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10.8</v>
      </c>
      <c r="AI16" s="14">
        <f>IF('Données projet'!$A$62&gt;35,AI15+AH16-AQ15,IF(A16&lt;'Données projet'!$A$62,$AF$205^A16,IF(A16='Données projet'!$A$62,'Données projet'!$B$62,AI15+AH16-AQ15)))</f>
        <v>43.400000000000006</v>
      </c>
      <c r="AJ16" s="14">
        <f>AI16*VLOOKUP('Données projet'!$B$10,Paramètres!$A$1:$I$89,3,0)*VLOOKUP('Données projet'!$B$10,Paramètres!$A$1:$I$89,5,0)</f>
        <v>34.529040000000009</v>
      </c>
      <c r="AK16" s="14">
        <f t="shared" si="35"/>
        <v>10.536391336679102</v>
      </c>
      <c r="AL16" s="22">
        <f t="shared" si="4"/>
        <v>78.488959578049446</v>
      </c>
      <c r="AM16" s="60">
        <f t="shared" si="5"/>
        <v>351.04451513360499</v>
      </c>
      <c r="AN16" s="60">
        <f ca="1">AVERAGE(OFFSET($AM$3,0,0,'Données projet'!$E$10+1,1))-AVERAGE(OFFSET($H$3,0,0,'Données projet'!$E$10+1,1))</f>
        <v>370.79299728190904</v>
      </c>
      <c r="AO16" s="60">
        <f t="shared" si="36"/>
        <v>404.95703400805775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31.820880000000006</v>
      </c>
      <c r="BF16" s="14">
        <f t="shared" si="37"/>
        <v>9.8027641140385384</v>
      </c>
      <c r="BG16" s="22">
        <f t="shared" si="7"/>
        <v>72.494513498617124</v>
      </c>
      <c r="BH16" s="60">
        <f t="shared" si="8"/>
        <v>345.0500690541727</v>
      </c>
      <c r="BI16" s="60">
        <f ca="1">AVERAGE(OFFSET($BH$3,0,0,'Données projet'!$E$11+1,1))-AVERAGE(OFFSET($H$3,0,0,'Données projet'!$E$11+1,1))</f>
        <v>344.63665697794022</v>
      </c>
      <c r="BJ16" s="60">
        <f t="shared" si="38"/>
        <v>376.72762011188041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14.713379980643843</v>
      </c>
      <c r="CA16" s="14">
        <f t="shared" si="39"/>
        <v>4.9584140165447881</v>
      </c>
      <c r="CB16" s="22">
        <f t="shared" si="10"/>
        <v>34.261707878436859</v>
      </c>
      <c r="CC16" s="60">
        <f t="shared" si="11"/>
        <v>306.81726343399242</v>
      </c>
      <c r="CD16" s="60">
        <f ca="1">AVERAGE(OFFSET($CC$3,0,0,'Données projet'!$E$12+1,1))-AVERAGE(OFFSET($H$3,0,0,'Données projet'!$E$12+1,1))</f>
        <v>529.25712986118265</v>
      </c>
      <c r="CE16" s="60">
        <f t="shared" si="40"/>
        <v>278.21741231699929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13.698664119909786</v>
      </c>
      <c r="CV16" s="14">
        <f t="shared" si="41"/>
        <v>4.6550134230463893</v>
      </c>
      <c r="CW16" s="22">
        <f t="shared" si="13"/>
        <v>31.965988387315338</v>
      </c>
      <c r="CX16" s="60">
        <f t="shared" si="14"/>
        <v>304.52154394287089</v>
      </c>
      <c r="CY16" s="60">
        <f ca="1">AVERAGE(OFFSET($CX$3,0,0,'Données projet'!$E$13+1,1))-AVERAGE(OFFSET($H$3,0,0,'Données projet'!$E$13+1,1))</f>
        <v>495.77338291316386</v>
      </c>
      <c r="CZ16" s="60">
        <f t="shared" si="42"/>
        <v>261.95434270986397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6.8</v>
      </c>
      <c r="DO16" s="13">
        <f>IF('Données projet'!$A$166&gt;35,DO15+DN16-DW15,IF(A16&lt;'Données projet'!$A$166,$DL$205^A16,IF(A16='Données projet'!$A$166,'Données projet'!$B$166,DO15+DN16-DW15)))</f>
        <v>31.400000000000002</v>
      </c>
      <c r="DP16" s="18">
        <f>DO16*VLOOKUP('Données projet'!$B$14,Paramètres!$A$1:$I$89,3,0)*VLOOKUP('Données projet'!$B$14,Paramètres!$A$1:$I$89,5,0)</f>
        <v>20.57328</v>
      </c>
      <c r="DQ16" s="14">
        <f t="shared" si="43"/>
        <v>6.6678691706770401</v>
      </c>
      <c r="DR16" s="22">
        <f t="shared" si="16"/>
        <v>47.445001472262504</v>
      </c>
      <c r="DS16" s="60">
        <f t="shared" si="17"/>
        <v>320.00055702781805</v>
      </c>
      <c r="DT16" s="60">
        <f ca="1">AVERAGE(OFFSET($DS$3,0,0,'Données projet'!$E$14+1,1))-AVERAGE(OFFSET($H$3,0,0,'Données projet'!$E$14+1,1))</f>
        <v>275.11574966125522</v>
      </c>
      <c r="DU16" s="60">
        <f t="shared" si="44"/>
        <v>299.21520121860345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8.8000000000000007</v>
      </c>
      <c r="N17" s="14">
        <f>IF('Données projet'!$A$36&gt;35,N16+M17-V16,IF(A17&lt;'Données projet'!$A$36,$K$205^A17,IF(A17='Données projet'!$A$36,'Données projet'!$B$36,N16+M17-V16)))</f>
        <v>64.199999999999989</v>
      </c>
      <c r="O17" s="14">
        <f>N17*VLOOKUP('Données projet'!$B$9,Paramètres!$A$1:$I$89,3,0)*VLOOKUP('Données projet'!$B$9,Paramètres!$A$1:$I$89,5,0)</f>
        <v>56.085119999999996</v>
      </c>
      <c r="P17" s="14">
        <f t="shared" si="33"/>
        <v>16.174611252215492</v>
      </c>
      <c r="Q17" s="22">
        <f t="shared" si="2"/>
        <v>125.85236526427531</v>
      </c>
      <c r="R17" s="60">
        <f t="shared" si="0"/>
        <v>399.63014304205308</v>
      </c>
      <c r="S17" s="60">
        <f ca="1">AVERAGE(OFFSET($R$3,0,0,'Données projet'!$E$9+1,1))-AVERAGE(OFFSET($H$3,0,0,'Données projet'!$E$9+1,1))</f>
        <v>369.34989412920129</v>
      </c>
      <c r="T17" s="60">
        <f t="shared" si="34"/>
        <v>371.26234252426553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10.8</v>
      </c>
      <c r="AI17" s="14">
        <f>IF('Données projet'!$A$62&gt;35,AI16+AH17-AQ16,IF(A17&lt;'Données projet'!$A$62,$AF$205^A17,IF(A17='Données projet'!$A$62,'Données projet'!$B$62,AI16+AH17-AQ16)))</f>
        <v>54.2</v>
      </c>
      <c r="AJ17" s="14">
        <f>AI17*VLOOKUP('Données projet'!$B$10,Paramètres!$A$1:$I$89,3,0)*VLOOKUP('Données projet'!$B$10,Paramètres!$A$1:$I$89,5,0)</f>
        <v>43.121520000000004</v>
      </c>
      <c r="AK17" s="14">
        <f t="shared" si="35"/>
        <v>12.822353245070515</v>
      </c>
      <c r="AL17" s="22">
        <f t="shared" si="4"/>
        <v>97.435579235164482</v>
      </c>
      <c r="AM17" s="60">
        <f t="shared" si="5"/>
        <v>371.21335701294225</v>
      </c>
      <c r="AN17" s="60">
        <f ca="1">AVERAGE(OFFSET($AM$3,0,0,'Données projet'!$E$10+1,1))-AVERAGE(OFFSET($H$3,0,0,'Données projet'!$E$10+1,1))</f>
        <v>370.79299728190904</v>
      </c>
      <c r="AO17" s="60">
        <f t="shared" si="36"/>
        <v>404.95703400805775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39.739440000000002</v>
      </c>
      <c r="BF17" s="14">
        <f t="shared" si="37"/>
        <v>11.929559204083212</v>
      </c>
      <c r="BG17" s="22">
        <f t="shared" si="7"/>
        <v>89.990173613778268</v>
      </c>
      <c r="BH17" s="60">
        <f t="shared" si="8"/>
        <v>363.76795139155604</v>
      </c>
      <c r="BI17" s="60">
        <f ca="1">AVERAGE(OFFSET($BH$3,0,0,'Données projet'!$E$11+1,1))-AVERAGE(OFFSET($H$3,0,0,'Données projet'!$E$11+1,1))</f>
        <v>344.63665697794022</v>
      </c>
      <c r="BJ17" s="60">
        <f t="shared" si="38"/>
        <v>376.72762011188041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18.233859078363277</v>
      </c>
      <c r="CA17" s="14">
        <f t="shared" si="39"/>
        <v>5.9932775513027368</v>
      </c>
      <c r="CB17" s="22">
        <f t="shared" si="10"/>
        <v>42.195596296668306</v>
      </c>
      <c r="CC17" s="60">
        <f t="shared" si="11"/>
        <v>315.9733740744461</v>
      </c>
      <c r="CD17" s="60">
        <f ca="1">AVERAGE(OFFSET($CC$3,0,0,'Données projet'!$E$12+1,1))-AVERAGE(OFFSET($H$3,0,0,'Données projet'!$E$12+1,1))</f>
        <v>529.25712986118265</v>
      </c>
      <c r="CE17" s="60">
        <f t="shared" si="40"/>
        <v>278.21741231699929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16.976351555717539</v>
      </c>
      <c r="CV17" s="14">
        <f t="shared" si="41"/>
        <v>5.6265546516016363</v>
      </c>
      <c r="CW17" s="22">
        <f t="shared" si="13"/>
        <v>39.366728311080898</v>
      </c>
      <c r="CX17" s="60">
        <f t="shared" si="14"/>
        <v>313.14450608885869</v>
      </c>
      <c r="CY17" s="60">
        <f ca="1">AVERAGE(OFFSET($CX$3,0,0,'Données projet'!$E$13+1,1))-AVERAGE(OFFSET($H$3,0,0,'Données projet'!$E$13+1,1))</f>
        <v>495.77338291316386</v>
      </c>
      <c r="CZ17" s="60">
        <f t="shared" si="42"/>
        <v>261.95434270986397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6.8</v>
      </c>
      <c r="DO17" s="13">
        <f>IF('Données projet'!$A$166&gt;35,DO16+DN17-DW16,IF(A17&lt;'Données projet'!$A$166,$DL$205^A17,IF(A17='Données projet'!$A$166,'Données projet'!$B$166,DO16+DN17-DW16)))</f>
        <v>38.200000000000003</v>
      </c>
      <c r="DP17" s="18">
        <f>DO17*VLOOKUP('Données projet'!$B$14,Paramètres!$A$1:$I$89,3,0)*VLOOKUP('Données projet'!$B$14,Paramètres!$A$1:$I$89,5,0)</f>
        <v>25.028640000000003</v>
      </c>
      <c r="DQ17" s="14">
        <f t="shared" si="43"/>
        <v>7.9288685965286847</v>
      </c>
      <c r="DR17" s="22">
        <f t="shared" si="16"/>
        <v>57.400994138954132</v>
      </c>
      <c r="DS17" s="60">
        <f t="shared" si="17"/>
        <v>331.17877191673188</v>
      </c>
      <c r="DT17" s="60">
        <f ca="1">AVERAGE(OFFSET($DS$3,0,0,'Données projet'!$E$14+1,1))-AVERAGE(OFFSET($H$3,0,0,'Données projet'!$E$14+1,1))</f>
        <v>275.11574966125522</v>
      </c>
      <c r="DU17" s="60">
        <f t="shared" si="44"/>
        <v>299.21520121860345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73</v>
      </c>
      <c r="L18" s="13">
        <f>VLOOKUP(A18,'Données projet'!$A$35:$I$55,9,0)</f>
        <v>8.8000000000000007</v>
      </c>
      <c r="M18" s="13">
        <f t="array" ref="M18">INDEX(L:L,MIN(IF(ISNUMBER(L18:L214),ROW(L18:L214),"")))</f>
        <v>8.8000000000000007</v>
      </c>
      <c r="N18" s="14">
        <f>IF('Données projet'!$A$36&gt;35,N17+M18-V17,IF(A18&lt;'Données projet'!$A$36,$K$205^A18,IF(A18='Données projet'!$A$36,'Données projet'!$B$36,N17+M18-V17)))</f>
        <v>72.999999999999986</v>
      </c>
      <c r="O18" s="14">
        <f>N18*VLOOKUP('Données projet'!$B$9,Paramètres!$A$1:$I$89,3,0)*VLOOKUP('Données projet'!$B$9,Paramètres!$A$1:$I$89,5,0)</f>
        <v>63.772799999999997</v>
      </c>
      <c r="P18" s="14">
        <f t="shared" si="33"/>
        <v>18.118739450759566</v>
      </c>
      <c r="Q18" s="22">
        <f t="shared" si="2"/>
        <v>142.62776454340624</v>
      </c>
      <c r="R18" s="60">
        <f t="shared" si="0"/>
        <v>417.62776454340622</v>
      </c>
      <c r="S18" s="60">
        <f ca="1">AVERAGE(OFFSET($R$3,0,0,'Données projet'!$E$9+1,1))-AVERAGE(OFFSET($H$3,0,0,'Données projet'!$E$9+1,1))</f>
        <v>369.34989412920129</v>
      </c>
      <c r="T18" s="60">
        <f t="shared" si="34"/>
        <v>371.26234252426553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65</v>
      </c>
      <c r="AG18" s="13">
        <f>VLOOKUP(A18,'Données projet'!$A$61:$I$81,9,0)</f>
        <v>10.8</v>
      </c>
      <c r="AH18" s="13">
        <f t="array" ref="AH18">INDEX(AG:AG,MIN(IF(ISNUMBER(AG18:AG214),ROW(AG18:AG214),"")))</f>
        <v>10.8</v>
      </c>
      <c r="AI18" s="14">
        <f>IF('Données projet'!$A$62&gt;35,AI17+AH18-AQ17,IF(A18&lt;'Données projet'!$A$62,$AF$205^A18,IF(A18='Données projet'!$A$62,'Données projet'!$B$62,AI17+AH18-AQ17)))</f>
        <v>65</v>
      </c>
      <c r="AJ18" s="14">
        <f>AI18*VLOOKUP('Données projet'!$B$10,Paramètres!$A$1:$I$89,3,0)*VLOOKUP('Données projet'!$B$10,Paramètres!$A$1:$I$89,5,0)</f>
        <v>51.713999999999999</v>
      </c>
      <c r="AK18" s="14">
        <f t="shared" si="35"/>
        <v>15.055535578337075</v>
      </c>
      <c r="AL18" s="22">
        <f t="shared" si="4"/>
        <v>116.29027446560372</v>
      </c>
      <c r="AM18" s="60">
        <f t="shared" si="5"/>
        <v>391.29027446560372</v>
      </c>
      <c r="AN18" s="60">
        <f ca="1">AVERAGE(OFFSET($AM$3,0,0,'Données projet'!$E$10+1,1))-AVERAGE(OFFSET($H$3,0,0,'Données projet'!$E$10+1,1))</f>
        <v>370.79299728190904</v>
      </c>
      <c r="AO18" s="60">
        <f t="shared" si="36"/>
        <v>404.95703400805775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47.657999999999994</v>
      </c>
      <c r="BF18" s="14">
        <f t="shared" si="37"/>
        <v>14.007249652087213</v>
      </c>
      <c r="BG18" s="22">
        <f t="shared" si="7"/>
        <v>107.40030981071855</v>
      </c>
      <c r="BH18" s="60">
        <f t="shared" si="8"/>
        <v>382.40030981071857</v>
      </c>
      <c r="BI18" s="60">
        <f ca="1">AVERAGE(OFFSET($BH$3,0,0,'Données projet'!$E$11+1,1))-AVERAGE(OFFSET($H$3,0,0,'Données projet'!$E$11+1,1))</f>
        <v>344.63665697794022</v>
      </c>
      <c r="BJ18" s="60">
        <f t="shared" si="38"/>
        <v>376.72762011188041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22.596685284210423</v>
      </c>
      <c r="CA18" s="14">
        <f t="shared" si="39"/>
        <v>7.2441259820371586</v>
      </c>
      <c r="CB18" s="22">
        <f t="shared" si="10"/>
        <v>51.972746288714539</v>
      </c>
      <c r="CC18" s="60">
        <f t="shared" si="11"/>
        <v>326.97274628871452</v>
      </c>
      <c r="CD18" s="60">
        <f ca="1">AVERAGE(OFFSET($CC$3,0,0,'Données projet'!$E$12+1,1))-AVERAGE(OFFSET($H$3,0,0,'Données projet'!$E$12+1,1))</f>
        <v>529.25712986118265</v>
      </c>
      <c r="CE18" s="60">
        <f t="shared" si="40"/>
        <v>278.21741231699929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21.03829319564419</v>
      </c>
      <c r="CV18" s="14">
        <f t="shared" si="41"/>
        <v>6.8008648676982615</v>
      </c>
      <c r="CW18" s="22">
        <f t="shared" si="13"/>
        <v>48.486533626988098</v>
      </c>
      <c r="CX18" s="60">
        <f t="shared" si="14"/>
        <v>323.48653362698809</v>
      </c>
      <c r="CY18" s="60">
        <f ca="1">AVERAGE(OFFSET($CX$3,0,0,'Données projet'!$E$13+1,1))-AVERAGE(OFFSET($H$3,0,0,'Données projet'!$E$13+1,1))</f>
        <v>495.77338291316386</v>
      </c>
      <c r="CZ18" s="60">
        <f t="shared" si="42"/>
        <v>261.95434270986397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45</v>
      </c>
      <c r="DM18" s="13">
        <f>VLOOKUP(A18,'Données projet'!$A$165:$I$185,9,0)</f>
        <v>6.8</v>
      </c>
      <c r="DN18" s="13">
        <f t="array" ref="DN18">INDEX(DM:DM,MIN(IF(ISNUMBER(DM18:DM214),ROW(DM18:DM214),"")))</f>
        <v>6.8</v>
      </c>
      <c r="DO18" s="13">
        <f>IF('Données projet'!$A$166&gt;35,DO17+DN18-DW17,IF(A18&lt;'Données projet'!$A$166,$DL$205^A18,IF(A18='Données projet'!$A$166,'Données projet'!$B$166,DO17+DN18-DW17)))</f>
        <v>45</v>
      </c>
      <c r="DP18" s="18">
        <f>DO18*VLOOKUP('Données projet'!$B$14,Paramètres!$A$1:$I$89,3,0)*VLOOKUP('Données projet'!$B$14,Paramètres!$A$1:$I$89,5,0)</f>
        <v>29.483999999999998</v>
      </c>
      <c r="DQ18" s="14">
        <f t="shared" si="43"/>
        <v>9.1638634703614379</v>
      </c>
      <c r="DR18" s="22">
        <f t="shared" si="16"/>
        <v>67.311695544212839</v>
      </c>
      <c r="DS18" s="60">
        <f t="shared" si="17"/>
        <v>342.31169554421285</v>
      </c>
      <c r="DT18" s="60">
        <f ca="1">AVERAGE(OFFSET($DS$3,0,0,'Données projet'!$E$14+1,1))-AVERAGE(OFFSET($H$3,0,0,'Données projet'!$E$14+1,1))</f>
        <v>275.11574966125522</v>
      </c>
      <c r="DU18" s="60">
        <f t="shared" si="44"/>
        <v>299.21520121860345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11.2</v>
      </c>
      <c r="N19" s="14">
        <f>IF('Données projet'!$A$36&gt;35,N18+M19-V18,IF(A19&lt;'Données projet'!$A$36,$K$205^A19,IF(A19='Données projet'!$A$36,'Données projet'!$B$36,N18+M19-V18)))</f>
        <v>84.199999999999989</v>
      </c>
      <c r="O19" s="14">
        <f>N19*VLOOKUP('Données projet'!$B$9,Paramètres!$A$1:$I$89,3,0)*VLOOKUP('Données projet'!$B$9,Paramètres!$A$1:$I$89,5,0)</f>
        <v>73.557119999999998</v>
      </c>
      <c r="P19" s="14">
        <f t="shared" si="33"/>
        <v>20.554251427792224</v>
      </c>
      <c r="Q19" s="22">
        <f t="shared" si="2"/>
        <v>163.91063857007143</v>
      </c>
      <c r="R19" s="60">
        <f t="shared" si="0"/>
        <v>440.13286079229363</v>
      </c>
      <c r="S19" s="60">
        <f ca="1">AVERAGE(OFFSET($R$3,0,0,'Données projet'!$E$9+1,1))-AVERAGE(OFFSET($H$3,0,0,'Données projet'!$E$9+1,1))</f>
        <v>369.34989412920129</v>
      </c>
      <c r="T19" s="60">
        <f t="shared" si="34"/>
        <v>371.26234252426553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13.8</v>
      </c>
      <c r="AI19" s="14">
        <f>IF('Données projet'!$A$62&gt;35,AI18+AH19-AQ18,IF(A19&lt;'Données projet'!$A$62,$AF$205^A19,IF(A19='Données projet'!$A$62,'Données projet'!$B$62,AI18+AH19-AQ18)))</f>
        <v>78.8</v>
      </c>
      <c r="AJ19" s="14">
        <f>AI19*VLOOKUP('Données projet'!$B$10,Paramètres!$A$1:$I$89,3,0)*VLOOKUP('Données projet'!$B$10,Paramètres!$A$1:$I$89,5,0)</f>
        <v>62.693280000000009</v>
      </c>
      <c r="AK19" s="14">
        <f t="shared" si="35"/>
        <v>17.847464769732898</v>
      </c>
      <c r="AL19" s="22">
        <f t="shared" si="4"/>
        <v>140.27513047395146</v>
      </c>
      <c r="AM19" s="60">
        <f t="shared" si="5"/>
        <v>416.49735269617372</v>
      </c>
      <c r="AN19" s="60">
        <f ca="1">AVERAGE(OFFSET($AM$3,0,0,'Données projet'!$E$10+1,1))-AVERAGE(OFFSET($H$3,0,0,'Données projet'!$E$10+1,1))</f>
        <v>370.79299728190904</v>
      </c>
      <c r="AO19" s="60">
        <f t="shared" si="36"/>
        <v>404.95703400805775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13.8</v>
      </c>
      <c r="BD19" s="13">
        <f>IF('Données projet'!$A$88&gt;35,BD18+BC19-BL18,IF(A19&lt;'Données projet'!$A$88,$BA$205^A19,IF(A19='Données projet'!$A$88,'Données projet'!$B$88,BD18+BC19-BL18)))</f>
        <v>78.8</v>
      </c>
      <c r="BE19" s="14">
        <f>BD19*VLOOKUP('Données projet'!$B$11,Paramètres!$A$1:$I$89,3,0)*VLOOKUP('Données projet'!$B$11,Paramètres!$A$1:$I$89,5,0)</f>
        <v>57.77615999999999</v>
      </c>
      <c r="BF19" s="14">
        <f t="shared" si="37"/>
        <v>16.604782565569302</v>
      </c>
      <c r="BG19" s="22">
        <f t="shared" si="7"/>
        <v>129.54680830169983</v>
      </c>
      <c r="BH19" s="60">
        <f t="shared" si="8"/>
        <v>405.76903052392208</v>
      </c>
      <c r="BI19" s="60">
        <f ca="1">AVERAGE(OFFSET($BH$3,0,0,'Données projet'!$E$11+1,1))-AVERAGE(OFFSET($H$3,0,0,'Données projet'!$E$11+1,1))</f>
        <v>344.63665697794022</v>
      </c>
      <c r="BJ19" s="60">
        <f t="shared" si="38"/>
        <v>376.72762011188041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28.003407487093821</v>
      </c>
      <c r="CA19" s="14">
        <f t="shared" si="39"/>
        <v>8.7560372090925433</v>
      </c>
      <c r="CB19" s="22">
        <f t="shared" si="10"/>
        <v>64.022699512524582</v>
      </c>
      <c r="CC19" s="60">
        <f t="shared" si="11"/>
        <v>340.24492173474681</v>
      </c>
      <c r="CD19" s="60">
        <f ca="1">AVERAGE(OFFSET($CC$3,0,0,'Données projet'!$E$12+1,1))-AVERAGE(OFFSET($H$3,0,0,'Données projet'!$E$12+1,1))</f>
        <v>529.25712986118265</v>
      </c>
      <c r="CE19" s="60">
        <f t="shared" si="40"/>
        <v>278.21741231699929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26.072138005225284</v>
      </c>
      <c r="CV19" s="14">
        <f t="shared" si="41"/>
        <v>8.2202636982343371</v>
      </c>
      <c r="CW19" s="22">
        <f t="shared" si="13"/>
        <v>59.725932966858835</v>
      </c>
      <c r="CX19" s="60">
        <f t="shared" si="14"/>
        <v>335.94815518908104</v>
      </c>
      <c r="CY19" s="60">
        <f ca="1">AVERAGE(OFFSET($CX$3,0,0,'Données projet'!$E$13+1,1))-AVERAGE(OFFSET($H$3,0,0,'Données projet'!$E$13+1,1))</f>
        <v>495.77338291316386</v>
      </c>
      <c r="CZ19" s="60">
        <f t="shared" si="42"/>
        <v>261.95434270986397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12</v>
      </c>
      <c r="DO19" s="13">
        <f>IF('Données projet'!$A$166&gt;35,DO18+DN19-DW18,IF(A19&lt;'Données projet'!$A$166,$DL$205^A19,IF(A19='Données projet'!$A$166,'Données projet'!$B$166,DO18+DN19-DW18)))</f>
        <v>57</v>
      </c>
      <c r="DP19" s="18">
        <f>DO19*VLOOKUP('Données projet'!$B$14,Paramètres!$A$1:$I$89,3,0)*VLOOKUP('Données projet'!$B$14,Paramètres!$A$1:$I$89,5,0)</f>
        <v>37.346399999999996</v>
      </c>
      <c r="DQ19" s="14">
        <f t="shared" si="43"/>
        <v>11.292524863342392</v>
      </c>
      <c r="DR19" s="22">
        <f t="shared" si="16"/>
        <v>84.712794136987995</v>
      </c>
      <c r="DS19" s="60">
        <f t="shared" si="17"/>
        <v>360.93501635921024</v>
      </c>
      <c r="DT19" s="60">
        <f ca="1">AVERAGE(OFFSET($DS$3,0,0,'Données projet'!$E$14+1,1))-AVERAGE(OFFSET($H$3,0,0,'Données projet'!$E$14+1,1))</f>
        <v>275.11574966125522</v>
      </c>
      <c r="DU19" s="60">
        <f t="shared" si="44"/>
        <v>299.21520121860345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11.2</v>
      </c>
      <c r="N20" s="14">
        <f>IF('Données projet'!$A$36&gt;35,N19+M20-V19,IF(A20&lt;'Données projet'!$A$36,$K$205^A20,IF(A20='Données projet'!$A$36,'Données projet'!$B$36,N19+M20-V19)))</f>
        <v>95.399999999999991</v>
      </c>
      <c r="O20" s="14">
        <f>N20*VLOOKUP('Données projet'!$B$9,Paramètres!$A$1:$I$89,3,0)*VLOOKUP('Données projet'!$B$9,Paramètres!$A$1:$I$89,5,0)</f>
        <v>83.341440000000006</v>
      </c>
      <c r="P20" s="14">
        <f t="shared" si="33"/>
        <v>22.952227742446681</v>
      </c>
      <c r="Q20" s="22">
        <f t="shared" si="2"/>
        <v>185.12813798476131</v>
      </c>
      <c r="R20" s="60">
        <f t="shared" si="0"/>
        <v>462.5725824292058</v>
      </c>
      <c r="S20" s="60">
        <f ca="1">AVERAGE(OFFSET($R$3,0,0,'Données projet'!$E$9+1,1))-AVERAGE(OFFSET($H$3,0,0,'Données projet'!$E$9+1,1))</f>
        <v>369.34989412920129</v>
      </c>
      <c r="T20" s="60">
        <f t="shared" si="34"/>
        <v>371.26234252426553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13.8</v>
      </c>
      <c r="AI20" s="14">
        <f>IF('Données projet'!$A$62&gt;35,AI19+AH20-AQ19,IF(A20&lt;'Données projet'!$A$62,$AF$205^A20,IF(A20='Données projet'!$A$62,'Données projet'!$B$62,AI19+AH20-AQ19)))</f>
        <v>92.6</v>
      </c>
      <c r="AJ20" s="14">
        <f>AI20*VLOOKUP('Données projet'!$B$10,Paramètres!$A$1:$I$89,3,0)*VLOOKUP('Données projet'!$B$10,Paramètres!$A$1:$I$89,5,0)</f>
        <v>73.672560000000004</v>
      </c>
      <c r="AK20" s="14">
        <f t="shared" si="35"/>
        <v>20.582751720906476</v>
      </c>
      <c r="AL20" s="22">
        <f t="shared" si="4"/>
        <v>164.16133458057877</v>
      </c>
      <c r="AM20" s="60">
        <f t="shared" si="5"/>
        <v>441.60577902502325</v>
      </c>
      <c r="AN20" s="60">
        <f ca="1">AVERAGE(OFFSET($AM$3,0,0,'Données projet'!$E$10+1,1))-AVERAGE(OFFSET($H$3,0,0,'Données projet'!$E$10+1,1))</f>
        <v>370.79299728190904</v>
      </c>
      <c r="AO20" s="60">
        <f t="shared" si="36"/>
        <v>404.95703400805775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13.8</v>
      </c>
      <c r="BD20" s="13">
        <f>IF('Données projet'!$A$88&gt;35,BD19+BC20-BL19,IF(A20&lt;'Données projet'!$A$88,$BA$205^A20,IF(A20='Données projet'!$A$88,'Données projet'!$B$88,BD19+BC20-BL19)))</f>
        <v>92.6</v>
      </c>
      <c r="BE20" s="14">
        <f>BD20*VLOOKUP('Données projet'!$B$11,Paramètres!$A$1:$I$89,3,0)*VLOOKUP('Données projet'!$B$11,Paramètres!$A$1:$I$89,5,0)</f>
        <v>67.894319999999993</v>
      </c>
      <c r="BF20" s="14">
        <f t="shared" si="37"/>
        <v>19.149617121326546</v>
      </c>
      <c r="BG20" s="22">
        <f t="shared" si="7"/>
        <v>151.60152381964372</v>
      </c>
      <c r="BH20" s="60">
        <f t="shared" si="8"/>
        <v>429.04596826408817</v>
      </c>
      <c r="BI20" s="60">
        <f ca="1">AVERAGE(OFFSET($BH$3,0,0,'Données projet'!$E$11+1,1))-AVERAGE(OFFSET($H$3,0,0,'Données projet'!$E$11+1,1))</f>
        <v>344.63665697794022</v>
      </c>
      <c r="BJ20" s="60">
        <f t="shared" si="38"/>
        <v>376.72762011188041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34.703799297332367</v>
      </c>
      <c r="CA20" s="14">
        <f t="shared" si="39"/>
        <v>10.583497277259243</v>
      </c>
      <c r="CB20" s="22">
        <f t="shared" si="10"/>
        <v>78.875374867413711</v>
      </c>
      <c r="CC20" s="60">
        <f t="shared" si="11"/>
        <v>356.31981931185817</v>
      </c>
      <c r="CD20" s="60">
        <f ca="1">AVERAGE(OFFSET($CC$3,0,0,'Données projet'!$E$12+1,1))-AVERAGE(OFFSET($H$3,0,0,'Données projet'!$E$12+1,1))</f>
        <v>529.25712986118265</v>
      </c>
      <c r="CE20" s="60">
        <f t="shared" si="40"/>
        <v>278.21741231699929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32.310433828550828</v>
      </c>
      <c r="CV20" s="14">
        <f t="shared" si="41"/>
        <v>9.9359032392271498</v>
      </c>
      <c r="CW20" s="22">
        <f t="shared" si="13"/>
        <v>73.579037059713301</v>
      </c>
      <c r="CX20" s="60">
        <f t="shared" si="14"/>
        <v>351.02348150415776</v>
      </c>
      <c r="CY20" s="60">
        <f ca="1">AVERAGE(OFFSET($CX$3,0,0,'Données projet'!$E$13+1,1))-AVERAGE(OFFSET($H$3,0,0,'Données projet'!$E$13+1,1))</f>
        <v>495.77338291316386</v>
      </c>
      <c r="CZ20" s="60">
        <f t="shared" si="42"/>
        <v>261.95434270986397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12</v>
      </c>
      <c r="DO20" s="13">
        <f>IF('Données projet'!$A$166&gt;35,DO19+DN20-DW19,IF(A20&lt;'Données projet'!$A$166,$DL$205^A20,IF(A20='Données projet'!$A$166,'Données projet'!$B$166,DO19+DN20-DW19)))</f>
        <v>69</v>
      </c>
      <c r="DP20" s="18">
        <f>DO20*VLOOKUP('Données projet'!$B$14,Paramètres!$A$1:$I$89,3,0)*VLOOKUP('Données projet'!$B$14,Paramètres!$A$1:$I$89,5,0)</f>
        <v>45.208800000000004</v>
      </c>
      <c r="DQ20" s="14">
        <f t="shared" si="43"/>
        <v>13.369251386406743</v>
      </c>
      <c r="DR20" s="22">
        <f t="shared" si="16"/>
        <v>102.02343949799173</v>
      </c>
      <c r="DS20" s="60">
        <f t="shared" si="17"/>
        <v>379.46788394243617</v>
      </c>
      <c r="DT20" s="60">
        <f ca="1">AVERAGE(OFFSET($DS$3,0,0,'Données projet'!$E$14+1,1))-AVERAGE(OFFSET($H$3,0,0,'Données projet'!$E$14+1,1))</f>
        <v>275.11574966125522</v>
      </c>
      <c r="DU20" s="60">
        <f t="shared" si="44"/>
        <v>299.21520121860345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11.2</v>
      </c>
      <c r="N21" s="14">
        <f>IF('Données projet'!$A$36&gt;35,N20+M21-V20,IF(A21&lt;'Données projet'!$A$36,$K$205^A21,IF(A21='Données projet'!$A$36,'Données projet'!$B$36,N20+M21-V20)))</f>
        <v>106.6</v>
      </c>
      <c r="O21" s="14">
        <f>N21*VLOOKUP('Données projet'!$B$9,Paramètres!$A$1:$I$89,3,0)*VLOOKUP('Données projet'!$B$9,Paramètres!$A$1:$I$89,5,0)</f>
        <v>93.125760000000014</v>
      </c>
      <c r="P21" s="14">
        <f t="shared" si="33"/>
        <v>25.317578585717406</v>
      </c>
      <c r="Q21" s="22">
        <f t="shared" si="2"/>
        <v>206.2888147034578</v>
      </c>
      <c r="R21" s="60">
        <f t="shared" si="0"/>
        <v>484.95548137012452</v>
      </c>
      <c r="S21" s="60">
        <f ca="1">AVERAGE(OFFSET($R$3,0,0,'Données projet'!$E$9+1,1))-AVERAGE(OFFSET($H$3,0,0,'Données projet'!$E$9+1,1))</f>
        <v>369.34989412920129</v>
      </c>
      <c r="T21" s="60">
        <f t="shared" si="34"/>
        <v>371.26234252426553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13.8</v>
      </c>
      <c r="AI21" s="14">
        <f>IF('Données projet'!$A$62&gt;35,AI20+AH21-AQ20,IF(A21&lt;'Données projet'!$A$62,$AF$205^A21,IF(A21='Données projet'!$A$62,'Données projet'!$B$62,AI20+AH21-AQ20)))</f>
        <v>106.39999999999999</v>
      </c>
      <c r="AJ21" s="14">
        <f>AI21*VLOOKUP('Données projet'!$B$10,Paramètres!$A$1:$I$89,3,0)*VLOOKUP('Données projet'!$B$10,Paramètres!$A$1:$I$89,5,0)</f>
        <v>84.651839999999993</v>
      </c>
      <c r="AK21" s="14">
        <f t="shared" si="35"/>
        <v>23.2708148096863</v>
      </c>
      <c r="AL21" s="22">
        <f t="shared" si="4"/>
        <v>187.96529046020362</v>
      </c>
      <c r="AM21" s="60">
        <f t="shared" si="5"/>
        <v>466.6319571268703</v>
      </c>
      <c r="AN21" s="60">
        <f ca="1">AVERAGE(OFFSET($AM$3,0,0,'Données projet'!$E$10+1,1))-AVERAGE(OFFSET($H$3,0,0,'Données projet'!$E$10+1,1))</f>
        <v>370.79299728190904</v>
      </c>
      <c r="AO21" s="60">
        <f t="shared" si="36"/>
        <v>404.95703400805775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13.8</v>
      </c>
      <c r="BD21" s="13">
        <f>IF('Données projet'!$A$88&gt;35,BD20+BC21-BL20,IF(A21&lt;'Données projet'!$A$88,$BA$205^A21,IF(A21='Données projet'!$A$88,'Données projet'!$B$88,BD20+BC21-BL20)))</f>
        <v>106.39999999999999</v>
      </c>
      <c r="BE21" s="14">
        <f>BD21*VLOOKUP('Données projet'!$B$11,Paramètres!$A$1:$I$89,3,0)*VLOOKUP('Données projet'!$B$11,Paramètres!$A$1:$I$89,5,0)</f>
        <v>78.012479999999996</v>
      </c>
      <c r="BF21" s="14">
        <f t="shared" si="37"/>
        <v>21.650515914942144</v>
      </c>
      <c r="BG21" s="22">
        <f t="shared" si="7"/>
        <v>173.57971788519089</v>
      </c>
      <c r="BH21" s="60">
        <f t="shared" si="8"/>
        <v>452.24638455185755</v>
      </c>
      <c r="BI21" s="60">
        <f ca="1">AVERAGE(OFFSET($BH$3,0,0,'Données projet'!$E$11+1,1))-AVERAGE(OFFSET($H$3,0,0,'Données projet'!$E$11+1,1))</f>
        <v>344.63665697794022</v>
      </c>
      <c r="BJ21" s="60">
        <f t="shared" si="38"/>
        <v>376.72762011188041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43.007397804163212</v>
      </c>
      <c r="CA21" s="14">
        <f t="shared" si="39"/>
        <v>12.792363936215189</v>
      </c>
      <c r="CB21" s="22">
        <f t="shared" si="10"/>
        <v>97.184585031159045</v>
      </c>
      <c r="CC21" s="60">
        <f t="shared" si="11"/>
        <v>375.85125169782572</v>
      </c>
      <c r="CD21" s="60">
        <f ca="1">AVERAGE(OFFSET($CC$3,0,0,'Données projet'!$E$12+1,1))-AVERAGE(OFFSET($H$3,0,0,'Données projet'!$E$12+1,1))</f>
        <v>529.25712986118265</v>
      </c>
      <c r="CE21" s="60">
        <f t="shared" si="40"/>
        <v>278.21741231699929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40.041370369393334</v>
      </c>
      <c r="CV21" s="14">
        <f t="shared" si="41"/>
        <v>12.009611467876571</v>
      </c>
      <c r="CW21" s="22">
        <f t="shared" si="13"/>
        <v>90.655460033245092</v>
      </c>
      <c r="CX21" s="60">
        <f t="shared" si="14"/>
        <v>369.32212669991179</v>
      </c>
      <c r="CY21" s="60">
        <f ca="1">AVERAGE(OFFSET($CX$3,0,0,'Données projet'!$E$13+1,1))-AVERAGE(OFFSET($H$3,0,0,'Données projet'!$E$13+1,1))</f>
        <v>495.77338291316386</v>
      </c>
      <c r="CZ21" s="60">
        <f t="shared" si="42"/>
        <v>261.95434270986397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12</v>
      </c>
      <c r="DO21" s="13">
        <f>IF('Données projet'!$A$166&gt;35,DO20+DN21-DW20,IF(A21&lt;'Données projet'!$A$166,$DL$205^A21,IF(A21='Données projet'!$A$166,'Données projet'!$B$166,DO20+DN21-DW20)))</f>
        <v>81</v>
      </c>
      <c r="DP21" s="18">
        <f>DO21*VLOOKUP('Données projet'!$B$14,Paramètres!$A$1:$I$89,3,0)*VLOOKUP('Données projet'!$B$14,Paramètres!$A$1:$I$89,5,0)</f>
        <v>53.071199999999997</v>
      </c>
      <c r="DQ21" s="14">
        <f t="shared" si="43"/>
        <v>15.404137822648016</v>
      </c>
      <c r="DR21" s="22">
        <f t="shared" si="16"/>
        <v>119.26121337444529</v>
      </c>
      <c r="DS21" s="60">
        <f t="shared" si="17"/>
        <v>397.92788004111196</v>
      </c>
      <c r="DT21" s="60">
        <f ca="1">AVERAGE(OFFSET($DS$3,0,0,'Données projet'!$E$14+1,1))-AVERAGE(OFFSET($H$3,0,0,'Données projet'!$E$14+1,1))</f>
        <v>275.11574966125522</v>
      </c>
      <c r="DU21" s="60">
        <f t="shared" si="44"/>
        <v>299.21520121860345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11.2</v>
      </c>
      <c r="N22" s="14">
        <f>IF('Données projet'!$A$36&gt;35,N21+M22-V21,IF(A22&lt;'Données projet'!$A$36,$K$205^A22,IF(A22='Données projet'!$A$36,'Données projet'!$B$36,N21+M22-V21)))</f>
        <v>117.8</v>
      </c>
      <c r="O22" s="14">
        <f>N22*VLOOKUP('Données projet'!$B$9,Paramètres!$A$1:$I$89,3,0)*VLOOKUP('Données projet'!$B$9,Paramètres!$A$1:$I$89,5,0)</f>
        <v>102.91008000000001</v>
      </c>
      <c r="P22" s="14">
        <f t="shared" si="33"/>
        <v>27.654122306790427</v>
      </c>
      <c r="Q22" s="22">
        <f t="shared" si="2"/>
        <v>227.39931901765999</v>
      </c>
      <c r="R22" s="60">
        <f t="shared" si="0"/>
        <v>507.28820790654885</v>
      </c>
      <c r="S22" s="60">
        <f ca="1">AVERAGE(OFFSET($R$3,0,0,'Données projet'!$E$9+1,1))-AVERAGE(OFFSET($H$3,0,0,'Données projet'!$E$9+1,1))</f>
        <v>369.34989412920129</v>
      </c>
      <c r="T22" s="60">
        <f t="shared" si="34"/>
        <v>371.26234252426553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13.8</v>
      </c>
      <c r="AI22" s="14">
        <f>IF('Données projet'!$A$62&gt;35,AI21+AH22-AQ21,IF(A22&lt;'Données projet'!$A$62,$AF$205^A22,IF(A22='Données projet'!$A$62,'Données projet'!$B$62,AI21+AH22-AQ21)))</f>
        <v>120.19999999999999</v>
      </c>
      <c r="AJ22" s="14">
        <f>AI22*VLOOKUP('Données projet'!$B$10,Paramètres!$A$1:$I$89,3,0)*VLOOKUP('Données projet'!$B$10,Paramètres!$A$1:$I$89,5,0)</f>
        <v>95.631119999999996</v>
      </c>
      <c r="AK22" s="14">
        <f t="shared" si="35"/>
        <v>25.918481589892259</v>
      </c>
      <c r="AL22" s="22">
        <f t="shared" si="4"/>
        <v>211.698889435729</v>
      </c>
      <c r="AM22" s="60">
        <f t="shared" si="5"/>
        <v>491.58777832461783</v>
      </c>
      <c r="AN22" s="60">
        <f ca="1">AVERAGE(OFFSET($AM$3,0,0,'Données projet'!$E$10+1,1))-AVERAGE(OFFSET($H$3,0,0,'Données projet'!$E$10+1,1))</f>
        <v>370.79299728190904</v>
      </c>
      <c r="AO22" s="60">
        <f t="shared" si="36"/>
        <v>404.95703400805775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13.8</v>
      </c>
      <c r="BD22" s="13">
        <f>IF('Données projet'!$A$88&gt;35,BD21+BC22-BL21,IF(A22&lt;'Données projet'!$A$88,$BA$205^A22,IF(A22='Données projet'!$A$88,'Données projet'!$B$88,BD21+BC22-BL21)))</f>
        <v>120.19999999999999</v>
      </c>
      <c r="BE22" s="14">
        <f>BD22*VLOOKUP('Données projet'!$B$11,Paramètres!$A$1:$I$89,3,0)*VLOOKUP('Données projet'!$B$11,Paramètres!$A$1:$I$89,5,0)</f>
        <v>88.130639999999985</v>
      </c>
      <c r="BF22" s="14">
        <f t="shared" si="37"/>
        <v>24.113831111728981</v>
      </c>
      <c r="BG22" s="22">
        <f t="shared" si="7"/>
        <v>195.49245385292795</v>
      </c>
      <c r="BH22" s="60">
        <f t="shared" si="8"/>
        <v>475.38134274181681</v>
      </c>
      <c r="BI22" s="60">
        <f ca="1">AVERAGE(OFFSET($BH$3,0,0,'Données projet'!$E$11+1,1))-AVERAGE(OFFSET($H$3,0,0,'Données projet'!$E$11+1,1))</f>
        <v>344.63665697794022</v>
      </c>
      <c r="BJ22" s="60">
        <f t="shared" si="38"/>
        <v>376.72762011188041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53.297803218557732</v>
      </c>
      <c r="CA22" s="14">
        <f t="shared" si="39"/>
        <v>15.462240012873817</v>
      </c>
      <c r="CB22" s="22">
        <f t="shared" si="10"/>
        <v>119.75707529474329</v>
      </c>
      <c r="CC22" s="60">
        <f t="shared" si="11"/>
        <v>399.64596418363215</v>
      </c>
      <c r="CD22" s="60">
        <f ca="1">AVERAGE(OFFSET($CC$3,0,0,'Données projet'!$E$12+1,1))-AVERAGE(OFFSET($H$3,0,0,'Données projet'!$E$12+1,1))</f>
        <v>529.25712986118265</v>
      </c>
      <c r="CE22" s="60">
        <f t="shared" si="40"/>
        <v>278.21741231699929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49.622092651760646</v>
      </c>
      <c r="CV22" s="14">
        <f t="shared" si="41"/>
        <v>14.516120390537463</v>
      </c>
      <c r="CW22" s="22">
        <f t="shared" si="13"/>
        <v>111.70738771533587</v>
      </c>
      <c r="CX22" s="60">
        <f t="shared" si="14"/>
        <v>391.59627660422473</v>
      </c>
      <c r="CY22" s="60">
        <f ca="1">AVERAGE(OFFSET($CX$3,0,0,'Données projet'!$E$13+1,1))-AVERAGE(OFFSET($H$3,0,0,'Données projet'!$E$13+1,1))</f>
        <v>495.77338291316386</v>
      </c>
      <c r="CZ22" s="60">
        <f t="shared" si="42"/>
        <v>261.95434270986397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12</v>
      </c>
      <c r="DO22" s="13">
        <f>IF('Données projet'!$A$166&gt;35,DO21+DN22-DW21,IF(A22&lt;'Données projet'!$A$166,$DL$205^A22,IF(A22='Données projet'!$A$166,'Données projet'!$B$166,DO21+DN22-DW21)))</f>
        <v>93</v>
      </c>
      <c r="DP22" s="18">
        <f>DO22*VLOOKUP('Données projet'!$B$14,Paramètres!$A$1:$I$89,3,0)*VLOOKUP('Données projet'!$B$14,Paramètres!$A$1:$I$89,5,0)</f>
        <v>60.933599999999991</v>
      </c>
      <c r="DQ22" s="14">
        <f t="shared" si="43"/>
        <v>17.404099852856145</v>
      </c>
      <c r="DR22" s="22">
        <f t="shared" si="16"/>
        <v>136.43816057705777</v>
      </c>
      <c r="DS22" s="60">
        <f t="shared" si="17"/>
        <v>416.32704946594663</v>
      </c>
      <c r="DT22" s="60">
        <f ca="1">AVERAGE(OFFSET($DS$3,0,0,'Données projet'!$E$14+1,1))-AVERAGE(OFFSET($H$3,0,0,'Données projet'!$E$14+1,1))</f>
        <v>275.11574966125522</v>
      </c>
      <c r="DU22" s="60">
        <f t="shared" si="44"/>
        <v>299.21520121860345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129</v>
      </c>
      <c r="L23" s="13">
        <f>VLOOKUP(A23,'Données projet'!$A$35:$I$55,9,0)</f>
        <v>11.2</v>
      </c>
      <c r="M23" s="13">
        <f t="array" ref="M23">INDEX(L:L,MIN(IF(ISNUMBER(L23:L219),ROW(L23:L219),"")))</f>
        <v>11.2</v>
      </c>
      <c r="N23" s="14">
        <f>IF('Données projet'!$A$36&gt;35,N22+M23-V22,IF(A23&lt;'Données projet'!$A$36,$K$205^A23,IF(A23='Données projet'!$A$36,'Données projet'!$B$36,N22+M23-V22)))</f>
        <v>129</v>
      </c>
      <c r="O23" s="14">
        <f>N23*VLOOKUP('Données projet'!$B$9,Paramètres!$A$1:$I$89,3,0)*VLOOKUP('Données projet'!$B$9,Paramètres!$A$1:$I$89,5,0)</f>
        <v>112.69440000000002</v>
      </c>
      <c r="P23" s="14">
        <f t="shared" si="33"/>
        <v>29.964909381330632</v>
      </c>
      <c r="Q23" s="22">
        <f t="shared" si="2"/>
        <v>248.46496383915087</v>
      </c>
      <c r="R23" s="60">
        <f t="shared" si="0"/>
        <v>529.57607495026195</v>
      </c>
      <c r="S23" s="60">
        <f ca="1">AVERAGE(OFFSET($R$3,0,0,'Données projet'!$E$9+1,1))-AVERAGE(OFFSET($H$3,0,0,'Données projet'!$E$9+1,1))</f>
        <v>369.34989412920129</v>
      </c>
      <c r="T23" s="60">
        <f t="shared" si="34"/>
        <v>371.26234252426553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54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134</v>
      </c>
      <c r="AG23" s="13">
        <f>VLOOKUP(A23,'Données projet'!$A$61:$I$81,9,0)</f>
        <v>13.8</v>
      </c>
      <c r="AH23" s="13">
        <f t="array" ref="AH23">INDEX(AG:AG,MIN(IF(ISNUMBER(AG23:AG219),ROW(AG23:AG219),"")))</f>
        <v>13.8</v>
      </c>
      <c r="AI23" s="14">
        <f>IF('Données projet'!$A$62&gt;35,AI22+AH23-AQ22,IF(A23&lt;'Données projet'!$A$62,$AF$205^A23,IF(A23='Données projet'!$A$62,'Données projet'!$B$62,AI22+AH23-AQ22)))</f>
        <v>134</v>
      </c>
      <c r="AJ23" s="14">
        <f>AI23*VLOOKUP('Données projet'!$B$10,Paramètres!$A$1:$I$89,3,0)*VLOOKUP('Données projet'!$B$10,Paramètres!$A$1:$I$89,5,0)</f>
        <v>106.61040000000001</v>
      </c>
      <c r="AK23" s="14">
        <f t="shared" si="35"/>
        <v>28.530919434405451</v>
      </c>
      <c r="AL23" s="22">
        <f t="shared" si="4"/>
        <v>235.3711313482562</v>
      </c>
      <c r="AM23" s="60">
        <f t="shared" si="5"/>
        <v>516.4822424593674</v>
      </c>
      <c r="AN23" s="60">
        <f ca="1">AVERAGE(OFFSET($AM$3,0,0,'Données projet'!$E$10+1,1))-AVERAGE(OFFSET($H$3,0,0,'Données projet'!$E$10+1,1))</f>
        <v>370.79299728190904</v>
      </c>
      <c r="AO23" s="60">
        <f t="shared" si="36"/>
        <v>404.95703400805775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67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134</v>
      </c>
      <c r="BB23" s="13">
        <f>VLOOKUP(A23,'Données projet'!$A$87:$I$107,9,0)</f>
        <v>13.8</v>
      </c>
      <c r="BC23" s="13">
        <f t="array" ref="BC23">INDEX(BB:BB,MIN(IF(ISNUMBER(BB23:BB219),ROW(BB23:BB219),"")))</f>
        <v>13.8</v>
      </c>
      <c r="BD23" s="13">
        <f>IF('Données projet'!$A$88&gt;35,BD22+BC23-BL22,IF(A23&lt;'Données projet'!$A$88,$BA$205^A23,IF(A23='Données projet'!$A$88,'Données projet'!$B$88,BD22+BC23-BL22)))</f>
        <v>134</v>
      </c>
      <c r="BE23" s="14">
        <f>BD23*VLOOKUP('Données projet'!$B$11,Paramètres!$A$1:$I$89,3,0)*VLOOKUP('Données projet'!$B$11,Paramètres!$A$1:$I$89,5,0)</f>
        <v>98.248800000000003</v>
      </c>
      <c r="BF23" s="14">
        <f t="shared" si="37"/>
        <v>26.544370291039833</v>
      </c>
      <c r="BG23" s="22">
        <f t="shared" si="7"/>
        <v>217.34810492356107</v>
      </c>
      <c r="BH23" s="60">
        <f t="shared" si="8"/>
        <v>498.45921603467218</v>
      </c>
      <c r="BI23" s="60">
        <f ca="1">AVERAGE(OFFSET($BH$3,0,0,'Données projet'!$E$11+1,1))-AVERAGE(OFFSET($H$3,0,0,'Données projet'!$E$11+1,1))</f>
        <v>344.63665697794022</v>
      </c>
      <c r="BJ23" s="60">
        <f t="shared" si="38"/>
        <v>376.72762011188041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66.050399999999996</v>
      </c>
      <c r="CA23" s="14">
        <f t="shared" si="39"/>
        <v>18.689342126897891</v>
      </c>
      <c r="CB23" s="22">
        <f t="shared" si="10"/>
        <v>147.58838420434714</v>
      </c>
      <c r="CC23" s="60">
        <f t="shared" si="11"/>
        <v>428.69949531545831</v>
      </c>
      <c r="CD23" s="60">
        <f ca="1">AVERAGE(OFFSET($CC$3,0,0,'Données projet'!$E$12+1,1))-AVERAGE(OFFSET($H$3,0,0,'Données projet'!$E$12+1,1))</f>
        <v>529.25712986118265</v>
      </c>
      <c r="CE23" s="60">
        <f t="shared" si="40"/>
        <v>278.21741231699929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61.495200000000004</v>
      </c>
      <c r="CV23" s="14">
        <f t="shared" si="41"/>
        <v>17.545759224285259</v>
      </c>
      <c r="CW23" s="22">
        <f t="shared" si="13"/>
        <v>137.66300398229683</v>
      </c>
      <c r="CX23" s="60">
        <f t="shared" si="14"/>
        <v>418.774115093408</v>
      </c>
      <c r="CY23" s="60">
        <f ca="1">AVERAGE(OFFSET($CX$3,0,0,'Données projet'!$E$13+1,1))-AVERAGE(OFFSET($H$3,0,0,'Données projet'!$E$13+1,1))</f>
        <v>495.77338291316386</v>
      </c>
      <c r="CZ23" s="60">
        <f t="shared" si="42"/>
        <v>261.95434270986397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105</v>
      </c>
      <c r="DM23" s="13">
        <f>VLOOKUP(A23,'Données projet'!$A$165:$I$185,9,0)</f>
        <v>12</v>
      </c>
      <c r="DN23" s="13">
        <f t="array" ref="DN23">INDEX(DM:DM,MIN(IF(ISNUMBER(DM23:DM219),ROW(DM23:DM219),"")))</f>
        <v>12</v>
      </c>
      <c r="DO23" s="13">
        <f>IF('Données projet'!$A$166&gt;35,DO22+DN23-DW22,IF(A23&lt;'Données projet'!$A$166,$DL$205^A23,IF(A23='Données projet'!$A$166,'Données projet'!$B$166,DO22+DN23-DW22)))</f>
        <v>105</v>
      </c>
      <c r="DP23" s="18">
        <f>DO23*VLOOKUP('Données projet'!$B$14,Paramètres!$A$1:$I$89,3,0)*VLOOKUP('Données projet'!$B$14,Paramètres!$A$1:$I$89,5,0)</f>
        <v>68.796000000000006</v>
      </c>
      <c r="DQ23" s="14">
        <f t="shared" si="43"/>
        <v>19.374160697102734</v>
      </c>
      <c r="DR23" s="22">
        <f t="shared" si="16"/>
        <v>153.56302988078727</v>
      </c>
      <c r="DS23" s="60">
        <f t="shared" si="17"/>
        <v>434.67414099189841</v>
      </c>
      <c r="DT23" s="60">
        <f ca="1">AVERAGE(OFFSET($DS$3,0,0,'Données projet'!$E$14+1,1))-AVERAGE(OFFSET($H$3,0,0,'Données projet'!$E$14+1,1))</f>
        <v>275.11574966125522</v>
      </c>
      <c r="DU23" s="60">
        <f t="shared" si="44"/>
        <v>299.21520121860345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10.199999999999999</v>
      </c>
      <c r="N24" s="14">
        <f>IF('Données projet'!$A$36&gt;35,N23+M24-V23,IF(A24&lt;'Données projet'!$A$36,$K$205^A24,IF(A24='Données projet'!$A$36,'Données projet'!$B$36,N23+M24-V23)))</f>
        <v>85.199999999999989</v>
      </c>
      <c r="O24" s="14">
        <f>N24*VLOOKUP('Données projet'!$B$9,Paramètres!$A$1:$I$89,3,0)*VLOOKUP('Données projet'!$B$9,Paramètres!$A$1:$I$89,5,0)</f>
        <v>74.430719999999994</v>
      </c>
      <c r="P24" s="14">
        <f t="shared" si="33"/>
        <v>20.76980057385482</v>
      </c>
      <c r="Q24" s="22">
        <f t="shared" si="2"/>
        <v>165.80757333279712</v>
      </c>
      <c r="R24" s="60">
        <f t="shared" si="0"/>
        <v>448.14090666613043</v>
      </c>
      <c r="S24" s="60">
        <f ca="1">AVERAGE(OFFSET($R$3,0,0,'Données projet'!$E$9+1,1))-AVERAGE(OFFSET($H$3,0,0,'Données projet'!$E$9+1,1))</f>
        <v>369.34989412920129</v>
      </c>
      <c r="T24" s="60">
        <f t="shared" si="34"/>
        <v>371.26234252426553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14.8</v>
      </c>
      <c r="AI24" s="14">
        <f>IF('Données projet'!$A$62&gt;35,AI23+AH24-AQ23,IF(A24&lt;'Données projet'!$A$62,$AF$205^A24,IF(A24='Données projet'!$A$62,'Données projet'!$B$62,AI23+AH24-AQ23)))</f>
        <v>81.800000000000011</v>
      </c>
      <c r="AJ24" s="14">
        <f>AI24*VLOOKUP('Données projet'!$B$10,Paramètres!$A$1:$I$89,3,0)*VLOOKUP('Données projet'!$B$10,Paramètres!$A$1:$I$89,5,0)</f>
        <v>65.080080000000009</v>
      </c>
      <c r="AK24" s="14">
        <f t="shared" si="35"/>
        <v>18.44653442602603</v>
      </c>
      <c r="AL24" s="22">
        <f t="shared" si="4"/>
        <v>145.47552012532867</v>
      </c>
      <c r="AM24" s="60">
        <f t="shared" si="5"/>
        <v>427.80885345866199</v>
      </c>
      <c r="AN24" s="60">
        <f ca="1">AVERAGE(OFFSET($AM$3,0,0,'Données projet'!$E$10+1,1))-AVERAGE(OFFSET($H$3,0,0,'Données projet'!$E$10+1,1))</f>
        <v>370.79299728190904</v>
      </c>
      <c r="AO24" s="60">
        <f t="shared" si="36"/>
        <v>404.95703400805775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81.800000000000011</v>
      </c>
      <c r="BE24" s="14">
        <f>BD24*VLOOKUP('Données projet'!$B$11,Paramètres!$A$1:$I$89,3,0)*VLOOKUP('Données projet'!$B$11,Paramètres!$A$1:$I$89,5,0)</f>
        <v>59.975760000000008</v>
      </c>
      <c r="BF24" s="14">
        <f t="shared" si="37"/>
        <v>17.162140235844557</v>
      </c>
      <c r="BG24" s="22">
        <f t="shared" si="7"/>
        <v>134.34850957742927</v>
      </c>
      <c r="BH24" s="60">
        <f t="shared" si="8"/>
        <v>416.68184291076261</v>
      </c>
      <c r="BI24" s="60">
        <f ca="1">AVERAGE(OFFSET($BH$3,0,0,'Données projet'!$E$11+1,1))-AVERAGE(OFFSET($H$3,0,0,'Données projet'!$E$11+1,1))</f>
        <v>344.63665697794022</v>
      </c>
      <c r="BJ24" s="60">
        <f t="shared" si="38"/>
        <v>376.72762011188041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80.2</v>
      </c>
      <c r="BZ24" s="14">
        <f>BY24*VLOOKUP('Données projet'!$B$12,Paramètres!$A$1:$I$89,3,0)*VLOOKUP('Données projet'!$B$12,Paramètres!$A$1:$I$89,5,0)</f>
        <v>72.564959999999999</v>
      </c>
      <c r="CA24" s="14">
        <f t="shared" si="39"/>
        <v>20.30908732150932</v>
      </c>
      <c r="CB24" s="22">
        <f t="shared" si="10"/>
        <v>161.75563241829539</v>
      </c>
      <c r="CC24" s="60">
        <f t="shared" si="11"/>
        <v>444.08896575162873</v>
      </c>
      <c r="CD24" s="60">
        <f ca="1">AVERAGE(OFFSET($CC$3,0,0,'Données projet'!$E$12+1,1))-AVERAGE(OFFSET($H$3,0,0,'Données projet'!$E$12+1,1))</f>
        <v>529.25712986118265</v>
      </c>
      <c r="CE24" s="60">
        <f t="shared" si="40"/>
        <v>278.21741231699929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80.2</v>
      </c>
      <c r="CU24" s="18">
        <f>CT24*VLOOKUP('Données projet'!$B$13,Paramètres!$A$1:$I$89,3,0)*VLOOKUP('Données projet'!$B$13,Paramètres!$A$1:$I$89,5,0)</f>
        <v>67.560480000000013</v>
      </c>
      <c r="CV24" s="14">
        <f t="shared" si="41"/>
        <v>19.066393765425332</v>
      </c>
      <c r="CW24" s="22">
        <f t="shared" si="13"/>
        <v>150.87513847478246</v>
      </c>
      <c r="CX24" s="60">
        <f t="shared" si="14"/>
        <v>433.20847180811575</v>
      </c>
      <c r="CY24" s="60">
        <f ca="1">AVERAGE(OFFSET($CX$3,0,0,'Données projet'!$E$13+1,1))-AVERAGE(OFFSET($H$3,0,0,'Données projet'!$E$13+1,1))</f>
        <v>495.77338291316386</v>
      </c>
      <c r="CZ24" s="60">
        <f t="shared" si="42"/>
        <v>261.95434270986397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9.6</v>
      </c>
      <c r="DO24" s="13">
        <f>IF('Données projet'!$A$166&gt;35,DO23+DN24-DW23,IF(A24&lt;'Données projet'!$A$166,$DL$205^A24,IF(A24='Données projet'!$A$166,'Données projet'!$B$166,DO23+DN24-DW23)))</f>
        <v>99.6</v>
      </c>
      <c r="DP24" s="18">
        <f>DO24*VLOOKUP('Données projet'!$B$14,Paramètres!$A$1:$I$89,3,0)*VLOOKUP('Données projet'!$B$14,Paramètres!$A$1:$I$89,5,0)</f>
        <v>65.257919999999999</v>
      </c>
      <c r="DQ24" s="14">
        <f t="shared" si="43"/>
        <v>18.491067519086762</v>
      </c>
      <c r="DR24" s="22">
        <f t="shared" si="16"/>
        <v>145.8628199290761</v>
      </c>
      <c r="DS24" s="60">
        <f t="shared" si="17"/>
        <v>428.19615326240944</v>
      </c>
      <c r="DT24" s="60">
        <f ca="1">AVERAGE(OFFSET($DS$3,0,0,'Données projet'!$E$14+1,1))-AVERAGE(OFFSET($H$3,0,0,'Données projet'!$E$14+1,1))</f>
        <v>275.11574966125522</v>
      </c>
      <c r="DU24" s="60">
        <f t="shared" si="44"/>
        <v>299.21520121860345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10.199999999999999</v>
      </c>
      <c r="N25" s="14">
        <f>IF('Données projet'!$A$36&gt;35,N24+M25-V24,IF(A25&lt;'Données projet'!$A$36,$K$205^A25,IF(A25='Données projet'!$A$36,'Données projet'!$B$36,N24+M25-V24)))</f>
        <v>95.399999999999991</v>
      </c>
      <c r="O25" s="14">
        <f>N25*VLOOKUP('Données projet'!$B$9,Paramètres!$A$1:$I$89,3,0)*VLOOKUP('Données projet'!$B$9,Paramètres!$A$1:$I$89,5,0)</f>
        <v>83.341440000000006</v>
      </c>
      <c r="P25" s="14">
        <f t="shared" si="33"/>
        <v>22.952227742446681</v>
      </c>
      <c r="Q25" s="22">
        <f t="shared" si="2"/>
        <v>185.12813798476131</v>
      </c>
      <c r="R25" s="60">
        <f t="shared" si="0"/>
        <v>468.68369354031688</v>
      </c>
      <c r="S25" s="60">
        <f ca="1">AVERAGE(OFFSET($R$3,0,0,'Données projet'!$E$9+1,1))-AVERAGE(OFFSET($H$3,0,0,'Données projet'!$E$9+1,1))</f>
        <v>369.34989412920129</v>
      </c>
      <c r="T25" s="60">
        <f t="shared" si="34"/>
        <v>371.26234252426553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14.8</v>
      </c>
      <c r="AI25" s="14">
        <f>IF('Données projet'!$A$62&gt;35,AI24+AH25-AQ24,IF(A25&lt;'Données projet'!$A$62,$AF$205^A25,IF(A25='Données projet'!$A$62,'Données projet'!$B$62,AI24+AH25-AQ24)))</f>
        <v>96.600000000000009</v>
      </c>
      <c r="AJ25" s="14">
        <f>AI25*VLOOKUP('Données projet'!$B$10,Paramètres!$A$1:$I$89,3,0)*VLOOKUP('Données projet'!$B$10,Paramètres!$A$1:$I$89,5,0)</f>
        <v>76.854960000000005</v>
      </c>
      <c r="AK25" s="14">
        <f t="shared" si="35"/>
        <v>21.366419773799993</v>
      </c>
      <c r="AL25" s="22">
        <f t="shared" si="4"/>
        <v>171.06890310603498</v>
      </c>
      <c r="AM25" s="60">
        <f t="shared" si="5"/>
        <v>454.62445866159055</v>
      </c>
      <c r="AN25" s="60">
        <f ca="1">AVERAGE(OFFSET($AM$3,0,0,'Données projet'!$E$10+1,1))-AVERAGE(OFFSET($H$3,0,0,'Données projet'!$E$10+1,1))</f>
        <v>370.79299728190904</v>
      </c>
      <c r="AO25" s="60">
        <f t="shared" si="36"/>
        <v>404.95703400805775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96.600000000000009</v>
      </c>
      <c r="BE25" s="14">
        <f>BD25*VLOOKUP('Données projet'!$B$11,Paramètres!$A$1:$I$89,3,0)*VLOOKUP('Données projet'!$B$11,Paramètres!$A$1:$I$89,5,0)</f>
        <v>70.827120000000008</v>
      </c>
      <c r="BF25" s="14">
        <f t="shared" si="37"/>
        <v>19.878719982140034</v>
      </c>
      <c r="BG25" s="22">
        <f t="shared" si="7"/>
        <v>157.97933796889393</v>
      </c>
      <c r="BH25" s="60">
        <f t="shared" si="8"/>
        <v>441.53489352444944</v>
      </c>
      <c r="BI25" s="60">
        <f ca="1">AVERAGE(OFFSET($BH$3,0,0,'Données projet'!$E$11+1,1))-AVERAGE(OFFSET($H$3,0,0,'Données projet'!$E$11+1,1))</f>
        <v>344.63665697794022</v>
      </c>
      <c r="BJ25" s="60">
        <f t="shared" si="38"/>
        <v>376.72762011188041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87.4</v>
      </c>
      <c r="BZ25" s="14">
        <f>BY25*VLOOKUP('Données projet'!$B$12,Paramètres!$A$1:$I$89,3,0)*VLOOKUP('Données projet'!$B$12,Paramètres!$A$1:$I$89,5,0)</f>
        <v>79.079520000000002</v>
      </c>
      <c r="CA25" s="14">
        <f t="shared" si="39"/>
        <v>21.911970621402002</v>
      </c>
      <c r="CB25" s="22">
        <f t="shared" si="10"/>
        <v>175.89351283227515</v>
      </c>
      <c r="CC25" s="60">
        <f t="shared" si="11"/>
        <v>459.44906838783072</v>
      </c>
      <c r="CD25" s="60">
        <f ca="1">AVERAGE(OFFSET($CC$3,0,0,'Données projet'!$E$12+1,1))-AVERAGE(OFFSET($H$3,0,0,'Données projet'!$E$12+1,1))</f>
        <v>529.25712986118265</v>
      </c>
      <c r="CE25" s="60">
        <f t="shared" si="40"/>
        <v>278.21741231699929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87.4</v>
      </c>
      <c r="CU25" s="18">
        <f>CT25*VLOOKUP('Données projet'!$B$13,Paramètres!$A$1:$I$89,3,0)*VLOOKUP('Données projet'!$B$13,Paramètres!$A$1:$I$89,5,0)</f>
        <v>73.625760000000014</v>
      </c>
      <c r="CV25" s="14">
        <f t="shared" si="41"/>
        <v>20.571198174996731</v>
      </c>
      <c r="CW25" s="22">
        <f t="shared" si="13"/>
        <v>164.05970215478601</v>
      </c>
      <c r="CX25" s="60">
        <f t="shared" si="14"/>
        <v>447.61525771034155</v>
      </c>
      <c r="CY25" s="60">
        <f ca="1">AVERAGE(OFFSET($CX$3,0,0,'Données projet'!$E$13+1,1))-AVERAGE(OFFSET($H$3,0,0,'Données projet'!$E$13+1,1))</f>
        <v>495.77338291316386</v>
      </c>
      <c r="CZ25" s="60">
        <f t="shared" si="42"/>
        <v>261.95434270986397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9.6</v>
      </c>
      <c r="DO25" s="13">
        <f>IF('Données projet'!$A$166&gt;35,DO24+DN25-DW24,IF(A25&lt;'Données projet'!$A$166,$DL$205^A25,IF(A25='Données projet'!$A$166,'Données projet'!$B$166,DO24+DN25-DW24)))</f>
        <v>109.19999999999999</v>
      </c>
      <c r="DP25" s="18">
        <f>DO25*VLOOKUP('Données projet'!$B$14,Paramètres!$A$1:$I$89,3,0)*VLOOKUP('Données projet'!$B$14,Paramètres!$A$1:$I$89,5,0)</f>
        <v>71.547839999999994</v>
      </c>
      <c r="DQ25" s="14">
        <f t="shared" si="43"/>
        <v>20.05735014974319</v>
      </c>
      <c r="DR25" s="22">
        <f t="shared" si="16"/>
        <v>159.54570617746938</v>
      </c>
      <c r="DS25" s="60">
        <f t="shared" si="17"/>
        <v>443.1012617330249</v>
      </c>
      <c r="DT25" s="60">
        <f ca="1">AVERAGE(OFFSET($DS$3,0,0,'Données projet'!$E$14+1,1))-AVERAGE(OFFSET($H$3,0,0,'Données projet'!$E$14+1,1))</f>
        <v>275.11574966125522</v>
      </c>
      <c r="DU25" s="60">
        <f t="shared" si="44"/>
        <v>299.21520121860345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10.199999999999999</v>
      </c>
      <c r="N26" s="14">
        <f>IF('Données projet'!$A$36&gt;35,N25+M26-V25,IF(A26&lt;'Données projet'!$A$36,$K$205^A26,IF(A26='Données projet'!$A$36,'Données projet'!$B$36,N25+M26-V25)))</f>
        <v>105.6</v>
      </c>
      <c r="O26" s="14">
        <f>N26*VLOOKUP('Données projet'!$B$9,Paramètres!$A$1:$I$89,3,0)*VLOOKUP('Données projet'!$B$9,Paramètres!$A$1:$I$89,5,0)</f>
        <v>92.252160000000003</v>
      </c>
      <c r="P26" s="14">
        <f t="shared" si="33"/>
        <v>25.107607958259987</v>
      </c>
      <c r="Q26" s="22">
        <f t="shared" si="2"/>
        <v>204.40159586063612</v>
      </c>
      <c r="R26" s="60">
        <f t="shared" si="0"/>
        <v>489.17937363841389</v>
      </c>
      <c r="S26" s="60">
        <f ca="1">AVERAGE(OFFSET($R$3,0,0,'Données projet'!$E$9+1,1))-AVERAGE(OFFSET($H$3,0,0,'Données projet'!$E$9+1,1))</f>
        <v>369.34989412920129</v>
      </c>
      <c r="T26" s="60">
        <f t="shared" si="34"/>
        <v>371.26234252426553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14.8</v>
      </c>
      <c r="AI26" s="14">
        <f>IF('Données projet'!$A$62&gt;35,AI25+AH26-AQ25,IF(A26&lt;'Données projet'!$A$62,$AF$205^A26,IF(A26='Données projet'!$A$62,'Données projet'!$B$62,AI25+AH26-AQ25)))</f>
        <v>111.4</v>
      </c>
      <c r="AJ26" s="14">
        <f>AI26*VLOOKUP('Données projet'!$B$10,Paramètres!$A$1:$I$89,3,0)*VLOOKUP('Données projet'!$B$10,Paramètres!$A$1:$I$89,5,0)</f>
        <v>88.629840000000016</v>
      </c>
      <c r="AK26" s="14">
        <f t="shared" si="35"/>
        <v>24.234480932534542</v>
      </c>
      <c r="AL26" s="22">
        <f t="shared" si="4"/>
        <v>196.57202562416433</v>
      </c>
      <c r="AM26" s="60">
        <f t="shared" si="5"/>
        <v>481.3498034019421</v>
      </c>
      <c r="AN26" s="60">
        <f ca="1">AVERAGE(OFFSET($AM$3,0,0,'Données projet'!$E$10+1,1))-AVERAGE(OFFSET($H$3,0,0,'Données projet'!$E$10+1,1))</f>
        <v>370.79299728190904</v>
      </c>
      <c r="AO26" s="60">
        <f t="shared" si="36"/>
        <v>404.95703400805775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111.4</v>
      </c>
      <c r="BE26" s="14">
        <f>BD26*VLOOKUP('Données projet'!$B$11,Paramètres!$A$1:$I$89,3,0)*VLOOKUP('Données projet'!$B$11,Paramètres!$A$1:$I$89,5,0)</f>
        <v>81.678479999999993</v>
      </c>
      <c r="BF26" s="14">
        <f t="shared" si="37"/>
        <v>22.547083950915322</v>
      </c>
      <c r="BG26" s="22">
        <f t="shared" si="7"/>
        <v>181.52619054784418</v>
      </c>
      <c r="BH26" s="60">
        <f t="shared" si="8"/>
        <v>466.30396832562195</v>
      </c>
      <c r="BI26" s="60">
        <f ca="1">AVERAGE(OFFSET($BH$3,0,0,'Données projet'!$E$11+1,1))-AVERAGE(OFFSET($H$3,0,0,'Données projet'!$E$11+1,1))</f>
        <v>344.63665697794022</v>
      </c>
      <c r="BJ26" s="60">
        <f t="shared" si="38"/>
        <v>376.72762011188041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94.600000000000009</v>
      </c>
      <c r="BZ26" s="14">
        <f>BY26*VLOOKUP('Données projet'!$B$12,Paramètres!$A$1:$I$89,3,0)*VLOOKUP('Données projet'!$B$12,Paramètres!$A$1:$I$89,5,0)</f>
        <v>85.594080000000005</v>
      </c>
      <c r="CA26" s="14">
        <f t="shared" si="39"/>
        <v>23.499539031833248</v>
      </c>
      <c r="CB26" s="22">
        <f t="shared" si="10"/>
        <v>190.00471981377623</v>
      </c>
      <c r="CC26" s="60">
        <f t="shared" si="11"/>
        <v>474.78249759155403</v>
      </c>
      <c r="CD26" s="60">
        <f ca="1">AVERAGE(OFFSET($CC$3,0,0,'Données projet'!$E$12+1,1))-AVERAGE(OFFSET($H$3,0,0,'Données projet'!$E$12+1,1))</f>
        <v>529.25712986118265</v>
      </c>
      <c r="CE26" s="60">
        <f t="shared" si="40"/>
        <v>278.21741231699929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94.600000000000009</v>
      </c>
      <c r="CU26" s="18">
        <f>CT26*VLOOKUP('Données projet'!$B$13,Paramètres!$A$1:$I$89,3,0)*VLOOKUP('Données projet'!$B$13,Paramètres!$A$1:$I$89,5,0)</f>
        <v>79.691040000000015</v>
      </c>
      <c r="CV26" s="14">
        <f t="shared" si="41"/>
        <v>22.061624798490286</v>
      </c>
      <c r="CW26" s="22">
        <f t="shared" si="13"/>
        <v>177.21922452403726</v>
      </c>
      <c r="CX26" s="60">
        <f t="shared" si="14"/>
        <v>461.99700230181503</v>
      </c>
      <c r="CY26" s="60">
        <f ca="1">AVERAGE(OFFSET($CX$3,0,0,'Données projet'!$E$13+1,1))-AVERAGE(OFFSET($H$3,0,0,'Données projet'!$E$13+1,1))</f>
        <v>495.77338291316386</v>
      </c>
      <c r="CZ26" s="60">
        <f t="shared" si="42"/>
        <v>261.95434270986397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9.6</v>
      </c>
      <c r="DO26" s="13">
        <f>IF('Données projet'!$A$166&gt;35,DO25+DN26-DW25,IF(A26&lt;'Données projet'!$A$166,$DL$205^A26,IF(A26='Données projet'!$A$166,'Données projet'!$B$166,DO25+DN26-DW25)))</f>
        <v>118.79999999999998</v>
      </c>
      <c r="DP26" s="18">
        <f>DO26*VLOOKUP('Données projet'!$B$14,Paramètres!$A$1:$I$89,3,0)*VLOOKUP('Données projet'!$B$14,Paramètres!$A$1:$I$89,5,0)</f>
        <v>77.837759999999989</v>
      </c>
      <c r="DQ26" s="14">
        <f t="shared" si="43"/>
        <v>21.607665094033621</v>
      </c>
      <c r="DR26" s="22">
        <f t="shared" si="16"/>
        <v>173.2007820387752</v>
      </c>
      <c r="DS26" s="60">
        <f t="shared" si="17"/>
        <v>457.978559816553</v>
      </c>
      <c r="DT26" s="60">
        <f ca="1">AVERAGE(OFFSET($DS$3,0,0,'Données projet'!$E$14+1,1))-AVERAGE(OFFSET($H$3,0,0,'Données projet'!$E$14+1,1))</f>
        <v>275.11574966125522</v>
      </c>
      <c r="DU26" s="60">
        <f t="shared" si="44"/>
        <v>299.21520121860345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10.199999999999999</v>
      </c>
      <c r="N27" s="14">
        <f>IF('Données projet'!$A$36&gt;35,N26+M27-V26,IF(A27&lt;'Données projet'!$A$36,$K$205^A27,IF(A27='Données projet'!$A$36,'Données projet'!$B$36,N26+M27-V26)))</f>
        <v>115.8</v>
      </c>
      <c r="O27" s="14">
        <f>N27*VLOOKUP('Données projet'!$B$9,Paramètres!$A$1:$I$89,3,0)*VLOOKUP('Données projet'!$B$9,Paramètres!$A$1:$I$89,5,0)</f>
        <v>101.16288</v>
      </c>
      <c r="P27" s="14">
        <f t="shared" si="33"/>
        <v>27.238850979377386</v>
      </c>
      <c r="Q27" s="22">
        <f t="shared" si="2"/>
        <v>223.63301478908227</v>
      </c>
      <c r="R27" s="60">
        <f t="shared" si="0"/>
        <v>509.63301478908227</v>
      </c>
      <c r="S27" s="60">
        <f ca="1">AVERAGE(OFFSET($R$3,0,0,'Données projet'!$E$9+1,1))-AVERAGE(OFFSET($H$3,0,0,'Données projet'!$E$9+1,1))</f>
        <v>369.34989412920129</v>
      </c>
      <c r="T27" s="60">
        <f t="shared" si="34"/>
        <v>371.26234252426553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14.8</v>
      </c>
      <c r="AI27" s="14">
        <f>IF('Données projet'!$A$62&gt;35,AI26+AH27-AQ26,IF(A27&lt;'Données projet'!$A$62,$AF$205^A27,IF(A27='Données projet'!$A$62,'Données projet'!$B$62,AI26+AH27-AQ26)))</f>
        <v>126.2</v>
      </c>
      <c r="AJ27" s="14">
        <f>AI27*VLOOKUP('Données projet'!$B$10,Paramètres!$A$1:$I$89,3,0)*VLOOKUP('Données projet'!$B$10,Paramètres!$A$1:$I$89,5,0)</f>
        <v>100.40472000000001</v>
      </c>
      <c r="AK27" s="14">
        <f t="shared" si="35"/>
        <v>27.058393830330502</v>
      </c>
      <c r="AL27" s="22">
        <f t="shared" si="4"/>
        <v>221.99825658782564</v>
      </c>
      <c r="AM27" s="60">
        <f t="shared" si="5"/>
        <v>507.99825658782561</v>
      </c>
      <c r="AN27" s="60">
        <f ca="1">AVERAGE(OFFSET($AM$3,0,0,'Données projet'!$E$10+1,1))-AVERAGE(OFFSET($H$3,0,0,'Données projet'!$E$10+1,1))</f>
        <v>370.79299728190904</v>
      </c>
      <c r="AO27" s="60">
        <f t="shared" si="36"/>
        <v>404.95703400805775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126.2</v>
      </c>
      <c r="BE27" s="14">
        <f>BD27*VLOOKUP('Données projet'!$B$11,Paramètres!$A$1:$I$89,3,0)*VLOOKUP('Données projet'!$B$11,Paramètres!$A$1:$I$89,5,0)</f>
        <v>92.529840000000007</v>
      </c>
      <c r="BF27" s="14">
        <f t="shared" si="37"/>
        <v>25.17437361121091</v>
      </c>
      <c r="BG27" s="22">
        <f t="shared" si="7"/>
        <v>205.00150537285901</v>
      </c>
      <c r="BH27" s="60">
        <f t="shared" si="8"/>
        <v>491.00150537285901</v>
      </c>
      <c r="BI27" s="60">
        <f ca="1">AVERAGE(OFFSET($BH$3,0,0,'Données projet'!$E$11+1,1))-AVERAGE(OFFSET($H$3,0,0,'Données projet'!$E$11+1,1))</f>
        <v>344.63665697794022</v>
      </c>
      <c r="BJ27" s="60">
        <f t="shared" si="38"/>
        <v>376.72762011188041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101.80000000000001</v>
      </c>
      <c r="BZ27" s="14">
        <f>BY27*VLOOKUP('Données projet'!$B$12,Paramètres!$A$1:$I$89,3,0)*VLOOKUP('Données projet'!$B$12,Paramètres!$A$1:$I$89,5,0)</f>
        <v>92.108640000000008</v>
      </c>
      <c r="CA27" s="14">
        <f t="shared" si="39"/>
        <v>25.073090701604293</v>
      </c>
      <c r="CB27" s="22">
        <f t="shared" si="10"/>
        <v>204.09151430529414</v>
      </c>
      <c r="CC27" s="60">
        <f t="shared" si="11"/>
        <v>490.09151430529414</v>
      </c>
      <c r="CD27" s="60">
        <f ca="1">AVERAGE(OFFSET($CC$3,0,0,'Données projet'!$E$12+1,1))-AVERAGE(OFFSET($H$3,0,0,'Données projet'!$E$12+1,1))</f>
        <v>529.25712986118265</v>
      </c>
      <c r="CE27" s="60">
        <f t="shared" si="40"/>
        <v>278.21741231699929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101.80000000000001</v>
      </c>
      <c r="CU27" s="18">
        <f>CT27*VLOOKUP('Données projet'!$B$13,Paramètres!$A$1:$I$89,3,0)*VLOOKUP('Données projet'!$B$13,Paramètres!$A$1:$I$89,5,0)</f>
        <v>85.756320000000017</v>
      </c>
      <c r="CV27" s="14">
        <f t="shared" si="41"/>
        <v>23.538892352228263</v>
      </c>
      <c r="CW27" s="22">
        <f t="shared" si="13"/>
        <v>190.35582818013089</v>
      </c>
      <c r="CX27" s="60">
        <f t="shared" si="14"/>
        <v>476.35582818013086</v>
      </c>
      <c r="CY27" s="60">
        <f ca="1">AVERAGE(OFFSET($CX$3,0,0,'Données projet'!$E$13+1,1))-AVERAGE(OFFSET($H$3,0,0,'Données projet'!$E$13+1,1))</f>
        <v>495.77338291316386</v>
      </c>
      <c r="CZ27" s="60">
        <f t="shared" si="42"/>
        <v>261.95434270986397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9.6</v>
      </c>
      <c r="DO27" s="13">
        <f>IF('Données projet'!$A$166&gt;35,DO26+DN27-DW26,IF(A27&lt;'Données projet'!$A$166,$DL$205^A27,IF(A27='Données projet'!$A$166,'Données projet'!$B$166,DO26+DN27-DW26)))</f>
        <v>128.39999999999998</v>
      </c>
      <c r="DP27" s="18">
        <f>DO27*VLOOKUP('Données projet'!$B$14,Paramètres!$A$1:$I$89,3,0)*VLOOKUP('Données projet'!$B$14,Paramètres!$A$1:$I$89,5,0)</f>
        <v>84.127679999999984</v>
      </c>
      <c r="DQ27" s="14">
        <f t="shared" si="43"/>
        <v>23.143449366413215</v>
      </c>
      <c r="DR27" s="22">
        <f t="shared" si="16"/>
        <v>186.83055031316962</v>
      </c>
      <c r="DS27" s="60">
        <f t="shared" si="17"/>
        <v>472.83055031316962</v>
      </c>
      <c r="DT27" s="60">
        <f ca="1">AVERAGE(OFFSET($DS$3,0,0,'Données projet'!$E$14+1,1))-AVERAGE(OFFSET($H$3,0,0,'Données projet'!$E$14+1,1))</f>
        <v>275.11574966125522</v>
      </c>
      <c r="DU27" s="60">
        <f t="shared" si="44"/>
        <v>299.21520121860345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126</v>
      </c>
      <c r="L28" s="13">
        <f>VLOOKUP(A28,'Données projet'!$A$35:$I$55,9,0)</f>
        <v>10.199999999999999</v>
      </c>
      <c r="M28" s="13">
        <f t="array" ref="M28">INDEX(L:L,MIN(IF(ISNUMBER(L28:L224),ROW(L28:L224),"")))</f>
        <v>10.199999999999999</v>
      </c>
      <c r="N28" s="14">
        <f>IF('Données projet'!$A$36&gt;35,N27+M28-V27,IF(A28&lt;'Données projet'!$A$36,$K$205^A28,IF(A28='Données projet'!$A$36,'Données projet'!$B$36,N27+M28-V27)))</f>
        <v>126</v>
      </c>
      <c r="O28" s="14">
        <f>N28*VLOOKUP('Données projet'!$B$9,Paramètres!$A$1:$I$89,3,0)*VLOOKUP('Données projet'!$B$9,Paramètres!$A$1:$I$89,5,0)</f>
        <v>110.07360000000001</v>
      </c>
      <c r="P28" s="14">
        <f t="shared" si="33"/>
        <v>29.348324631518828</v>
      </c>
      <c r="Q28" s="22">
        <f t="shared" si="2"/>
        <v>242.8265187332286</v>
      </c>
      <c r="R28" s="60">
        <f t="shared" si="0"/>
        <v>530.04874095545085</v>
      </c>
      <c r="S28" s="60">
        <f ca="1">AVERAGE(OFFSET($R$3,0,0,'Données projet'!$E$9+1,1))-AVERAGE(OFFSET($H$3,0,0,'Données projet'!$E$9+1,1))</f>
        <v>369.34989412920129</v>
      </c>
      <c r="T28" s="60">
        <f t="shared" si="34"/>
        <v>371.26234252426553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141</v>
      </c>
      <c r="AG28" s="13">
        <f>VLOOKUP(A28,'Données projet'!$A$61:$I$81,9,0)</f>
        <v>14.8</v>
      </c>
      <c r="AH28" s="13">
        <f t="array" ref="AH28">INDEX(AG:AG,MIN(IF(ISNUMBER(AG28:AG224),ROW(AG28:AG224),"")))</f>
        <v>14.8</v>
      </c>
      <c r="AI28" s="14">
        <f>IF('Données projet'!$A$62&gt;35,AI27+AH28-AQ27,IF(A28&lt;'Données projet'!$A$62,$AF$205^A28,IF(A28='Données projet'!$A$62,'Données projet'!$B$62,AI27+AH28-AQ27)))</f>
        <v>141</v>
      </c>
      <c r="AJ28" s="14">
        <f>AI28*VLOOKUP('Données projet'!$B$10,Paramètres!$A$1:$I$89,3,0)*VLOOKUP('Données projet'!$B$10,Paramètres!$A$1:$I$89,5,0)</f>
        <v>112.17959999999999</v>
      </c>
      <c r="AK28" s="14">
        <f t="shared" si="35"/>
        <v>29.8439274472838</v>
      </c>
      <c r="AL28" s="22">
        <f t="shared" si="4"/>
        <v>247.35764363735257</v>
      </c>
      <c r="AM28" s="60">
        <f t="shared" si="5"/>
        <v>534.57986585957474</v>
      </c>
      <c r="AN28" s="60">
        <f ca="1">AVERAGE(OFFSET($AM$3,0,0,'Données projet'!$E$10+1,1))-AVERAGE(OFFSET($H$3,0,0,'Données projet'!$E$10+1,1))</f>
        <v>370.79299728190904</v>
      </c>
      <c r="AO28" s="60">
        <f t="shared" si="36"/>
        <v>404.95703400805775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141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141</v>
      </c>
      <c r="BE28" s="14">
        <f>BD28*VLOOKUP('Données projet'!$B$11,Paramètres!$A$1:$I$89,3,0)*VLOOKUP('Données projet'!$B$11,Paramètres!$A$1:$I$89,5,0)</f>
        <v>103.38119999999999</v>
      </c>
      <c r="BF28" s="14">
        <f t="shared" si="37"/>
        <v>27.765956260923325</v>
      </c>
      <c r="BG28" s="22">
        <f t="shared" si="7"/>
        <v>228.41463048777476</v>
      </c>
      <c r="BH28" s="60">
        <f t="shared" si="8"/>
        <v>515.63685270999702</v>
      </c>
      <c r="BI28" s="60">
        <f ca="1">AVERAGE(OFFSET($BH$3,0,0,'Données projet'!$E$11+1,1))-AVERAGE(OFFSET($H$3,0,0,'Données projet'!$E$11+1,1))</f>
        <v>344.63665697794022</v>
      </c>
      <c r="BJ28" s="60">
        <f t="shared" si="38"/>
        <v>376.72762011188041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109.00000000000001</v>
      </c>
      <c r="BZ28" s="14">
        <f>BY28*VLOOKUP('Données projet'!$B$12,Paramètres!$A$1:$I$89,3,0)*VLOOKUP('Données projet'!$B$12,Paramètres!$A$1:$I$89,5,0)</f>
        <v>98.623200000000011</v>
      </c>
      <c r="CA28" s="14">
        <f t="shared" si="39"/>
        <v>26.633729748944933</v>
      </c>
      <c r="CB28" s="22">
        <f t="shared" si="10"/>
        <v>218.15581931274576</v>
      </c>
      <c r="CC28" s="60">
        <f t="shared" si="11"/>
        <v>505.37804153496802</v>
      </c>
      <c r="CD28" s="60">
        <f ca="1">AVERAGE(OFFSET($CC$3,0,0,'Données projet'!$E$12+1,1))-AVERAGE(OFFSET($H$3,0,0,'Données projet'!$E$12+1,1))</f>
        <v>529.25712986118265</v>
      </c>
      <c r="CE28" s="60">
        <f t="shared" si="40"/>
        <v>278.21741231699929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109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109.00000000000001</v>
      </c>
      <c r="CU28" s="18">
        <f>CT28*VLOOKUP('Données projet'!$B$13,Paramètres!$A$1:$I$89,3,0)*VLOOKUP('Données projet'!$B$13,Paramètres!$A$1:$I$89,5,0)</f>
        <v>91.821600000000018</v>
      </c>
      <c r="CV28" s="14">
        <f t="shared" si="41"/>
        <v>25.004037394505982</v>
      </c>
      <c r="CW28" s="22">
        <f t="shared" si="13"/>
        <v>203.47131846209797</v>
      </c>
      <c r="CX28" s="60">
        <f t="shared" si="14"/>
        <v>490.69354068432017</v>
      </c>
      <c r="CY28" s="60">
        <f ca="1">AVERAGE(OFFSET($CX$3,0,0,'Données projet'!$E$13+1,1))-AVERAGE(OFFSET($H$3,0,0,'Données projet'!$E$13+1,1))</f>
        <v>495.77338291316386</v>
      </c>
      <c r="CZ28" s="60">
        <f t="shared" si="42"/>
        <v>261.95434270986397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138</v>
      </c>
      <c r="DM28" s="13">
        <f>VLOOKUP(A28,'Données projet'!$A$165:$I$185,9,0)</f>
        <v>9.6</v>
      </c>
      <c r="DN28" s="13">
        <f t="array" ref="DN28">INDEX(DM:DM,MIN(IF(ISNUMBER(DM28:DM224),ROW(DM28:DM224),"")))</f>
        <v>9.6</v>
      </c>
      <c r="DO28" s="13">
        <f>IF('Données projet'!$A$166&gt;35,DO27+DN28-DW27,IF(A28&lt;'Données projet'!$A$166,$DL$205^A28,IF(A28='Données projet'!$A$166,'Données projet'!$B$166,DO27+DN28-DW27)))</f>
        <v>137.99999999999997</v>
      </c>
      <c r="DP28" s="18">
        <f>DO28*VLOOKUP('Données projet'!$B$14,Paramètres!$A$1:$I$89,3,0)*VLOOKUP('Données projet'!$B$14,Paramètres!$A$1:$I$89,5,0)</f>
        <v>90.417599999999979</v>
      </c>
      <c r="DQ28" s="14">
        <f t="shared" si="43"/>
        <v>24.665912907068826</v>
      </c>
      <c r="DR28" s="22">
        <f t="shared" si="16"/>
        <v>200.43711831314485</v>
      </c>
      <c r="DS28" s="60">
        <f t="shared" si="17"/>
        <v>487.65934053536705</v>
      </c>
      <c r="DT28" s="60">
        <f ca="1">AVERAGE(OFFSET($DS$3,0,0,'Données projet'!$E$14+1,1))-AVERAGE(OFFSET($H$3,0,0,'Données projet'!$E$14+1,1))</f>
        <v>275.11574966125522</v>
      </c>
      <c r="DU28" s="60">
        <f t="shared" si="44"/>
        <v>299.21520121860345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9.8000000000000007</v>
      </c>
      <c r="N29" s="14">
        <f>IF('Données projet'!$A$36&gt;35,N28+M29-V28,IF(A29&lt;'Données projet'!$A$36,$K$205^A29,IF(A29='Données projet'!$A$36,'Données projet'!$B$36,N28+M29-V28)))</f>
        <v>135.80000000000001</v>
      </c>
      <c r="O29" s="14">
        <f>N29*VLOOKUP('Données projet'!$B$9,Paramètres!$A$1:$I$89,3,0)*VLOOKUP('Données projet'!$B$9,Paramètres!$A$1:$I$89,5,0)</f>
        <v>118.63488000000002</v>
      </c>
      <c r="P29" s="14">
        <f t="shared" si="33"/>
        <v>31.356395772245804</v>
      </c>
      <c r="Q29" s="22">
        <f t="shared" si="2"/>
        <v>261.23480530332813</v>
      </c>
      <c r="R29" s="60">
        <f t="shared" si="0"/>
        <v>549.67924974777259</v>
      </c>
      <c r="S29" s="60">
        <f ca="1">AVERAGE(OFFSET($R$3,0,0,'Données projet'!$E$9+1,1))-AVERAGE(OFFSET($H$3,0,0,'Données projet'!$E$9+1,1))</f>
        <v>369.34989412920129</v>
      </c>
      <c r="T29" s="60">
        <f t="shared" si="34"/>
        <v>371.26234252426553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</v>
      </c>
      <c r="AI29" s="14">
        <f>IF('Données projet'!$A$62&gt;35,AI28+AH29-AQ28,IF(A29&lt;'Données projet'!$A$62,$AF$205^A29,IF(A29='Données projet'!$A$62,'Données projet'!$B$62,AI28+AH29-AQ28)))</f>
        <v>155.19999999999999</v>
      </c>
      <c r="AJ29" s="14">
        <f>AI29*VLOOKUP('Données projet'!$B$10,Paramètres!$A$1:$I$89,3,0)*VLOOKUP('Données projet'!$B$10,Paramètres!$A$1:$I$89,5,0)</f>
        <v>123.47712</v>
      </c>
      <c r="AK29" s="14">
        <f t="shared" si="35"/>
        <v>32.484627317240388</v>
      </c>
      <c r="AL29" s="22">
        <f t="shared" si="4"/>
        <v>271.63337657752703</v>
      </c>
      <c r="AM29" s="60">
        <f t="shared" si="5"/>
        <v>560.07782102197143</v>
      </c>
      <c r="AN29" s="60">
        <f ca="1">AVERAGE(OFFSET($AM$3,0,0,'Données projet'!$E$10+1,1))-AVERAGE(OFFSET($H$3,0,0,'Données projet'!$E$10+1,1))</f>
        <v>370.79299728190904</v>
      </c>
      <c r="AO29" s="60">
        <f t="shared" si="36"/>
        <v>404.95703400805775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155.19999999999999</v>
      </c>
      <c r="BE29" s="14">
        <f>BD29*VLOOKUP('Données projet'!$B$11,Paramètres!$A$1:$I$89,3,0)*VLOOKUP('Données projet'!$B$11,Paramètres!$A$1:$I$89,5,0)</f>
        <v>113.79263999999999</v>
      </c>
      <c r="BF29" s="14">
        <f t="shared" si="37"/>
        <v>30.222789639068861</v>
      </c>
      <c r="BG29" s="22">
        <f t="shared" si="7"/>
        <v>250.82687328804494</v>
      </c>
      <c r="BH29" s="60">
        <f t="shared" si="8"/>
        <v>539.27131773248936</v>
      </c>
      <c r="BI29" s="60">
        <f ca="1">AVERAGE(OFFSET($BH$3,0,0,'Données projet'!$E$11+1,1))-AVERAGE(OFFSET($H$3,0,0,'Données projet'!$E$11+1,1))</f>
        <v>344.63665697794022</v>
      </c>
      <c r="BJ29" s="60">
        <f t="shared" si="38"/>
        <v>376.72762011188041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76.184160000000006</v>
      </c>
      <c r="CA29" s="14">
        <f t="shared" si="39"/>
        <v>21.201554232857223</v>
      </c>
      <c r="CB29" s="22">
        <f t="shared" si="10"/>
        <v>169.613452288893</v>
      </c>
      <c r="CC29" s="60">
        <f t="shared" si="11"/>
        <v>458.05789673333743</v>
      </c>
      <c r="CD29" s="60">
        <f ca="1">AVERAGE(OFFSET($CC$3,0,0,'Données projet'!$E$12+1,1))-AVERAGE(OFFSET($H$3,0,0,'Données projet'!$E$12+1,1))</f>
        <v>529.25712986118265</v>
      </c>
      <c r="CE29" s="60">
        <f t="shared" si="40"/>
        <v>278.21741231699929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70.930080000000018</v>
      </c>
      <c r="CV29" s="14">
        <f t="shared" si="41"/>
        <v>19.904251483253464</v>
      </c>
      <c r="CW29" s="22">
        <f t="shared" si="13"/>
        <v>158.20312733333313</v>
      </c>
      <c r="CX29" s="60">
        <f t="shared" si="14"/>
        <v>446.64757177777756</v>
      </c>
      <c r="CY29" s="60">
        <f ca="1">AVERAGE(OFFSET($CX$3,0,0,'Données projet'!$E$13+1,1))-AVERAGE(OFFSET($H$3,0,0,'Données projet'!$E$13+1,1))</f>
        <v>495.77338291316386</v>
      </c>
      <c r="CZ29" s="60">
        <f t="shared" si="42"/>
        <v>261.95434270986397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8.8000000000000007</v>
      </c>
      <c r="DO29" s="13">
        <f>IF('Données projet'!$A$166&gt;35,DO28+DN29-DW28,IF(A29&lt;'Données projet'!$A$166,$DL$205^A29,IF(A29='Données projet'!$A$166,'Données projet'!$B$166,DO28+DN29-DW28)))</f>
        <v>146.79999999999998</v>
      </c>
      <c r="DP29" s="18">
        <f>DO29*VLOOKUP('Données projet'!$B$14,Paramètres!$A$1:$I$89,3,0)*VLOOKUP('Données projet'!$B$14,Paramètres!$A$1:$I$89,5,0)</f>
        <v>96.183359999999993</v>
      </c>
      <c r="DQ29" s="14">
        <f t="shared" si="43"/>
        <v>26.050686689664918</v>
      </c>
      <c r="DR29" s="22">
        <f t="shared" si="16"/>
        <v>212.89096465116634</v>
      </c>
      <c r="DS29" s="60">
        <f t="shared" si="17"/>
        <v>501.33540909561077</v>
      </c>
      <c r="DT29" s="60">
        <f ca="1">AVERAGE(OFFSET($DS$3,0,0,'Données projet'!$E$14+1,1))-AVERAGE(OFFSET($H$3,0,0,'Données projet'!$E$14+1,1))</f>
        <v>275.11574966125522</v>
      </c>
      <c r="DU29" s="60">
        <f t="shared" si="44"/>
        <v>299.21520121860345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9.8000000000000007</v>
      </c>
      <c r="N30" s="14">
        <f>IF('Données projet'!$A$36&gt;35,N29+M30-V29,IF(A30&lt;'Données projet'!$A$36,$K$205^A30,IF(A30='Données projet'!$A$36,'Données projet'!$B$36,N29+M30-V29)))</f>
        <v>145.60000000000002</v>
      </c>
      <c r="O30" s="14">
        <f>N30*VLOOKUP('Données projet'!$B$9,Paramètres!$A$1:$I$89,3,0)*VLOOKUP('Données projet'!$B$9,Paramètres!$A$1:$I$89,5,0)</f>
        <v>127.19616000000003</v>
      </c>
      <c r="P30" s="14">
        <f t="shared" si="33"/>
        <v>33.347654365530353</v>
      </c>
      <c r="Q30" s="22">
        <f t="shared" si="2"/>
        <v>279.6138100199654</v>
      </c>
      <c r="R30" s="60">
        <f t="shared" si="0"/>
        <v>569.28047668663203</v>
      </c>
      <c r="S30" s="60">
        <f ca="1">AVERAGE(OFFSET($R$3,0,0,'Données projet'!$E$9+1,1))-AVERAGE(OFFSET($H$3,0,0,'Données projet'!$E$9+1,1))</f>
        <v>369.34989412920129</v>
      </c>
      <c r="T30" s="60">
        <f t="shared" si="34"/>
        <v>371.26234252426553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</v>
      </c>
      <c r="AI30" s="14">
        <f>IF('Données projet'!$A$62&gt;35,AI29+AH30-AQ29,IF(A30&lt;'Données projet'!$A$62,$AF$205^A30,IF(A30='Données projet'!$A$62,'Données projet'!$B$62,AI29+AH30-AQ29)))</f>
        <v>169.39999999999998</v>
      </c>
      <c r="AJ30" s="14">
        <f>AI30*VLOOKUP('Données projet'!$B$10,Paramètres!$A$1:$I$89,3,0)*VLOOKUP('Données projet'!$B$10,Paramètres!$A$1:$I$89,5,0)</f>
        <v>134.77464000000001</v>
      </c>
      <c r="AK30" s="14">
        <f t="shared" si="35"/>
        <v>35.097311734235603</v>
      </c>
      <c r="AL30" s="22">
        <f t="shared" si="4"/>
        <v>295.86031593712704</v>
      </c>
      <c r="AM30" s="60">
        <f t="shared" si="5"/>
        <v>585.52698260379373</v>
      </c>
      <c r="AN30" s="60">
        <f ca="1">AVERAGE(OFFSET($AM$3,0,0,'Données projet'!$E$10+1,1))-AVERAGE(OFFSET($H$3,0,0,'Données projet'!$E$10+1,1))</f>
        <v>370.79299728190904</v>
      </c>
      <c r="AO30" s="60">
        <f t="shared" si="36"/>
        <v>404.95703400805775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169.39999999999998</v>
      </c>
      <c r="BE30" s="14">
        <f>BD30*VLOOKUP('Données projet'!$B$11,Paramètres!$A$1:$I$89,3,0)*VLOOKUP('Données projet'!$B$11,Paramètres!$A$1:$I$89,5,0)</f>
        <v>124.20407999999998</v>
      </c>
      <c r="BF30" s="14">
        <f t="shared" si="37"/>
        <v>32.653558222527792</v>
      </c>
      <c r="BG30" s="22">
        <f t="shared" si="7"/>
        <v>273.19371990423588</v>
      </c>
      <c r="BH30" s="60">
        <f t="shared" si="8"/>
        <v>562.86038657090262</v>
      </c>
      <c r="BI30" s="60">
        <f ca="1">AVERAGE(OFFSET($BH$3,0,0,'Données projet'!$E$11+1,1))-AVERAGE(OFFSET($H$3,0,0,'Données projet'!$E$11+1,1))</f>
        <v>344.63665697794022</v>
      </c>
      <c r="BJ30" s="60">
        <f t="shared" si="38"/>
        <v>376.72762011188041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84.508320000000026</v>
      </c>
      <c r="CA30" s="14">
        <f t="shared" si="39"/>
        <v>23.235950088324714</v>
      </c>
      <c r="CB30" s="22">
        <f t="shared" si="10"/>
        <v>187.65460373716556</v>
      </c>
      <c r="CC30" s="60">
        <f t="shared" si="11"/>
        <v>477.32127040383227</v>
      </c>
      <c r="CD30" s="60">
        <f ca="1">AVERAGE(OFFSET($CC$3,0,0,'Données projet'!$E$12+1,1))-AVERAGE(OFFSET($H$3,0,0,'Données projet'!$E$12+1,1))</f>
        <v>529.25712986118265</v>
      </c>
      <c r="CE30" s="60">
        <f t="shared" si="40"/>
        <v>278.21741231699929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78.680160000000029</v>
      </c>
      <c r="CV30" s="14">
        <f t="shared" si="41"/>
        <v>21.814164609384523</v>
      </c>
      <c r="CW30" s="22">
        <f t="shared" si="13"/>
        <v>175.02761536134474</v>
      </c>
      <c r="CX30" s="60">
        <f t="shared" si="14"/>
        <v>464.69428202801146</v>
      </c>
      <c r="CY30" s="60">
        <f ca="1">AVERAGE(OFFSET($CX$3,0,0,'Données projet'!$E$13+1,1))-AVERAGE(OFFSET($H$3,0,0,'Données projet'!$E$13+1,1))</f>
        <v>495.77338291316386</v>
      </c>
      <c r="CZ30" s="60">
        <f t="shared" si="42"/>
        <v>261.95434270986397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8.8000000000000007</v>
      </c>
      <c r="DO30" s="13">
        <f>IF('Données projet'!$A$166&gt;35,DO29+DN30-DW29,IF(A30&lt;'Données projet'!$A$166,$DL$205^A30,IF(A30='Données projet'!$A$166,'Données projet'!$B$166,DO29+DN30-DW29)))</f>
        <v>155.6</v>
      </c>
      <c r="DP30" s="18">
        <f>DO30*VLOOKUP('Données projet'!$B$14,Paramètres!$A$1:$I$89,3,0)*VLOOKUP('Données projet'!$B$14,Paramètres!$A$1:$I$89,5,0)</f>
        <v>101.94911999999999</v>
      </c>
      <c r="DQ30" s="14">
        <f t="shared" si="43"/>
        <v>27.425825538347155</v>
      </c>
      <c r="DR30" s="22">
        <f t="shared" si="16"/>
        <v>225.32803014595461</v>
      </c>
      <c r="DS30" s="60">
        <f t="shared" si="17"/>
        <v>514.99469681262133</v>
      </c>
      <c r="DT30" s="60">
        <f ca="1">AVERAGE(OFFSET($DS$3,0,0,'Données projet'!$E$14+1,1))-AVERAGE(OFFSET($H$3,0,0,'Données projet'!$E$14+1,1))</f>
        <v>275.11574966125522</v>
      </c>
      <c r="DU30" s="60">
        <f t="shared" si="44"/>
        <v>299.21520121860345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9.8000000000000007</v>
      </c>
      <c r="N31" s="14">
        <f>IF('Données projet'!$A$36&gt;35,N30+M31-V30,IF(A31&lt;'Données projet'!$A$36,$K$205^A31,IF(A31='Données projet'!$A$36,'Données projet'!$B$36,N30+M31-V30)))</f>
        <v>155.40000000000003</v>
      </c>
      <c r="O31" s="14">
        <f>N31*VLOOKUP('Données projet'!$B$9,Paramètres!$A$1:$I$89,3,0)*VLOOKUP('Données projet'!$B$9,Paramètres!$A$1:$I$89,5,0)</f>
        <v>135.75744000000006</v>
      </c>
      <c r="P31" s="14">
        <f t="shared" si="33"/>
        <v>35.323360776061499</v>
      </c>
      <c r="Q31" s="22">
        <f t="shared" si="2"/>
        <v>297.96572801830717</v>
      </c>
      <c r="R31" s="60">
        <f t="shared" si="0"/>
        <v>588.85461690719603</v>
      </c>
      <c r="S31" s="60">
        <f ca="1">AVERAGE(OFFSET($R$3,0,0,'Données projet'!$E$9+1,1))-AVERAGE(OFFSET($H$3,0,0,'Données projet'!$E$9+1,1))</f>
        <v>369.34989412920129</v>
      </c>
      <c r="T31" s="60">
        <f t="shared" si="34"/>
        <v>371.26234252426553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</v>
      </c>
      <c r="AI31" s="14">
        <f>IF('Données projet'!$A$62&gt;35,AI30+AH31-AQ30,IF(A31&lt;'Données projet'!$A$62,$AF$205^A31,IF(A31='Données projet'!$A$62,'Données projet'!$B$62,AI30+AH31-AQ30)))</f>
        <v>183.59999999999997</v>
      </c>
      <c r="AJ31" s="14">
        <f>AI31*VLOOKUP('Données projet'!$B$10,Paramètres!$A$1:$I$89,3,0)*VLOOKUP('Données projet'!$B$10,Paramètres!$A$1:$I$89,5,0)</f>
        <v>146.07215999999997</v>
      </c>
      <c r="AK31" s="14">
        <f t="shared" si="35"/>
        <v>37.684596095571003</v>
      </c>
      <c r="AL31" s="22">
        <f t="shared" si="4"/>
        <v>320.04301686645277</v>
      </c>
      <c r="AM31" s="60">
        <f t="shared" si="5"/>
        <v>610.93190575534163</v>
      </c>
      <c r="AN31" s="60">
        <f ca="1">AVERAGE(OFFSET($AM$3,0,0,'Données projet'!$E$10+1,1))-AVERAGE(OFFSET($H$3,0,0,'Données projet'!$E$10+1,1))</f>
        <v>370.79299728190904</v>
      </c>
      <c r="AO31" s="60">
        <f t="shared" si="36"/>
        <v>404.95703400805775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183.59999999999997</v>
      </c>
      <c r="BE31" s="14">
        <f>BD31*VLOOKUP('Données projet'!$B$11,Paramètres!$A$1:$I$89,3,0)*VLOOKUP('Données projet'!$B$11,Paramètres!$A$1:$I$89,5,0)</f>
        <v>134.61551999999998</v>
      </c>
      <c r="BF31" s="14">
        <f t="shared" si="37"/>
        <v>35.060695303875569</v>
      </c>
      <c r="BG31" s="22">
        <f t="shared" si="7"/>
        <v>295.51940832091657</v>
      </c>
      <c r="BH31" s="60">
        <f t="shared" si="8"/>
        <v>586.40829720980537</v>
      </c>
      <c r="BI31" s="60">
        <f ca="1">AVERAGE(OFFSET($BH$3,0,0,'Données projet'!$E$11+1,1))-AVERAGE(OFFSET($H$3,0,0,'Données projet'!$E$11+1,1))</f>
        <v>344.63665697794022</v>
      </c>
      <c r="BJ31" s="60">
        <f t="shared" si="38"/>
        <v>376.72762011188041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92.832480000000018</v>
      </c>
      <c r="CA31" s="14">
        <f t="shared" si="39"/>
        <v>25.247114117480137</v>
      </c>
      <c r="CB31" s="22">
        <f t="shared" si="10"/>
        <v>205.65529308794461</v>
      </c>
      <c r="CC31" s="60">
        <f t="shared" si="11"/>
        <v>496.54418197683344</v>
      </c>
      <c r="CD31" s="60">
        <f ca="1">AVERAGE(OFFSET($CC$3,0,0,'Données projet'!$E$12+1,1))-AVERAGE(OFFSET($H$3,0,0,'Données projet'!$E$12+1,1))</f>
        <v>529.25712986118265</v>
      </c>
      <c r="CE31" s="60">
        <f t="shared" si="40"/>
        <v>278.21741231699929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86.430240000000026</v>
      </c>
      <c r="CV31" s="14">
        <f t="shared" si="41"/>
        <v>23.702267442352529</v>
      </c>
      <c r="CW31" s="22">
        <f t="shared" si="13"/>
        <v>191.81411712876402</v>
      </c>
      <c r="CX31" s="60">
        <f t="shared" si="14"/>
        <v>482.70300601765291</v>
      </c>
      <c r="CY31" s="60">
        <f ca="1">AVERAGE(OFFSET($CX$3,0,0,'Données projet'!$E$13+1,1))-AVERAGE(OFFSET($H$3,0,0,'Données projet'!$E$13+1,1))</f>
        <v>495.77338291316386</v>
      </c>
      <c r="CZ31" s="60">
        <f t="shared" si="42"/>
        <v>261.95434270986397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8.8000000000000007</v>
      </c>
      <c r="DO31" s="13">
        <f>IF('Données projet'!$A$166&gt;35,DO30+DN31-DW30,IF(A31&lt;'Données projet'!$A$166,$DL$205^A31,IF(A31='Données projet'!$A$166,'Données projet'!$B$166,DO30+DN31-DW30)))</f>
        <v>164.4</v>
      </c>
      <c r="DP31" s="18">
        <f>DO31*VLOOKUP('Données projet'!$B$14,Paramètres!$A$1:$I$89,3,0)*VLOOKUP('Données projet'!$B$14,Paramètres!$A$1:$I$89,5,0)</f>
        <v>107.71488000000001</v>
      </c>
      <c r="DQ31" s="14">
        <f t="shared" si="43"/>
        <v>28.791936453559611</v>
      </c>
      <c r="DR31" s="22">
        <f t="shared" si="16"/>
        <v>237.74937198994965</v>
      </c>
      <c r="DS31" s="60">
        <f t="shared" si="17"/>
        <v>528.63826087883854</v>
      </c>
      <c r="DT31" s="60">
        <f ca="1">AVERAGE(OFFSET($DS$3,0,0,'Données projet'!$E$14+1,1))-AVERAGE(OFFSET($H$3,0,0,'Données projet'!$E$14+1,1))</f>
        <v>275.11574966125522</v>
      </c>
      <c r="DU31" s="60">
        <f t="shared" si="44"/>
        <v>299.21520121860345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9.8000000000000007</v>
      </c>
      <c r="N32" s="14">
        <f>IF('Données projet'!$A$36&gt;35,N31+M32-V31,IF(A32&lt;'Données projet'!$A$36,$K$205^A32,IF(A32='Données projet'!$A$36,'Données projet'!$B$36,N31+M32-V31)))</f>
        <v>165.20000000000005</v>
      </c>
      <c r="O32" s="14">
        <f>N32*VLOOKUP('Données projet'!$B$9,Paramètres!$A$1:$I$89,3,0)*VLOOKUP('Données projet'!$B$9,Paramètres!$A$1:$I$89,5,0)</f>
        <v>144.31872000000004</v>
      </c>
      <c r="P32" s="14">
        <f t="shared" si="33"/>
        <v>37.284607417926182</v>
      </c>
      <c r="Q32" s="22">
        <f t="shared" si="2"/>
        <v>316.2924619195548</v>
      </c>
      <c r="R32" s="60">
        <f t="shared" si="0"/>
        <v>608.40357303066594</v>
      </c>
      <c r="S32" s="60">
        <f ca="1">AVERAGE(OFFSET($R$3,0,0,'Données projet'!$E$9+1,1))-AVERAGE(OFFSET($H$3,0,0,'Données projet'!$E$9+1,1))</f>
        <v>369.34989412920129</v>
      </c>
      <c r="T32" s="60">
        <f t="shared" si="34"/>
        <v>371.26234252426553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</v>
      </c>
      <c r="AI32" s="14">
        <f>IF('Données projet'!$A$62&gt;35,AI31+AH32-AQ31,IF(A32&lt;'Données projet'!$A$62,$AF$205^A32,IF(A32='Données projet'!$A$62,'Données projet'!$B$62,AI31+AH32-AQ31)))</f>
        <v>197.79999999999995</v>
      </c>
      <c r="AJ32" s="14">
        <f>AI32*VLOOKUP('Données projet'!$B$10,Paramètres!$A$1:$I$89,3,0)*VLOOKUP('Données projet'!$B$10,Paramètres!$A$1:$I$89,5,0)</f>
        <v>157.36967999999996</v>
      </c>
      <c r="AK32" s="14">
        <f t="shared" si="35"/>
        <v>40.248668251494934</v>
      </c>
      <c r="AL32" s="22">
        <f t="shared" si="4"/>
        <v>344.18528987135363</v>
      </c>
      <c r="AM32" s="60">
        <f t="shared" si="5"/>
        <v>636.29640098246477</v>
      </c>
      <c r="AN32" s="60">
        <f ca="1">AVERAGE(OFFSET($AM$3,0,0,'Données projet'!$E$10+1,1))-AVERAGE(OFFSET($H$3,0,0,'Données projet'!$E$10+1,1))</f>
        <v>370.79299728190904</v>
      </c>
      <c r="AO32" s="60">
        <f t="shared" si="36"/>
        <v>404.95703400805775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197.79999999999995</v>
      </c>
      <c r="BE32" s="14">
        <f>BD32*VLOOKUP('Données projet'!$B$11,Paramètres!$A$1:$I$89,3,0)*VLOOKUP('Données projet'!$B$11,Paramètres!$A$1:$I$89,5,0)</f>
        <v>145.02695999999997</v>
      </c>
      <c r="BF32" s="14">
        <f t="shared" si="37"/>
        <v>37.446236397854975</v>
      </c>
      <c r="BG32" s="22">
        <f t="shared" si="7"/>
        <v>317.80748372626402</v>
      </c>
      <c r="BH32" s="60">
        <f t="shared" si="8"/>
        <v>609.91859483737517</v>
      </c>
      <c r="BI32" s="60">
        <f ca="1">AVERAGE(OFFSET($BH$3,0,0,'Données projet'!$E$11+1,1))-AVERAGE(OFFSET($H$3,0,0,'Données projet'!$E$11+1,1))</f>
        <v>344.63665697794022</v>
      </c>
      <c r="BJ32" s="60">
        <f t="shared" si="38"/>
        <v>376.72762011188041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101.15664000000001</v>
      </c>
      <c r="CA32" s="14">
        <f t="shared" si="39"/>
        <v>27.237366379381644</v>
      </c>
      <c r="CB32" s="22">
        <f t="shared" si="10"/>
        <v>223.61956111075639</v>
      </c>
      <c r="CC32" s="60">
        <f t="shared" si="11"/>
        <v>515.73067222186751</v>
      </c>
      <c r="CD32" s="60">
        <f ca="1">AVERAGE(OFFSET($CC$3,0,0,'Données projet'!$E$12+1,1))-AVERAGE(OFFSET($H$3,0,0,'Données projet'!$E$12+1,1))</f>
        <v>529.25712986118265</v>
      </c>
      <c r="CE32" s="60">
        <f t="shared" si="40"/>
        <v>278.21741231699929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94.180320000000037</v>
      </c>
      <c r="CV32" s="14">
        <f t="shared" si="41"/>
        <v>25.570738079029208</v>
      </c>
      <c r="CW32" s="22">
        <f t="shared" si="13"/>
        <v>208.56642615430928</v>
      </c>
      <c r="CX32" s="60">
        <f t="shared" si="14"/>
        <v>500.67753726542043</v>
      </c>
      <c r="CY32" s="60">
        <f ca="1">AVERAGE(OFFSET($CX$3,0,0,'Données projet'!$E$13+1,1))-AVERAGE(OFFSET($H$3,0,0,'Données projet'!$E$13+1,1))</f>
        <v>495.77338291316386</v>
      </c>
      <c r="CZ32" s="60">
        <f t="shared" si="42"/>
        <v>261.95434270986397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8.8000000000000007</v>
      </c>
      <c r="DO32" s="13">
        <f>IF('Données projet'!$A$166&gt;35,DO31+DN32-DW31,IF(A32&lt;'Données projet'!$A$166,$DL$205^A32,IF(A32='Données projet'!$A$166,'Données projet'!$B$166,DO31+DN32-DW31)))</f>
        <v>173.20000000000002</v>
      </c>
      <c r="DP32" s="18">
        <f>DO32*VLOOKUP('Données projet'!$B$14,Paramètres!$A$1:$I$89,3,0)*VLOOKUP('Données projet'!$B$14,Paramètres!$A$1:$I$89,5,0)</f>
        <v>113.48064000000001</v>
      </c>
      <c r="DQ32" s="14">
        <f t="shared" si="43"/>
        <v>30.149557782596045</v>
      </c>
      <c r="DR32" s="22">
        <f t="shared" si="16"/>
        <v>250.15592780468808</v>
      </c>
      <c r="DS32" s="60">
        <f t="shared" si="17"/>
        <v>542.26703891579928</v>
      </c>
      <c r="DT32" s="60">
        <f ca="1">AVERAGE(OFFSET($DS$3,0,0,'Données projet'!$E$14+1,1))-AVERAGE(OFFSET($H$3,0,0,'Données projet'!$E$14+1,1))</f>
        <v>275.11574966125522</v>
      </c>
      <c r="DU32" s="60">
        <f t="shared" si="44"/>
        <v>299.21520121860345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175</v>
      </c>
      <c r="L33" s="13">
        <f>VLOOKUP(A33,'Données projet'!$A$35:$I$55,9,0)</f>
        <v>9.8000000000000007</v>
      </c>
      <c r="M33" s="13">
        <f t="array" ref="M33">INDEX(L:L,MIN(IF(ISNUMBER(L33:L229),ROW(L33:L229),"")))</f>
        <v>9.8000000000000007</v>
      </c>
      <c r="N33" s="14">
        <f>IF('Données projet'!$A$36&gt;35,N32+M33-V32,IF(A33&lt;'Données projet'!$A$36,$K$205^A33,IF(A33='Données projet'!$A$36,'Données projet'!$B$36,N32+M33-V32)))</f>
        <v>175.00000000000006</v>
      </c>
      <c r="O33" s="14">
        <f>N33*VLOOKUP('Données projet'!$B$9,Paramètres!$A$1:$I$89,3,0)*VLOOKUP('Données projet'!$B$9,Paramètres!$A$1:$I$89,5,0)</f>
        <v>152.88000000000008</v>
      </c>
      <c r="P33" s="14">
        <f t="shared" si="33"/>
        <v>39.232349774697887</v>
      </c>
      <c r="Q33" s="22">
        <f t="shared" si="2"/>
        <v>334.59567585759896</v>
      </c>
      <c r="R33" s="60">
        <f t="shared" si="0"/>
        <v>627.92900919093222</v>
      </c>
      <c r="S33" s="60">
        <f ca="1">AVERAGE(OFFSET($R$3,0,0,'Données projet'!$E$9+1,1))-AVERAGE(OFFSET($H$3,0,0,'Données projet'!$E$9+1,1))</f>
        <v>369.34989412920129</v>
      </c>
      <c r="T33" s="60">
        <f t="shared" si="34"/>
        <v>371.26234252426553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212</v>
      </c>
      <c r="AG33" s="13">
        <f>VLOOKUP(A33,'Données projet'!$A$61:$I$81,9,0)</f>
        <v>14.2</v>
      </c>
      <c r="AH33" s="13">
        <f t="array" ref="AH33">INDEX(AG:AG,MIN(IF(ISNUMBER(AG33:AG229),ROW(AG33:AG229),"")))</f>
        <v>14.2</v>
      </c>
      <c r="AI33" s="14">
        <f>IF('Données projet'!$A$62&gt;35,AI32+AH33-AQ32,IF(A33&lt;'Données projet'!$A$62,$AF$205^A33,IF(A33='Données projet'!$A$62,'Données projet'!$B$62,AI32+AH33-AQ32)))</f>
        <v>211.99999999999994</v>
      </c>
      <c r="AJ33" s="14">
        <f>AI33*VLOOKUP('Données projet'!$B$10,Paramètres!$A$1:$I$89,3,0)*VLOOKUP('Données projet'!$B$10,Paramètres!$A$1:$I$89,5,0)</f>
        <v>168.66719999999998</v>
      </c>
      <c r="AK33" s="14">
        <f t="shared" si="35"/>
        <v>42.791384119459089</v>
      </c>
      <c r="AL33" s="22">
        <f t="shared" si="4"/>
        <v>368.29036734139117</v>
      </c>
      <c r="AM33" s="60">
        <f t="shared" si="5"/>
        <v>661.62370067472443</v>
      </c>
      <c r="AN33" s="60">
        <f ca="1">AVERAGE(OFFSET($AM$3,0,0,'Données projet'!$E$10+1,1))-AVERAGE(OFFSET($H$3,0,0,'Données projet'!$E$10+1,1))</f>
        <v>370.79299728190904</v>
      </c>
      <c r="AO33" s="60">
        <f t="shared" si="36"/>
        <v>404.95703400805775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212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211.99999999999994</v>
      </c>
      <c r="BE33" s="14">
        <f>BD33*VLOOKUP('Données projet'!$B$11,Paramètres!$A$1:$I$89,3,0)*VLOOKUP('Données projet'!$B$11,Paramètres!$A$1:$I$89,5,0)</f>
        <v>155.43839999999997</v>
      </c>
      <c r="BF33" s="14">
        <f t="shared" si="37"/>
        <v>39.811908198208918</v>
      </c>
      <c r="BG33" s="22">
        <f t="shared" si="7"/>
        <v>340.06095344521378</v>
      </c>
      <c r="BH33" s="60">
        <f t="shared" si="8"/>
        <v>633.3942867785471</v>
      </c>
      <c r="BI33" s="60">
        <f ca="1">AVERAGE(OFFSET($BH$3,0,0,'Données projet'!$E$11+1,1))-AVERAGE(OFFSET($H$3,0,0,'Données projet'!$E$11+1,1))</f>
        <v>344.63665697794022</v>
      </c>
      <c r="BJ33" s="60">
        <f t="shared" si="38"/>
        <v>376.72762011188041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109.48080000000002</v>
      </c>
      <c r="CA33" s="14">
        <f t="shared" si="39"/>
        <v>29.208623339903898</v>
      </c>
      <c r="CB33" s="22">
        <f t="shared" si="10"/>
        <v>241.55074565033269</v>
      </c>
      <c r="CC33" s="60">
        <f t="shared" si="11"/>
        <v>534.88407898366597</v>
      </c>
      <c r="CD33" s="60">
        <f ca="1">AVERAGE(OFFSET($CC$3,0,0,'Données projet'!$E$12+1,1))-AVERAGE(OFFSET($H$3,0,0,'Données projet'!$E$12+1,1))</f>
        <v>529.25712986118265</v>
      </c>
      <c r="CE33" s="60">
        <f t="shared" si="40"/>
        <v>278.21741231699929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101.93040000000003</v>
      </c>
      <c r="CV33" s="14">
        <f t="shared" si="41"/>
        <v>27.421375718582158</v>
      </c>
      <c r="CW33" s="22">
        <f t="shared" si="13"/>
        <v>225.28767604319731</v>
      </c>
      <c r="CX33" s="60">
        <f t="shared" si="14"/>
        <v>518.62100937653065</v>
      </c>
      <c r="CY33" s="60">
        <f ca="1">AVERAGE(OFFSET($CX$3,0,0,'Données projet'!$E$13+1,1))-AVERAGE(OFFSET($H$3,0,0,'Données projet'!$E$13+1,1))</f>
        <v>495.77338291316386</v>
      </c>
      <c r="CZ33" s="60">
        <f t="shared" si="42"/>
        <v>261.95434270986397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182</v>
      </c>
      <c r="DM33" s="13">
        <f>VLOOKUP(A33,'Données projet'!$A$165:$I$185,9,0)</f>
        <v>8.8000000000000007</v>
      </c>
      <c r="DN33" s="13">
        <f t="array" ref="DN33">INDEX(DM:DM,MIN(IF(ISNUMBER(DM33:DM229),ROW(DM33:DM229),"")))</f>
        <v>8.8000000000000007</v>
      </c>
      <c r="DO33" s="13">
        <f>IF('Données projet'!$A$166&gt;35,DO32+DN33-DW32,IF(A33&lt;'Données projet'!$A$166,$DL$205^A33,IF(A33='Données projet'!$A$166,'Données projet'!$B$166,DO32+DN33-DW32)))</f>
        <v>182.00000000000003</v>
      </c>
      <c r="DP33" s="18">
        <f>DO33*VLOOKUP('Données projet'!$B$14,Paramètres!$A$1:$I$89,3,0)*VLOOKUP('Données projet'!$B$14,Paramètres!$A$1:$I$89,5,0)</f>
        <v>119.24640000000002</v>
      </c>
      <c r="DQ33" s="14">
        <f t="shared" si="43"/>
        <v>31.499170077667042</v>
      </c>
      <c r="DR33" s="22">
        <f t="shared" si="16"/>
        <v>262.54853455193677</v>
      </c>
      <c r="DS33" s="60">
        <f t="shared" si="17"/>
        <v>555.88186788527014</v>
      </c>
      <c r="DT33" s="60">
        <f ca="1">AVERAGE(OFFSET($DS$3,0,0,'Données projet'!$E$14+1,1))-AVERAGE(OFFSET($H$3,0,0,'Données projet'!$E$14+1,1))</f>
        <v>275.11574966125522</v>
      </c>
      <c r="DU33" s="60">
        <f t="shared" si="44"/>
        <v>299.21520121860345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44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9.1999999999999993</v>
      </c>
      <c r="N34" s="14">
        <f>IF('Données projet'!$A$36&gt;35,N33+M34-V33,IF(A34&lt;'Données projet'!$A$36,$K$205^A34,IF(A34='Données projet'!$A$36,'Données projet'!$B$36,N33+M34-V33)))</f>
        <v>131.20000000000005</v>
      </c>
      <c r="O34" s="14">
        <f>N34*VLOOKUP('Données projet'!$B$9,Paramètres!$A$1:$I$89,3,0)*VLOOKUP('Données projet'!$B$9,Paramètres!$A$1:$I$89,5,0)</f>
        <v>114.61632000000006</v>
      </c>
      <c r="P34" s="14">
        <f t="shared" si="33"/>
        <v>30.416009647934438</v>
      </c>
      <c r="Q34" s="22">
        <f t="shared" si="2"/>
        <v>252.5979741368192</v>
      </c>
      <c r="R34" s="60">
        <f t="shared" si="0"/>
        <v>545.93130747015255</v>
      </c>
      <c r="S34" s="60">
        <f ca="1">AVERAGE(OFFSET($R$3,0,0,'Données projet'!$E$9+1,1))-AVERAGE(OFFSET($H$3,0,0,'Données projet'!$E$9+1,1))</f>
        <v>369.34989412920129</v>
      </c>
      <c r="T34" s="60">
        <f t="shared" si="34"/>
        <v>371.26234252426553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12.8</v>
      </c>
      <c r="AI34" s="14">
        <f>IF('Données projet'!$A$62&gt;35,AI33+AH34-AQ33,IF(A34&lt;'Données projet'!$A$62,$AF$205^A34,IF(A34='Données projet'!$A$62,'Données projet'!$B$62,AI33+AH34-AQ33)))</f>
        <v>154.79999999999995</v>
      </c>
      <c r="AJ34" s="14">
        <f>AI34*VLOOKUP('Données projet'!$B$10,Paramètres!$A$1:$I$89,3,0)*VLOOKUP('Données projet'!$B$10,Paramètres!$A$1:$I$89,5,0)</f>
        <v>123.15887999999997</v>
      </c>
      <c r="AK34" s="14">
        <f t="shared" si="35"/>
        <v>32.410638331814873</v>
      </c>
      <c r="AL34" s="22">
        <f t="shared" si="4"/>
        <v>270.95024442791083</v>
      </c>
      <c r="AM34" s="60">
        <f t="shared" si="5"/>
        <v>564.28357776124415</v>
      </c>
      <c r="AN34" s="60">
        <f ca="1">AVERAGE(OFFSET($AM$3,0,0,'Données projet'!$E$10+1,1))-AVERAGE(OFFSET($H$3,0,0,'Données projet'!$E$10+1,1))</f>
        <v>370.79299728190904</v>
      </c>
      <c r="AO34" s="60">
        <f t="shared" si="36"/>
        <v>404.95703400805775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</v>
      </c>
      <c r="BD34" s="13">
        <f>IF('Données projet'!$A$88&gt;35,BD33+BC34-BL33,IF(A34&lt;'Données projet'!$A$88,$BA$205^A34,IF(A34='Données projet'!$A$88,'Données projet'!$B$88,BD33+BC34-BL33)))</f>
        <v>154.79999999999995</v>
      </c>
      <c r="BE34" s="14">
        <f>BD34*VLOOKUP('Données projet'!$B$11,Paramètres!$A$1:$I$89,3,0)*VLOOKUP('Données projet'!$B$11,Paramètres!$A$1:$I$89,5,0)</f>
        <v>113.49935999999995</v>
      </c>
      <c r="BF34" s="14">
        <f t="shared" si="37"/>
        <v>30.153952354273027</v>
      </c>
      <c r="BG34" s="22">
        <f t="shared" si="7"/>
        <v>250.19618568369205</v>
      </c>
      <c r="BH34" s="60">
        <f t="shared" si="8"/>
        <v>543.52951901702534</v>
      </c>
      <c r="BI34" s="60">
        <f ca="1">AVERAGE(OFFSET($BH$3,0,0,'Données projet'!$E$11+1,1))-AVERAGE(OFFSET($H$3,0,0,'Données projet'!$E$11+1,1))</f>
        <v>344.63665697794022</v>
      </c>
      <c r="BJ34" s="60">
        <f t="shared" si="38"/>
        <v>376.72762011188041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131.80000000000004</v>
      </c>
      <c r="BZ34" s="14">
        <f>BY34*VLOOKUP('Données projet'!$B$12,Paramètres!$A$1:$I$89,3,0)*VLOOKUP('Données projet'!$B$12,Paramètres!$A$1:$I$89,5,0)</f>
        <v>119.25264000000003</v>
      </c>
      <c r="CA34" s="14">
        <f t="shared" si="39"/>
        <v>31.500626518374375</v>
      </c>
      <c r="CB34" s="22">
        <f t="shared" si="10"/>
        <v>262.56193918616879</v>
      </c>
      <c r="CC34" s="60">
        <f t="shared" si="11"/>
        <v>555.8952725195021</v>
      </c>
      <c r="CD34" s="60">
        <f ca="1">AVERAGE(OFFSET($CC$3,0,0,'Données projet'!$E$12+1,1))-AVERAGE(OFFSET($H$3,0,0,'Données projet'!$E$12+1,1))</f>
        <v>529.25712986118265</v>
      </c>
      <c r="CE34" s="60">
        <f t="shared" si="40"/>
        <v>278.21741231699929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131.80000000000004</v>
      </c>
      <c r="CU34" s="18">
        <f>CT34*VLOOKUP('Données projet'!$B$13,Paramètres!$A$1:$I$89,3,0)*VLOOKUP('Données projet'!$B$13,Paramètres!$A$1:$I$89,5,0)</f>
        <v>111.02832000000005</v>
      </c>
      <c r="CV34" s="14">
        <f t="shared" si="41"/>
        <v>29.573133422929669</v>
      </c>
      <c r="CW34" s="22">
        <f t="shared" si="13"/>
        <v>244.88086471160261</v>
      </c>
      <c r="CX34" s="60">
        <f t="shared" si="14"/>
        <v>538.21419804493598</v>
      </c>
      <c r="CY34" s="60">
        <f ca="1">AVERAGE(OFFSET($CX$3,0,0,'Données projet'!$E$13+1,1))-AVERAGE(OFFSET($H$3,0,0,'Données projet'!$E$13+1,1))</f>
        <v>495.77338291316386</v>
      </c>
      <c r="CZ34" s="60">
        <f t="shared" si="42"/>
        <v>261.95434270986397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8.6</v>
      </c>
      <c r="DO34" s="13">
        <f>IF('Données projet'!$A$166&gt;35,DO33+DN34-DW33,IF(A34&lt;'Données projet'!$A$166,$DL$205^A34,IF(A34='Données projet'!$A$166,'Données projet'!$B$166,DO33+DN34-DW33)))</f>
        <v>146.60000000000002</v>
      </c>
      <c r="DP34" s="18">
        <f>DO34*VLOOKUP('Données projet'!$B$14,Paramètres!$A$1:$I$89,3,0)*VLOOKUP('Données projet'!$B$14,Paramètres!$A$1:$I$89,5,0)</f>
        <v>96.052320000000023</v>
      </c>
      <c r="DQ34" s="14">
        <f t="shared" si="43"/>
        <v>26.019324001860248</v>
      </c>
      <c r="DR34" s="22">
        <f t="shared" si="16"/>
        <v>212.60811330323997</v>
      </c>
      <c r="DS34" s="60">
        <f t="shared" si="17"/>
        <v>505.94144663657329</v>
      </c>
      <c r="DT34" s="60">
        <f ca="1">AVERAGE(OFFSET($DS$3,0,0,'Données projet'!$E$14+1,1))-AVERAGE(OFFSET($H$3,0,0,'Données projet'!$E$14+1,1))</f>
        <v>275.11574966125522</v>
      </c>
      <c r="DU34" s="60">
        <f t="shared" si="44"/>
        <v>299.21520121860345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9.1999999999999993</v>
      </c>
      <c r="N35" s="14">
        <f>IF('Données projet'!$A$36&gt;35,N34+M35-V34,IF(A35&lt;'Données projet'!$A$36,$K$205^A35,IF(A35='Données projet'!$A$36,'Données projet'!$B$36,N34+M35-V34)))</f>
        <v>140.40000000000003</v>
      </c>
      <c r="O35" s="14">
        <f>N35*VLOOKUP('Données projet'!$B$9,Paramètres!$A$1:$I$89,3,0)*VLOOKUP('Données projet'!$B$9,Paramètres!$A$1:$I$89,5,0)</f>
        <v>122.65344000000005</v>
      </c>
      <c r="P35" s="14">
        <f t="shared" si="33"/>
        <v>32.293080640759037</v>
      </c>
      <c r="Q35" s="22">
        <f t="shared" ref="Q35:Q66" si="53">(O35+P35)*0.475*44/12</f>
        <v>269.8651901159887</v>
      </c>
      <c r="R35" s="60">
        <f t="shared" si="0"/>
        <v>563.19852344932201</v>
      </c>
      <c r="S35" s="60">
        <f ca="1">AVERAGE(OFFSET($R$3,0,0,'Données projet'!$E$9+1,1))-AVERAGE(OFFSET($H$3,0,0,'Données projet'!$E$9+1,1))</f>
        <v>369.34989412920129</v>
      </c>
      <c r="T35" s="60">
        <f t="shared" si="34"/>
        <v>371.26234252426553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12.8</v>
      </c>
      <c r="AI35" s="14">
        <f>IF('Données projet'!$A$62&gt;35,AI34+AH35-AQ34,IF(A35&lt;'Données projet'!$A$62,$AF$205^A35,IF(A35='Données projet'!$A$62,'Données projet'!$B$62,AI34+AH35-AQ34)))</f>
        <v>167.59999999999997</v>
      </c>
      <c r="AJ35" s="14">
        <f>AI35*VLOOKUP('Données projet'!$B$10,Paramètres!$A$1:$I$89,3,0)*VLOOKUP('Données projet'!$B$10,Paramètres!$A$1:$I$89,5,0)</f>
        <v>133.34255999999999</v>
      </c>
      <c r="AK35" s="14">
        <f t="shared" si="35"/>
        <v>34.767581918978188</v>
      </c>
      <c r="AL35" s="22">
        <f t="shared" si="4"/>
        <v>292.79183050888702</v>
      </c>
      <c r="AM35" s="60">
        <f t="shared" si="5"/>
        <v>586.12516384222033</v>
      </c>
      <c r="AN35" s="60">
        <f ca="1">AVERAGE(OFFSET($AM$3,0,0,'Données projet'!$E$10+1,1))-AVERAGE(OFFSET($H$3,0,0,'Données projet'!$E$10+1,1))</f>
        <v>370.79299728190904</v>
      </c>
      <c r="AO35" s="60">
        <f t="shared" si="36"/>
        <v>404.95703400805775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</v>
      </c>
      <c r="BD35" s="13">
        <f>IF('Données projet'!$A$88&gt;35,BD34+BC35-BL34,IF(A35&lt;'Données projet'!$A$88,$BA$205^A35,IF(A35='Données projet'!$A$88,'Données projet'!$B$88,BD34+BC35-BL34)))</f>
        <v>167.59999999999997</v>
      </c>
      <c r="BE35" s="14">
        <f>BD35*VLOOKUP('Données projet'!$B$11,Paramètres!$A$1:$I$89,3,0)*VLOOKUP('Données projet'!$B$11,Paramètres!$A$1:$I$89,5,0)</f>
        <v>122.88431999999997</v>
      </c>
      <c r="BF35" s="14">
        <f t="shared" si="37"/>
        <v>32.346786815026803</v>
      </c>
      <c r="BG35" s="22">
        <f t="shared" si="7"/>
        <v>270.36084436950495</v>
      </c>
      <c r="BH35" s="60">
        <f t="shared" si="8"/>
        <v>563.69417770283826</v>
      </c>
      <c r="BI35" s="60">
        <f ca="1">AVERAGE(OFFSET($BH$3,0,0,'Données projet'!$E$11+1,1))-AVERAGE(OFFSET($H$3,0,0,'Données projet'!$E$11+1,1))</f>
        <v>344.63665697794022</v>
      </c>
      <c r="BJ35" s="60">
        <f t="shared" si="38"/>
        <v>376.72762011188041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142.60000000000005</v>
      </c>
      <c r="BZ35" s="14">
        <f>BY35*VLOOKUP('Données projet'!$B$12,Paramètres!$A$1:$I$89,3,0)*VLOOKUP('Données projet'!$B$12,Paramètres!$A$1:$I$89,5,0)</f>
        <v>129.02448000000004</v>
      </c>
      <c r="CA35" s="14">
        <f t="shared" si="39"/>
        <v>33.770846580616279</v>
      </c>
      <c r="CB35" s="22">
        <f t="shared" si="10"/>
        <v>283.53519379457339</v>
      </c>
      <c r="CC35" s="60">
        <f t="shared" si="11"/>
        <v>576.86852712790665</v>
      </c>
      <c r="CD35" s="60">
        <f ca="1">AVERAGE(OFFSET($CC$3,0,0,'Données projet'!$E$12+1,1))-AVERAGE(OFFSET($H$3,0,0,'Données projet'!$E$12+1,1))</f>
        <v>529.25712986118265</v>
      </c>
      <c r="CE35" s="60">
        <f t="shared" si="40"/>
        <v>278.21741231699929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142.60000000000005</v>
      </c>
      <c r="CU35" s="18">
        <f>CT35*VLOOKUP('Données projet'!$B$13,Paramètres!$A$1:$I$89,3,0)*VLOOKUP('Données projet'!$B$13,Paramètres!$A$1:$I$89,5,0)</f>
        <v>120.12624000000005</v>
      </c>
      <c r="CV35" s="14">
        <f t="shared" si="41"/>
        <v>31.704440899018444</v>
      </c>
      <c r="CW35" s="22">
        <f t="shared" si="13"/>
        <v>264.43843589912387</v>
      </c>
      <c r="CX35" s="60">
        <f t="shared" si="14"/>
        <v>557.77176923245725</v>
      </c>
      <c r="CY35" s="60">
        <f ca="1">AVERAGE(OFFSET($CX$3,0,0,'Données projet'!$E$13+1,1))-AVERAGE(OFFSET($H$3,0,0,'Données projet'!$E$13+1,1))</f>
        <v>495.77338291316386</v>
      </c>
      <c r="CZ35" s="60">
        <f t="shared" si="42"/>
        <v>261.95434270986397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8.6</v>
      </c>
      <c r="DO35" s="13">
        <f>IF('Données projet'!$A$166&gt;35,DO34+DN35-DW34,IF(A35&lt;'Données projet'!$A$166,$DL$205^A35,IF(A35='Données projet'!$A$166,'Données projet'!$B$166,DO34+DN35-DW34)))</f>
        <v>155.20000000000002</v>
      </c>
      <c r="DP35" s="18">
        <f>DO35*VLOOKUP('Données projet'!$B$14,Paramètres!$A$1:$I$89,3,0)*VLOOKUP('Données projet'!$B$14,Paramètres!$A$1:$I$89,5,0)</f>
        <v>101.68704000000002</v>
      </c>
      <c r="DQ35" s="14">
        <f t="shared" si="43"/>
        <v>27.363519398004541</v>
      </c>
      <c r="DR35" s="22">
        <f t="shared" si="16"/>
        <v>224.76305761819128</v>
      </c>
      <c r="DS35" s="60">
        <f t="shared" si="17"/>
        <v>518.09639095152465</v>
      </c>
      <c r="DT35" s="60">
        <f ca="1">AVERAGE(OFFSET($DS$3,0,0,'Données projet'!$E$14+1,1))-AVERAGE(OFFSET($H$3,0,0,'Données projet'!$E$14+1,1))</f>
        <v>275.11574966125522</v>
      </c>
      <c r="DU35" s="60">
        <f t="shared" si="44"/>
        <v>299.21520121860345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9.1999999999999993</v>
      </c>
      <c r="N36" s="14">
        <f>IF('Données projet'!$A$36&gt;35,N35+M36-V35,IF(A36&lt;'Données projet'!$A$36,$K$205^A36,IF(A36='Données projet'!$A$36,'Données projet'!$B$36,N35+M36-V35)))</f>
        <v>149.60000000000002</v>
      </c>
      <c r="O36" s="14">
        <f>N36*VLOOKUP('Données projet'!$B$9,Paramètres!$A$1:$I$89,3,0)*VLOOKUP('Données projet'!$B$9,Paramètres!$A$1:$I$89,5,0)</f>
        <v>130.69056000000003</v>
      </c>
      <c r="P36" s="14">
        <f t="shared" si="33"/>
        <v>34.155878238422723</v>
      </c>
      <c r="Q36" s="22">
        <f t="shared" si="53"/>
        <v>287.10754659858628</v>
      </c>
      <c r="R36" s="60">
        <f t="shared" si="0"/>
        <v>580.44087993191965</v>
      </c>
      <c r="S36" s="60">
        <f ca="1">AVERAGE(OFFSET($R$3,0,0,'Données projet'!$E$9+1,1))-AVERAGE(OFFSET($H$3,0,0,'Données projet'!$E$9+1,1))</f>
        <v>369.34989412920129</v>
      </c>
      <c r="T36" s="60">
        <f t="shared" si="34"/>
        <v>371.26234252426553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12.8</v>
      </c>
      <c r="AI36" s="14">
        <f>IF('Données projet'!$A$62&gt;35,AI35+AH36-AQ35,IF(A36&lt;'Données projet'!$A$62,$AF$205^A36,IF(A36='Données projet'!$A$62,'Données projet'!$B$62,AI35+AH36-AQ35)))</f>
        <v>180.39999999999998</v>
      </c>
      <c r="AJ36" s="14">
        <f>AI36*VLOOKUP('Données projet'!$B$10,Paramètres!$A$1:$I$89,3,0)*VLOOKUP('Données projet'!$B$10,Paramètres!$A$1:$I$89,5,0)</f>
        <v>143.52624</v>
      </c>
      <c r="AK36" s="14">
        <f t="shared" si="35"/>
        <v>37.103644337236275</v>
      </c>
      <c r="AL36" s="22">
        <f t="shared" si="4"/>
        <v>314.59704855401981</v>
      </c>
      <c r="AM36" s="60">
        <f t="shared" si="5"/>
        <v>607.93038188735318</v>
      </c>
      <c r="AN36" s="60">
        <f ca="1">AVERAGE(OFFSET($AM$3,0,0,'Données projet'!$E$10+1,1))-AVERAGE(OFFSET($H$3,0,0,'Données projet'!$E$10+1,1))</f>
        <v>370.79299728190904</v>
      </c>
      <c r="AO36" s="60">
        <f t="shared" si="36"/>
        <v>404.95703400805775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</v>
      </c>
      <c r="BD36" s="13">
        <f>IF('Données projet'!$A$88&gt;35,BD35+BC36-BL35,IF(A36&lt;'Données projet'!$A$88,$BA$205^A36,IF(A36='Données projet'!$A$88,'Données projet'!$B$88,BD35+BC36-BL35)))</f>
        <v>180.39999999999998</v>
      </c>
      <c r="BE36" s="14">
        <f>BD36*VLOOKUP('Données projet'!$B$11,Paramètres!$A$1:$I$89,3,0)*VLOOKUP('Données projet'!$B$11,Paramètres!$A$1:$I$89,5,0)</f>
        <v>132.26927999999998</v>
      </c>
      <c r="BF36" s="14">
        <f t="shared" si="37"/>
        <v>34.52019401964877</v>
      </c>
      <c r="BG36" s="22">
        <f t="shared" si="7"/>
        <v>290.49166725088827</v>
      </c>
      <c r="BH36" s="60">
        <f t="shared" si="8"/>
        <v>583.82500058422158</v>
      </c>
      <c r="BI36" s="60">
        <f ca="1">AVERAGE(OFFSET($BH$3,0,0,'Données projet'!$E$11+1,1))-AVERAGE(OFFSET($H$3,0,0,'Données projet'!$E$11+1,1))</f>
        <v>344.63665697794022</v>
      </c>
      <c r="BJ36" s="60">
        <f t="shared" si="38"/>
        <v>376.72762011188041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153.40000000000006</v>
      </c>
      <c r="BZ36" s="14">
        <f>BY36*VLOOKUP('Données projet'!$B$12,Paramètres!$A$1:$I$89,3,0)*VLOOKUP('Données projet'!$B$12,Paramètres!$A$1:$I$89,5,0)</f>
        <v>138.79632000000007</v>
      </c>
      <c r="CA36" s="14">
        <f t="shared" si="39"/>
        <v>36.021120886354588</v>
      </c>
      <c r="CB36" s="22">
        <f t="shared" si="10"/>
        <v>304.47370954373434</v>
      </c>
      <c r="CC36" s="60">
        <f t="shared" si="11"/>
        <v>597.80704287706772</v>
      </c>
      <c r="CD36" s="60">
        <f ca="1">AVERAGE(OFFSET($CC$3,0,0,'Données projet'!$E$12+1,1))-AVERAGE(OFFSET($H$3,0,0,'Données projet'!$E$12+1,1))</f>
        <v>529.25712986118265</v>
      </c>
      <c r="CE36" s="60">
        <f t="shared" si="40"/>
        <v>278.21741231699929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153.40000000000006</v>
      </c>
      <c r="CU36" s="18">
        <f>CT36*VLOOKUP('Données projet'!$B$13,Paramètres!$A$1:$I$89,3,0)*VLOOKUP('Données projet'!$B$13,Paramètres!$A$1:$I$89,5,0)</f>
        <v>129.22416000000007</v>
      </c>
      <c r="CV36" s="14">
        <f t="shared" si="41"/>
        <v>33.81702308029579</v>
      </c>
      <c r="CW36" s="22">
        <f t="shared" si="13"/>
        <v>283.96339386484857</v>
      </c>
      <c r="CX36" s="60">
        <f t="shared" si="14"/>
        <v>577.29672719818188</v>
      </c>
      <c r="CY36" s="60">
        <f ca="1">AVERAGE(OFFSET($CX$3,0,0,'Données projet'!$E$13+1,1))-AVERAGE(OFFSET($H$3,0,0,'Données projet'!$E$13+1,1))</f>
        <v>495.77338291316386</v>
      </c>
      <c r="CZ36" s="60">
        <f t="shared" si="42"/>
        <v>261.95434270986397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8.6</v>
      </c>
      <c r="DO36" s="13">
        <f>IF('Données projet'!$A$166&gt;35,DO35+DN36-DW35,IF(A36&lt;'Données projet'!$A$166,$DL$205^A36,IF(A36='Données projet'!$A$166,'Données projet'!$B$166,DO35+DN36-DW35)))</f>
        <v>163.80000000000001</v>
      </c>
      <c r="DP36" s="18">
        <f>DO36*VLOOKUP('Données projet'!$B$14,Paramètres!$A$1:$I$89,3,0)*VLOOKUP('Données projet'!$B$14,Paramètres!$A$1:$I$89,5,0)</f>
        <v>107.32176000000001</v>
      </c>
      <c r="DQ36" s="14">
        <f t="shared" si="43"/>
        <v>28.699067963776873</v>
      </c>
      <c r="DR36" s="22">
        <f t="shared" si="16"/>
        <v>236.90294203691141</v>
      </c>
      <c r="DS36" s="60">
        <f t="shared" si="17"/>
        <v>530.2362753702447</v>
      </c>
      <c r="DT36" s="60">
        <f ca="1">AVERAGE(OFFSET($DS$3,0,0,'Données projet'!$E$14+1,1))-AVERAGE(OFFSET($H$3,0,0,'Données projet'!$E$14+1,1))</f>
        <v>275.11574966125522</v>
      </c>
      <c r="DU36" s="60">
        <f t="shared" si="44"/>
        <v>299.21520121860345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9.1999999999999993</v>
      </c>
      <c r="N37" s="14">
        <f>IF('Données projet'!$A$36&gt;35,N36+M37-V36,IF(A37&lt;'Données projet'!$A$36,$K$205^A37,IF(A37='Données projet'!$A$36,'Données projet'!$B$36,N36+M37-V36)))</f>
        <v>158.80000000000001</v>
      </c>
      <c r="O37" s="14">
        <f>N37*VLOOKUP('Données projet'!$B$9,Paramètres!$A$1:$I$89,3,0)*VLOOKUP('Données projet'!$B$9,Paramètres!$A$1:$I$89,5,0)</f>
        <v>138.72768000000002</v>
      </c>
      <c r="P37" s="14">
        <f t="shared" si="33"/>
        <v>36.005380160492741</v>
      </c>
      <c r="Q37" s="22">
        <f t="shared" si="53"/>
        <v>304.32674644619152</v>
      </c>
      <c r="R37" s="60">
        <f t="shared" si="0"/>
        <v>597.66007977952484</v>
      </c>
      <c r="S37" s="60">
        <f ca="1">AVERAGE(OFFSET($R$3,0,0,'Données projet'!$E$9+1,1))-AVERAGE(OFFSET($H$3,0,0,'Données projet'!$E$9+1,1))</f>
        <v>369.34989412920129</v>
      </c>
      <c r="T37" s="60">
        <f t="shared" si="34"/>
        <v>371.26234252426553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12.8</v>
      </c>
      <c r="AI37" s="14">
        <f>IF('Données projet'!$A$62&gt;35,AI36+AH37-AQ36,IF(A37&lt;'Données projet'!$A$62,$AF$205^A37,IF(A37='Données projet'!$A$62,'Données projet'!$B$62,AI36+AH37-AQ36)))</f>
        <v>193.2</v>
      </c>
      <c r="AJ37" s="14">
        <f>AI37*VLOOKUP('Données projet'!$B$10,Paramètres!$A$1:$I$89,3,0)*VLOOKUP('Données projet'!$B$10,Paramètres!$A$1:$I$89,5,0)</f>
        <v>153.70992000000001</v>
      </c>
      <c r="AK37" s="14">
        <f t="shared" si="35"/>
        <v>39.420475690379831</v>
      </c>
      <c r="AL37" s="22">
        <f t="shared" si="4"/>
        <v>336.3687724940782</v>
      </c>
      <c r="AM37" s="60">
        <f t="shared" si="5"/>
        <v>629.70210582741151</v>
      </c>
      <c r="AN37" s="60">
        <f ca="1">AVERAGE(OFFSET($AM$3,0,0,'Données projet'!$E$10+1,1))-AVERAGE(OFFSET($H$3,0,0,'Données projet'!$E$10+1,1))</f>
        <v>370.79299728190904</v>
      </c>
      <c r="AO37" s="60">
        <f t="shared" si="36"/>
        <v>404.95703400805775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</v>
      </c>
      <c r="BD37" s="13">
        <f>IF('Données projet'!$A$88&gt;35,BD36+BC37-BL36,IF(A37&lt;'Données projet'!$A$88,$BA$205^A37,IF(A37='Données projet'!$A$88,'Données projet'!$B$88,BD36+BC37-BL36)))</f>
        <v>193.2</v>
      </c>
      <c r="BE37" s="14">
        <f>BD37*VLOOKUP('Données projet'!$B$11,Paramètres!$A$1:$I$89,3,0)*VLOOKUP('Données projet'!$B$11,Paramètres!$A$1:$I$89,5,0)</f>
        <v>141.65423999999999</v>
      </c>
      <c r="BF37" s="14">
        <f t="shared" si="37"/>
        <v>36.675709178601963</v>
      </c>
      <c r="BG37" s="22">
        <f t="shared" si="7"/>
        <v>310.59132815273171</v>
      </c>
      <c r="BH37" s="60">
        <f t="shared" si="8"/>
        <v>603.92466148606502</v>
      </c>
      <c r="BI37" s="60">
        <f ca="1">AVERAGE(OFFSET($BH$3,0,0,'Données projet'!$E$11+1,1))-AVERAGE(OFFSET($H$3,0,0,'Données projet'!$E$11+1,1))</f>
        <v>344.63665697794022</v>
      </c>
      <c r="BJ37" s="60">
        <f t="shared" si="38"/>
        <v>376.72762011188041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164.20000000000007</v>
      </c>
      <c r="BZ37" s="14">
        <f>BY37*VLOOKUP('Données projet'!$B$12,Paramètres!$A$1:$I$89,3,0)*VLOOKUP('Données projet'!$B$12,Paramètres!$A$1:$I$89,5,0)</f>
        <v>148.56816000000006</v>
      </c>
      <c r="CA37" s="14">
        <f t="shared" si="39"/>
        <v>38.253013425360628</v>
      </c>
      <c r="CB37" s="22">
        <f t="shared" si="10"/>
        <v>325.38021038250321</v>
      </c>
      <c r="CC37" s="60">
        <f t="shared" si="11"/>
        <v>618.71354371583652</v>
      </c>
      <c r="CD37" s="60">
        <f ca="1">AVERAGE(OFFSET($CC$3,0,0,'Données projet'!$E$12+1,1))-AVERAGE(OFFSET($H$3,0,0,'Données projet'!$E$12+1,1))</f>
        <v>529.25712986118265</v>
      </c>
      <c r="CE37" s="60">
        <f t="shared" si="40"/>
        <v>278.21741231699929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164.20000000000007</v>
      </c>
      <c r="CU37" s="18">
        <f>CT37*VLOOKUP('Données projet'!$B$13,Paramètres!$A$1:$I$89,3,0)*VLOOKUP('Données projet'!$B$13,Paramètres!$A$1:$I$89,5,0)</f>
        <v>138.32208000000008</v>
      </c>
      <c r="CV37" s="14">
        <f t="shared" si="41"/>
        <v>35.912348257500334</v>
      </c>
      <c r="CW37" s="22">
        <f t="shared" si="13"/>
        <v>303.45829588181323</v>
      </c>
      <c r="CX37" s="60">
        <f t="shared" si="14"/>
        <v>596.79162921514649</v>
      </c>
      <c r="CY37" s="60">
        <f ca="1">AVERAGE(OFFSET($CX$3,0,0,'Données projet'!$E$13+1,1))-AVERAGE(OFFSET($H$3,0,0,'Données projet'!$E$13+1,1))</f>
        <v>495.77338291316386</v>
      </c>
      <c r="CZ37" s="60">
        <f t="shared" si="42"/>
        <v>261.95434270986397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8.6</v>
      </c>
      <c r="DO37" s="13">
        <f>IF('Données projet'!$A$166&gt;35,DO36+DN37-DW36,IF(A37&lt;'Données projet'!$A$166,$DL$205^A37,IF(A37='Données projet'!$A$166,'Données projet'!$B$166,DO36+DN37-DW36)))</f>
        <v>172.4</v>
      </c>
      <c r="DP37" s="18">
        <f>DO37*VLOOKUP('Données projet'!$B$14,Paramètres!$A$1:$I$89,3,0)*VLOOKUP('Données projet'!$B$14,Paramètres!$A$1:$I$89,5,0)</f>
        <v>112.95648</v>
      </c>
      <c r="DQ37" s="14">
        <f t="shared" si="43"/>
        <v>30.026475458997034</v>
      </c>
      <c r="DR37" s="22">
        <f t="shared" si="16"/>
        <v>249.0286474244198</v>
      </c>
      <c r="DS37" s="60">
        <f t="shared" si="17"/>
        <v>542.36198075775314</v>
      </c>
      <c r="DT37" s="60">
        <f ca="1">AVERAGE(OFFSET($DS$3,0,0,'Données projet'!$E$14+1,1))-AVERAGE(OFFSET($H$3,0,0,'Données projet'!$E$14+1,1))</f>
        <v>275.11574966125522</v>
      </c>
      <c r="DU37" s="60">
        <f t="shared" si="44"/>
        <v>299.21520121860345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168</v>
      </c>
      <c r="L38" s="13">
        <f>VLOOKUP(A38,'Données projet'!$A$35:$I$55,9,0)</f>
        <v>9.1999999999999993</v>
      </c>
      <c r="M38" s="13">
        <f t="array" ref="M38">INDEX(L:L,MIN(IF(ISNUMBER(L38:L234),ROW(L38:L234),"")))</f>
        <v>9.1999999999999993</v>
      </c>
      <c r="N38" s="14">
        <f>IF('Données projet'!$A$36&gt;35,N37+M38-V37,IF(A38&lt;'Données projet'!$A$36,$K$205^A38,IF(A38='Données projet'!$A$36,'Données projet'!$B$36,N37+M38-V37)))</f>
        <v>168</v>
      </c>
      <c r="O38" s="14">
        <f>N38*VLOOKUP('Données projet'!$B$9,Paramètres!$A$1:$I$89,3,0)*VLOOKUP('Données projet'!$B$9,Paramètres!$A$1:$I$89,5,0)</f>
        <v>146.76480000000004</v>
      </c>
      <c r="P38" s="14">
        <f t="shared" si="33"/>
        <v>37.842444439956665</v>
      </c>
      <c r="Q38" s="22">
        <f t="shared" si="53"/>
        <v>321.52428406625791</v>
      </c>
      <c r="R38" s="60">
        <f t="shared" si="0"/>
        <v>614.85761739959116</v>
      </c>
      <c r="S38" s="60">
        <f ca="1">AVERAGE(OFFSET($R$3,0,0,'Données projet'!$E$9+1,1))-AVERAGE(OFFSET($H$3,0,0,'Données projet'!$E$9+1,1))</f>
        <v>369.34989412920129</v>
      </c>
      <c r="T38" s="60">
        <f t="shared" si="34"/>
        <v>371.26234252426553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</v>
      </c>
      <c r="AG38" s="13">
        <f>VLOOKUP(A38,'Données projet'!$A$61:$I$81,9,0)</f>
        <v>12.8</v>
      </c>
      <c r="AH38" s="13">
        <f t="array" ref="AH38">INDEX(AG:AG,MIN(IF(ISNUMBER(AG38:AG234),ROW(AG38:AG234),"")))</f>
        <v>12.8</v>
      </c>
      <c r="AI38" s="14">
        <f>IF('Données projet'!$A$62&gt;35,AI37+AH38-AQ37,IF(A38&lt;'Données projet'!$A$62,$AF$205^A38,IF(A38='Données projet'!$A$62,'Données projet'!$B$62,AI37+AH38-AQ37)))</f>
        <v>206</v>
      </c>
      <c r="AJ38" s="14">
        <f>AI38*VLOOKUP('Données projet'!$B$10,Paramètres!$A$1:$I$89,3,0)*VLOOKUP('Données projet'!$B$10,Paramètres!$A$1:$I$89,5,0)</f>
        <v>163.89360000000002</v>
      </c>
      <c r="AK38" s="14">
        <f t="shared" si="35"/>
        <v>41.71949506642347</v>
      </c>
      <c r="AL38" s="22">
        <f t="shared" si="4"/>
        <v>358.10947390735419</v>
      </c>
      <c r="AM38" s="60">
        <f t="shared" si="5"/>
        <v>651.44280724068744</v>
      </c>
      <c r="AN38" s="60">
        <f ca="1">AVERAGE(OFFSET($AM$3,0,0,'Données projet'!$E$10+1,1))-AVERAGE(OFFSET($H$3,0,0,'Données projet'!$E$10+1,1))</f>
        <v>370.79299728190904</v>
      </c>
      <c r="AO38" s="60">
        <f t="shared" si="36"/>
        <v>404.95703400805775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12.8</v>
      </c>
      <c r="BC38" s="13">
        <f t="array" ref="BC38">INDEX(BB:BB,MIN(IF(ISNUMBER(BB38:BB234),ROW(BB38:BB234),"")))</f>
        <v>12.8</v>
      </c>
      <c r="BD38" s="13">
        <f>IF('Données projet'!$A$88&gt;35,BD37+BC38-BL37,IF(A38&lt;'Données projet'!$A$88,$BA$205^A38,IF(A38='Données projet'!$A$88,'Données projet'!$B$88,BD37+BC38-BL37)))</f>
        <v>206</v>
      </c>
      <c r="BE38" s="14">
        <f>BD38*VLOOKUP('Données projet'!$B$11,Paramètres!$A$1:$I$89,3,0)*VLOOKUP('Données projet'!$B$11,Paramètres!$A$1:$I$89,5,0)</f>
        <v>151.03919999999999</v>
      </c>
      <c r="BF38" s="14">
        <f t="shared" si="37"/>
        <v>38.814652571726079</v>
      </c>
      <c r="BG38" s="22">
        <f t="shared" si="7"/>
        <v>330.66212656242288</v>
      </c>
      <c r="BH38" s="60">
        <f t="shared" si="8"/>
        <v>623.9954598957562</v>
      </c>
      <c r="BI38" s="60">
        <f ca="1">AVERAGE(OFFSET($BH$3,0,0,'Données projet'!$E$11+1,1))-AVERAGE(OFFSET($H$3,0,0,'Données projet'!$E$11+1,1))</f>
        <v>344.63665697794022</v>
      </c>
      <c r="BJ38" s="60">
        <f t="shared" si="38"/>
        <v>376.72762011188041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175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175.00000000000009</v>
      </c>
      <c r="BZ38" s="14">
        <f>BY38*VLOOKUP('Données projet'!$B$12,Paramètres!$A$1:$I$89,3,0)*VLOOKUP('Données projet'!$B$12,Paramètres!$A$1:$I$89,5,0)</f>
        <v>158.34000000000006</v>
      </c>
      <c r="CA38" s="14">
        <f t="shared" si="39"/>
        <v>40.467870812652819</v>
      </c>
      <c r="CB38" s="22">
        <f t="shared" si="10"/>
        <v>346.25704166537042</v>
      </c>
      <c r="CC38" s="60">
        <f t="shared" si="11"/>
        <v>639.59037499870374</v>
      </c>
      <c r="CD38" s="60">
        <f ca="1">AVERAGE(OFFSET($CC$3,0,0,'Données projet'!$E$12+1,1))-AVERAGE(OFFSET($H$3,0,0,'Données projet'!$E$12+1,1))</f>
        <v>529.25712986118265</v>
      </c>
      <c r="CE38" s="60">
        <f t="shared" si="40"/>
        <v>278.21741231699929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175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175.00000000000009</v>
      </c>
      <c r="CU38" s="18">
        <f>CT38*VLOOKUP('Données projet'!$B$13,Paramètres!$A$1:$I$89,3,0)*VLOOKUP('Données projet'!$B$13,Paramètres!$A$1:$I$89,5,0)</f>
        <v>147.4200000000001</v>
      </c>
      <c r="CV38" s="14">
        <f t="shared" si="41"/>
        <v>37.991680647570327</v>
      </c>
      <c r="CW38" s="22">
        <f t="shared" si="13"/>
        <v>322.92534379451848</v>
      </c>
      <c r="CX38" s="60">
        <f t="shared" si="14"/>
        <v>616.2586771278518</v>
      </c>
      <c r="CY38" s="60">
        <f ca="1">AVERAGE(OFFSET($CX$3,0,0,'Données projet'!$E$13+1,1))-AVERAGE(OFFSET($H$3,0,0,'Données projet'!$E$13+1,1))</f>
        <v>495.77338291316386</v>
      </c>
      <c r="CZ38" s="60">
        <f t="shared" si="42"/>
        <v>261.95434270986397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56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181</v>
      </c>
      <c r="DM38" s="13">
        <f>VLOOKUP(A38,'Données projet'!$A$165:$I$185,9,0)</f>
        <v>8.6</v>
      </c>
      <c r="DN38" s="13">
        <f t="array" ref="DN38">INDEX(DM:DM,MIN(IF(ISNUMBER(DM38:DM234),ROW(DM38:DM234),"")))</f>
        <v>8.6</v>
      </c>
      <c r="DO38" s="13">
        <f>IF('Données projet'!$A$166&gt;35,DO37+DN38-DW37,IF(A38&lt;'Données projet'!$A$166,$DL$205^A38,IF(A38='Données projet'!$A$166,'Données projet'!$B$166,DO37+DN38-DW37)))</f>
        <v>181</v>
      </c>
      <c r="DP38" s="18">
        <f>DO38*VLOOKUP('Données projet'!$B$14,Paramètres!$A$1:$I$89,3,0)*VLOOKUP('Données projet'!$B$14,Paramètres!$A$1:$I$89,5,0)</f>
        <v>118.5912</v>
      </c>
      <c r="DQ38" s="14">
        <f t="shared" si="43"/>
        <v>31.346194334434067</v>
      </c>
      <c r="DR38" s="22">
        <f t="shared" si="16"/>
        <v>261.14096179913935</v>
      </c>
      <c r="DS38" s="60">
        <f t="shared" si="17"/>
        <v>554.47429513247266</v>
      </c>
      <c r="DT38" s="60">
        <f ca="1">AVERAGE(OFFSET($DS$3,0,0,'Données projet'!$E$14+1,1))-AVERAGE(OFFSET($H$3,0,0,'Données projet'!$E$14+1,1))</f>
        <v>275.11574966125522</v>
      </c>
      <c r="DU38" s="60">
        <f t="shared" si="44"/>
        <v>299.21520121860345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8.8000000000000007</v>
      </c>
      <c r="N39" s="14">
        <f>IF('Données projet'!$A$36&gt;35,N38+M39-V38,IF(A39&lt;'Données projet'!$A$36,$K$205^A39,IF(A39='Données projet'!$A$36,'Données projet'!$B$36,N38+M39-V38)))</f>
        <v>176.8</v>
      </c>
      <c r="O39" s="14">
        <f>N39*VLOOKUP('Données projet'!$B$9,Paramètres!$A$1:$I$89,3,0)*VLOOKUP('Données projet'!$B$9,Paramètres!$A$1:$I$89,5,0)</f>
        <v>154.45248000000001</v>
      </c>
      <c r="P39" s="14">
        <f t="shared" si="33"/>
        <v>39.588698668907178</v>
      </c>
      <c r="Q39" s="22">
        <f t="shared" si="53"/>
        <v>337.95505284834667</v>
      </c>
      <c r="R39" s="60">
        <f t="shared" si="0"/>
        <v>631.28838618167993</v>
      </c>
      <c r="S39" s="60">
        <f ca="1">AVERAGE(OFFSET($R$3,0,0,'Données projet'!$E$9+1,1))-AVERAGE(OFFSET($H$3,0,0,'Données projet'!$E$9+1,1))</f>
        <v>369.34989412920129</v>
      </c>
      <c r="T39" s="60">
        <f t="shared" si="34"/>
        <v>371.26234252426553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11.4</v>
      </c>
      <c r="AI39" s="14">
        <f>IF('Données projet'!$A$62&gt;35,AI38+AH39-AQ38,IF(A39&lt;'Données projet'!$A$62,$AF$205^A39,IF(A39='Données projet'!$A$62,'Données projet'!$B$62,AI38+AH39-AQ38)))</f>
        <v>217.4</v>
      </c>
      <c r="AJ39" s="14">
        <f>AI39*VLOOKUP('Données projet'!$B$10,Paramètres!$A$1:$I$89,3,0)*VLOOKUP('Données projet'!$B$10,Paramètres!$A$1:$I$89,5,0)</f>
        <v>172.96344000000002</v>
      </c>
      <c r="AK39" s="14">
        <f t="shared" si="35"/>
        <v>43.753066528893434</v>
      </c>
      <c r="AL39" s="22">
        <f t="shared" si="4"/>
        <v>377.44791553782278</v>
      </c>
      <c r="AM39" s="60">
        <f t="shared" si="5"/>
        <v>670.78124887115609</v>
      </c>
      <c r="AN39" s="60">
        <f ca="1">AVERAGE(OFFSET($AM$3,0,0,'Données projet'!$E$10+1,1))-AVERAGE(OFFSET($H$3,0,0,'Données projet'!$E$10+1,1))</f>
        <v>370.79299728190904</v>
      </c>
      <c r="AO39" s="60">
        <f t="shared" si="36"/>
        <v>404.95703400805775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217.4</v>
      </c>
      <c r="BE39" s="14">
        <f>BD39*VLOOKUP('Données projet'!$B$11,Paramètres!$A$1:$I$89,3,0)*VLOOKUP('Données projet'!$B$11,Paramètres!$A$1:$I$89,5,0)</f>
        <v>159.39768000000001</v>
      </c>
      <c r="BF39" s="14">
        <f t="shared" si="37"/>
        <v>40.706630642646523</v>
      </c>
      <c r="BG39" s="22">
        <f t="shared" si="7"/>
        <v>348.51500770260941</v>
      </c>
      <c r="BH39" s="60">
        <f t="shared" si="8"/>
        <v>641.84834103594267</v>
      </c>
      <c r="BI39" s="60">
        <f ca="1">AVERAGE(OFFSET($BH$3,0,0,'Données projet'!$E$11+1,1))-AVERAGE(OFFSET($H$3,0,0,'Données projet'!$E$11+1,1))</f>
        <v>344.63665697794022</v>
      </c>
      <c r="BJ39" s="60">
        <f t="shared" si="38"/>
        <v>376.72762011188041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130.20000000000007</v>
      </c>
      <c r="BZ39" s="14">
        <f>BY39*VLOOKUP('Données projet'!$B$12,Paramètres!$A$1:$I$89,3,0)*VLOOKUP('Données projet'!$B$12,Paramètres!$A$1:$I$89,5,0)</f>
        <v>117.80496000000005</v>
      </c>
      <c r="CA39" s="14">
        <f t="shared" si="39"/>
        <v>31.162493487829593</v>
      </c>
      <c r="CB39" s="22">
        <f t="shared" si="10"/>
        <v>259.45164815796994</v>
      </c>
      <c r="CC39" s="60">
        <f t="shared" si="11"/>
        <v>552.78498149130326</v>
      </c>
      <c r="CD39" s="60">
        <f ca="1">AVERAGE(OFFSET($CC$3,0,0,'Données projet'!$E$12+1,1))-AVERAGE(OFFSET($H$3,0,0,'Données projet'!$E$12+1,1))</f>
        <v>529.25712986118265</v>
      </c>
      <c r="CE39" s="60">
        <f t="shared" si="40"/>
        <v>278.21741231699929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130.20000000000007</v>
      </c>
      <c r="CU39" s="18">
        <f>CT39*VLOOKUP('Données projet'!$B$13,Paramètres!$A$1:$I$89,3,0)*VLOOKUP('Données projet'!$B$13,Paramètres!$A$1:$I$89,5,0)</f>
        <v>109.68048000000009</v>
      </c>
      <c r="CV39" s="14">
        <f t="shared" si="41"/>
        <v>29.255690427909659</v>
      </c>
      <c r="CW39" s="22">
        <f t="shared" si="13"/>
        <v>241.98049682860949</v>
      </c>
      <c r="CX39" s="60">
        <f t="shared" si="14"/>
        <v>535.31383016194286</v>
      </c>
      <c r="CY39" s="60">
        <f ca="1">AVERAGE(OFFSET($CX$3,0,0,'Données projet'!$E$13+1,1))-AVERAGE(OFFSET($H$3,0,0,'Données projet'!$E$13+1,1))</f>
        <v>495.77338291316386</v>
      </c>
      <c r="CZ39" s="60">
        <f t="shared" si="42"/>
        <v>261.95434270986397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7.8</v>
      </c>
      <c r="DO39" s="13">
        <f>IF('Données projet'!$A$166&gt;35,DO38+DN39-DW38,IF(A39&lt;'Données projet'!$A$166,$DL$205^A39,IF(A39='Données projet'!$A$166,'Données projet'!$B$166,DO38+DN39-DW38)))</f>
        <v>188.8</v>
      </c>
      <c r="DP39" s="18">
        <f>DO39*VLOOKUP('Données projet'!$B$14,Paramètres!$A$1:$I$89,3,0)*VLOOKUP('Données projet'!$B$14,Paramètres!$A$1:$I$89,5,0)</f>
        <v>123.70176000000001</v>
      </c>
      <c r="DQ39" s="14">
        <f t="shared" si="43"/>
        <v>32.536841470486884</v>
      </c>
      <c r="DR39" s="22">
        <f t="shared" si="16"/>
        <v>272.11556422776465</v>
      </c>
      <c r="DS39" s="60">
        <f t="shared" si="17"/>
        <v>565.44889756109797</v>
      </c>
      <c r="DT39" s="60">
        <f ca="1">AVERAGE(OFFSET($DS$3,0,0,'Données projet'!$E$14+1,1))-AVERAGE(OFFSET($H$3,0,0,'Données projet'!$E$14+1,1))</f>
        <v>275.11574966125522</v>
      </c>
      <c r="DU39" s="60">
        <f t="shared" si="44"/>
        <v>299.21520121860345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8.8000000000000007</v>
      </c>
      <c r="N40" s="14">
        <f>IF('Données projet'!$A$36&gt;35,N39+M40-V39,IF(A40&lt;'Données projet'!$A$36,$K$205^A40,IF(A40='Données projet'!$A$36,'Données projet'!$B$36,N39+M40-V39)))</f>
        <v>185.60000000000002</v>
      </c>
      <c r="O40" s="14">
        <f>N40*VLOOKUP('Données projet'!$B$9,Paramètres!$A$1:$I$89,3,0)*VLOOKUP('Données projet'!$B$9,Paramètres!$A$1:$I$89,5,0)</f>
        <v>162.14016000000004</v>
      </c>
      <c r="P40" s="14">
        <f t="shared" si="33"/>
        <v>41.324860537333713</v>
      </c>
      <c r="Q40" s="22">
        <f t="shared" si="53"/>
        <v>354.36824410252297</v>
      </c>
      <c r="R40" s="60">
        <f t="shared" si="0"/>
        <v>647.70157743585628</v>
      </c>
      <c r="S40" s="60">
        <f ca="1">AVERAGE(OFFSET($R$3,0,0,'Données projet'!$E$9+1,1))-AVERAGE(OFFSET($H$3,0,0,'Données projet'!$E$9+1,1))</f>
        <v>369.34989412920129</v>
      </c>
      <c r="T40" s="60">
        <f t="shared" si="34"/>
        <v>371.26234252426553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11.4</v>
      </c>
      <c r="AI40" s="14">
        <f>IF('Données projet'!$A$62&gt;35,AI39+AH40-AQ39,IF(A40&lt;'Données projet'!$A$62,$AF$205^A40,IF(A40='Données projet'!$A$62,'Données projet'!$B$62,AI39+AH40-AQ39)))</f>
        <v>228.8</v>
      </c>
      <c r="AJ40" s="14">
        <f>AI40*VLOOKUP('Données projet'!$B$10,Paramètres!$A$1:$I$89,3,0)*VLOOKUP('Données projet'!$B$10,Paramètres!$A$1:$I$89,5,0)</f>
        <v>182.03328000000002</v>
      </c>
      <c r="AK40" s="14">
        <f t="shared" si="35"/>
        <v>45.774257349740282</v>
      </c>
      <c r="AL40" s="22">
        <f t="shared" si="4"/>
        <v>396.76479421746438</v>
      </c>
      <c r="AM40" s="60">
        <f t="shared" si="5"/>
        <v>690.0981275507977</v>
      </c>
      <c r="AN40" s="60">
        <f ca="1">AVERAGE(OFFSET($AM$3,0,0,'Données projet'!$E$10+1,1))-AVERAGE(OFFSET($H$3,0,0,'Données projet'!$E$10+1,1))</f>
        <v>370.79299728190904</v>
      </c>
      <c r="AO40" s="60">
        <f t="shared" si="36"/>
        <v>404.95703400805775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228.8</v>
      </c>
      <c r="BE40" s="14">
        <f>BD40*VLOOKUP('Données projet'!$B$11,Paramètres!$A$1:$I$89,3,0)*VLOOKUP('Données projet'!$B$11,Paramètres!$A$1:$I$89,5,0)</f>
        <v>167.75615999999999</v>
      </c>
      <c r="BF40" s="14">
        <f t="shared" si="37"/>
        <v>42.587090110514616</v>
      </c>
      <c r="BG40" s="22">
        <f t="shared" si="7"/>
        <v>366.34782727581296</v>
      </c>
      <c r="BH40" s="60">
        <f t="shared" si="8"/>
        <v>659.68116060914622</v>
      </c>
      <c r="BI40" s="60">
        <f ca="1">AVERAGE(OFFSET($BH$3,0,0,'Données projet'!$E$11+1,1))-AVERAGE(OFFSET($H$3,0,0,'Données projet'!$E$11+1,1))</f>
        <v>344.63665697794022</v>
      </c>
      <c r="BJ40" s="60">
        <f t="shared" si="38"/>
        <v>376.72762011188041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141.40000000000006</v>
      </c>
      <c r="BZ40" s="14">
        <f>BY40*VLOOKUP('Données projet'!$B$12,Paramètres!$A$1:$I$89,3,0)*VLOOKUP('Données projet'!$B$12,Paramètres!$A$1:$I$89,5,0)</f>
        <v>127.93872000000005</v>
      </c>
      <c r="CA40" s="14">
        <f t="shared" si="39"/>
        <v>33.519615889545641</v>
      </c>
      <c r="CB40" s="22">
        <f t="shared" si="10"/>
        <v>281.20660167429202</v>
      </c>
      <c r="CC40" s="60">
        <f t="shared" si="11"/>
        <v>574.53993500762533</v>
      </c>
      <c r="CD40" s="60">
        <f ca="1">AVERAGE(OFFSET($CC$3,0,0,'Données projet'!$E$12+1,1))-AVERAGE(OFFSET($H$3,0,0,'Données projet'!$E$12+1,1))</f>
        <v>529.25712986118265</v>
      </c>
      <c r="CE40" s="60">
        <f t="shared" si="40"/>
        <v>278.21741231699929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141.40000000000006</v>
      </c>
      <c r="CU40" s="18">
        <f>CT40*VLOOKUP('Données projet'!$B$13,Paramètres!$A$1:$I$89,3,0)*VLOOKUP('Données projet'!$B$13,Paramètres!$A$1:$I$89,5,0)</f>
        <v>119.11536000000007</v>
      </c>
      <c r="CV40" s="14">
        <f t="shared" si="41"/>
        <v>31.468582772748093</v>
      </c>
      <c r="CW40" s="22">
        <f t="shared" si="13"/>
        <v>262.26703366253639</v>
      </c>
      <c r="CX40" s="60">
        <f t="shared" si="14"/>
        <v>555.60036699586976</v>
      </c>
      <c r="CY40" s="60">
        <f ca="1">AVERAGE(OFFSET($CX$3,0,0,'Données projet'!$E$13+1,1))-AVERAGE(OFFSET($H$3,0,0,'Données projet'!$E$13+1,1))</f>
        <v>495.77338291316386</v>
      </c>
      <c r="CZ40" s="60">
        <f t="shared" si="42"/>
        <v>261.95434270986397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7.8</v>
      </c>
      <c r="DO40" s="13">
        <f>IF('Données projet'!$A$166&gt;35,DO39+DN40-DW39,IF(A40&lt;'Données projet'!$A$166,$DL$205^A40,IF(A40='Données projet'!$A$166,'Données projet'!$B$166,DO39+DN40-DW39)))</f>
        <v>196.60000000000002</v>
      </c>
      <c r="DP40" s="18">
        <f>DO40*VLOOKUP('Données projet'!$B$14,Paramètres!$A$1:$I$89,3,0)*VLOOKUP('Données projet'!$B$14,Paramètres!$A$1:$I$89,5,0)</f>
        <v>128.81232</v>
      </c>
      <c r="DQ40" s="14">
        <f t="shared" si="43"/>
        <v>33.721774934127183</v>
      </c>
      <c r="DR40" s="22">
        <f t="shared" si="16"/>
        <v>283.08021534360483</v>
      </c>
      <c r="DS40" s="60">
        <f t="shared" si="17"/>
        <v>576.41354867693815</v>
      </c>
      <c r="DT40" s="60">
        <f ca="1">AVERAGE(OFFSET($DS$3,0,0,'Données projet'!$E$14+1,1))-AVERAGE(OFFSET($H$3,0,0,'Données projet'!$E$14+1,1))</f>
        <v>275.11574966125522</v>
      </c>
      <c r="DU40" s="60">
        <f t="shared" si="44"/>
        <v>299.21520121860345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8.8000000000000007</v>
      </c>
      <c r="N41" s="14">
        <f>IF('Données projet'!$A$36&gt;35,N40+M41-V40,IF(A41&lt;'Données projet'!$A$36,$K$205^A41,IF(A41='Données projet'!$A$36,'Données projet'!$B$36,N40+M41-V40)))</f>
        <v>194.40000000000003</v>
      </c>
      <c r="O41" s="14">
        <f>N41*VLOOKUP('Données projet'!$B$9,Paramètres!$A$1:$I$89,3,0)*VLOOKUP('Données projet'!$B$9,Paramètres!$A$1:$I$89,5,0)</f>
        <v>169.82784000000007</v>
      </c>
      <c r="P41" s="14">
        <f t="shared" si="33"/>
        <v>43.051463198873812</v>
      </c>
      <c r="Q41" s="22">
        <f t="shared" si="53"/>
        <v>370.76478640470532</v>
      </c>
      <c r="R41" s="60">
        <f t="shared" si="0"/>
        <v>664.09811973803858</v>
      </c>
      <c r="S41" s="60">
        <f ca="1">AVERAGE(OFFSET($R$3,0,0,'Données projet'!$E$9+1,1))-AVERAGE(OFFSET($H$3,0,0,'Données projet'!$E$9+1,1))</f>
        <v>369.34989412920129</v>
      </c>
      <c r="T41" s="60">
        <f t="shared" si="34"/>
        <v>371.26234252426553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11.4</v>
      </c>
      <c r="AI41" s="14">
        <f>IF('Données projet'!$A$62&gt;35,AI40+AH41-AQ40,IF(A41&lt;'Données projet'!$A$62,$AF$205^A41,IF(A41='Données projet'!$A$62,'Données projet'!$B$62,AI40+AH41-AQ40)))</f>
        <v>240.20000000000002</v>
      </c>
      <c r="AJ41" s="14">
        <f>AI41*VLOOKUP('Données projet'!$B$10,Paramètres!$A$1:$I$89,3,0)*VLOOKUP('Données projet'!$B$10,Paramètres!$A$1:$I$89,5,0)</f>
        <v>191.10312000000002</v>
      </c>
      <c r="AK41" s="14">
        <f t="shared" si="35"/>
        <v>47.783754789189338</v>
      </c>
      <c r="AL41" s="22">
        <f t="shared" si="4"/>
        <v>416.06130692450483</v>
      </c>
      <c r="AM41" s="60">
        <f t="shared" si="5"/>
        <v>709.39464025783809</v>
      </c>
      <c r="AN41" s="60">
        <f ca="1">AVERAGE(OFFSET($AM$3,0,0,'Données projet'!$E$10+1,1))-AVERAGE(OFFSET($H$3,0,0,'Données projet'!$E$10+1,1))</f>
        <v>370.79299728190904</v>
      </c>
      <c r="AO41" s="60">
        <f t="shared" si="36"/>
        <v>404.95703400805775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240.20000000000002</v>
      </c>
      <c r="BE41" s="14">
        <f>BD41*VLOOKUP('Données projet'!$B$11,Paramètres!$A$1:$I$89,3,0)*VLOOKUP('Données projet'!$B$11,Paramètres!$A$1:$I$89,5,0)</f>
        <v>176.11464000000001</v>
      </c>
      <c r="BF41" s="14">
        <f t="shared" si="37"/>
        <v>44.456670383041981</v>
      </c>
      <c r="BG41" s="22">
        <f t="shared" si="7"/>
        <v>384.16169891713145</v>
      </c>
      <c r="BH41" s="60">
        <f t="shared" si="8"/>
        <v>677.49503225046476</v>
      </c>
      <c r="BI41" s="60">
        <f ca="1">AVERAGE(OFFSET($BH$3,0,0,'Données projet'!$E$11+1,1))-AVERAGE(OFFSET($H$3,0,0,'Données projet'!$E$11+1,1))</f>
        <v>344.63665697794022</v>
      </c>
      <c r="BJ41" s="60">
        <f t="shared" si="38"/>
        <v>376.72762011188041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152.60000000000005</v>
      </c>
      <c r="BZ41" s="14">
        <f>BY41*VLOOKUP('Données projet'!$B$12,Paramètres!$A$1:$I$89,3,0)*VLOOKUP('Données projet'!$B$12,Paramètres!$A$1:$I$89,5,0)</f>
        <v>138.07248000000004</v>
      </c>
      <c r="CA41" s="14">
        <f t="shared" si="39"/>
        <v>35.85508207677799</v>
      </c>
      <c r="CB41" s="22">
        <f t="shared" si="10"/>
        <v>302.92383728372175</v>
      </c>
      <c r="CC41" s="60">
        <f t="shared" si="11"/>
        <v>596.25717061705507</v>
      </c>
      <c r="CD41" s="60">
        <f ca="1">AVERAGE(OFFSET($CC$3,0,0,'Données projet'!$E$12+1,1))-AVERAGE(OFFSET($H$3,0,0,'Données projet'!$E$12+1,1))</f>
        <v>529.25712986118265</v>
      </c>
      <c r="CE41" s="60">
        <f t="shared" si="40"/>
        <v>278.21741231699929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152.60000000000005</v>
      </c>
      <c r="CU41" s="18">
        <f>CT41*VLOOKUP('Données projet'!$B$13,Paramètres!$A$1:$I$89,3,0)*VLOOKUP('Données projet'!$B$13,Paramètres!$A$1:$I$89,5,0)</f>
        <v>128.55024000000006</v>
      </c>
      <c r="CV41" s="14">
        <f t="shared" si="41"/>
        <v>33.661144026076698</v>
      </c>
      <c r="CW41" s="22">
        <f t="shared" si="13"/>
        <v>282.51816051208368</v>
      </c>
      <c r="CX41" s="60">
        <f t="shared" si="14"/>
        <v>575.85149384541705</v>
      </c>
      <c r="CY41" s="60">
        <f ca="1">AVERAGE(OFFSET($CX$3,0,0,'Données projet'!$E$13+1,1))-AVERAGE(OFFSET($H$3,0,0,'Données projet'!$E$13+1,1))</f>
        <v>495.77338291316386</v>
      </c>
      <c r="CZ41" s="60">
        <f t="shared" si="42"/>
        <v>261.95434270986397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7.8</v>
      </c>
      <c r="DO41" s="13">
        <f>IF('Données projet'!$A$166&gt;35,DO40+DN41-DW40,IF(A41&lt;'Données projet'!$A$166,$DL$205^A41,IF(A41='Données projet'!$A$166,'Données projet'!$B$166,DO40+DN41-DW40)))</f>
        <v>204.40000000000003</v>
      </c>
      <c r="DP41" s="18">
        <f>DO41*VLOOKUP('Données projet'!$B$14,Paramètres!$A$1:$I$89,3,0)*VLOOKUP('Données projet'!$B$14,Paramètres!$A$1:$I$89,5,0)</f>
        <v>133.92288000000002</v>
      </c>
      <c r="DQ41" s="14">
        <f t="shared" si="43"/>
        <v>34.901247350186132</v>
      </c>
      <c r="DR41" s="22">
        <f t="shared" si="16"/>
        <v>294.03535513490755</v>
      </c>
      <c r="DS41" s="60">
        <f t="shared" si="17"/>
        <v>587.36868846824086</v>
      </c>
      <c r="DT41" s="60">
        <f ca="1">AVERAGE(OFFSET($DS$3,0,0,'Données projet'!$E$14+1,1))-AVERAGE(OFFSET($H$3,0,0,'Données projet'!$E$14+1,1))</f>
        <v>275.11574966125522</v>
      </c>
      <c r="DU41" s="60">
        <f t="shared" si="44"/>
        <v>299.21520121860345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8.8000000000000007</v>
      </c>
      <c r="N42" s="14">
        <f>IF('Données projet'!$A$36&gt;35,N41+M42-V41,IF(A42&lt;'Données projet'!$A$36,$K$205^A42,IF(A42='Données projet'!$A$36,'Données projet'!$B$36,N41+M42-V41)))</f>
        <v>203.20000000000005</v>
      </c>
      <c r="O42" s="14">
        <f>N42*VLOOKUP('Données projet'!$B$9,Paramètres!$A$1:$I$89,3,0)*VLOOKUP('Données projet'!$B$9,Paramètres!$A$1:$I$89,5,0)</f>
        <v>177.51552000000007</v>
      </c>
      <c r="P42" s="14">
        <f t="shared" si="33"/>
        <v>44.768988809542904</v>
      </c>
      <c r="Q42" s="22">
        <f t="shared" si="53"/>
        <v>387.145519509954</v>
      </c>
      <c r="R42" s="60">
        <f t="shared" si="0"/>
        <v>680.47885284328731</v>
      </c>
      <c r="S42" s="60">
        <f ca="1">AVERAGE(OFFSET($R$3,0,0,'Données projet'!$E$9+1,1))-AVERAGE(OFFSET($H$3,0,0,'Données projet'!$E$9+1,1))</f>
        <v>369.34989412920129</v>
      </c>
      <c r="T42" s="60">
        <f t="shared" si="34"/>
        <v>371.26234252426553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11.4</v>
      </c>
      <c r="AI42" s="14">
        <f>IF('Données projet'!$A$62&gt;35,AI41+AH42-AQ41,IF(A42&lt;'Données projet'!$A$62,$AF$205^A42,IF(A42='Données projet'!$A$62,'Données projet'!$B$62,AI41+AH42-AQ41)))</f>
        <v>251.60000000000002</v>
      </c>
      <c r="AJ42" s="14">
        <f>AI42*VLOOKUP('Données projet'!$B$10,Paramètres!$A$1:$I$89,3,0)*VLOOKUP('Données projet'!$B$10,Paramètres!$A$1:$I$89,5,0)</f>
        <v>200.17296000000002</v>
      </c>
      <c r="AK42" s="14">
        <f t="shared" si="35"/>
        <v>49.782177185856028</v>
      </c>
      <c r="AL42" s="22">
        <f t="shared" si="4"/>
        <v>435.33853059869926</v>
      </c>
      <c r="AM42" s="60">
        <f t="shared" si="5"/>
        <v>728.67186393203258</v>
      </c>
      <c r="AN42" s="60">
        <f ca="1">AVERAGE(OFFSET($AM$3,0,0,'Données projet'!$E$10+1,1))-AVERAGE(OFFSET($H$3,0,0,'Données projet'!$E$10+1,1))</f>
        <v>370.79299728190904</v>
      </c>
      <c r="AO42" s="60">
        <f t="shared" si="36"/>
        <v>404.95703400805775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251.60000000000002</v>
      </c>
      <c r="BE42" s="14">
        <f>BD42*VLOOKUP('Données projet'!$B$11,Paramètres!$A$1:$I$89,3,0)*VLOOKUP('Données projet'!$B$11,Paramètres!$A$1:$I$89,5,0)</f>
        <v>184.47312000000002</v>
      </c>
      <c r="BF42" s="14">
        <f t="shared" si="37"/>
        <v>46.315946745200151</v>
      </c>
      <c r="BG42" s="22">
        <f t="shared" si="7"/>
        <v>401.95762458122357</v>
      </c>
      <c r="BH42" s="60">
        <f t="shared" si="8"/>
        <v>695.29095791455688</v>
      </c>
      <c r="BI42" s="60">
        <f ca="1">AVERAGE(OFFSET($BH$3,0,0,'Données projet'!$E$11+1,1))-AVERAGE(OFFSET($H$3,0,0,'Données projet'!$E$11+1,1))</f>
        <v>344.63665697794022</v>
      </c>
      <c r="BJ42" s="60">
        <f t="shared" si="38"/>
        <v>376.72762011188041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163.80000000000004</v>
      </c>
      <c r="BZ42" s="14">
        <f>BY42*VLOOKUP('Données projet'!$B$12,Paramètres!$A$1:$I$89,3,0)*VLOOKUP('Données projet'!$B$12,Paramètres!$A$1:$I$89,5,0)</f>
        <v>148.20624000000004</v>
      </c>
      <c r="CA42" s="14">
        <f t="shared" si="39"/>
        <v>38.170662245893794</v>
      </c>
      <c r="CB42" s="22">
        <f t="shared" si="10"/>
        <v>324.60643807826506</v>
      </c>
      <c r="CC42" s="60">
        <f t="shared" si="11"/>
        <v>617.93977141159837</v>
      </c>
      <c r="CD42" s="60">
        <f ca="1">AVERAGE(OFFSET($CC$3,0,0,'Données projet'!$E$12+1,1))-AVERAGE(OFFSET($H$3,0,0,'Données projet'!$E$12+1,1))</f>
        <v>529.25712986118265</v>
      </c>
      <c r="CE42" s="60">
        <f t="shared" si="40"/>
        <v>278.21741231699929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163.80000000000004</v>
      </c>
      <c r="CU42" s="18">
        <f>CT42*VLOOKUP('Données projet'!$B$13,Paramètres!$A$1:$I$89,3,0)*VLOOKUP('Données projet'!$B$13,Paramètres!$A$1:$I$89,5,0)</f>
        <v>137.98512000000005</v>
      </c>
      <c r="CV42" s="14">
        <f t="shared" si="41"/>
        <v>35.835036067646342</v>
      </c>
      <c r="CW42" s="22">
        <f t="shared" si="13"/>
        <v>302.73677181781744</v>
      </c>
      <c r="CX42" s="60">
        <f t="shared" si="14"/>
        <v>596.07010515115076</v>
      </c>
      <c r="CY42" s="60">
        <f ca="1">AVERAGE(OFFSET($CX$3,0,0,'Données projet'!$E$13+1,1))-AVERAGE(OFFSET($H$3,0,0,'Données projet'!$E$13+1,1))</f>
        <v>495.77338291316386</v>
      </c>
      <c r="CZ42" s="60">
        <f t="shared" si="42"/>
        <v>261.95434270986397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7.8</v>
      </c>
      <c r="DO42" s="13">
        <f>IF('Données projet'!$A$166&gt;35,DO41+DN42-DW41,IF(A42&lt;'Données projet'!$A$166,$DL$205^A42,IF(A42='Données projet'!$A$166,'Données projet'!$B$166,DO41+DN42-DW41)))</f>
        <v>212.20000000000005</v>
      </c>
      <c r="DP42" s="18">
        <f>DO42*VLOOKUP('Données projet'!$B$14,Paramètres!$A$1:$I$89,3,0)*VLOOKUP('Données projet'!$B$14,Paramètres!$A$1:$I$89,5,0)</f>
        <v>139.03344000000001</v>
      </c>
      <c r="DQ42" s="14">
        <f t="shared" si="43"/>
        <v>36.075490970935512</v>
      </c>
      <c r="DR42" s="22">
        <f t="shared" si="16"/>
        <v>304.98138810771269</v>
      </c>
      <c r="DS42" s="60">
        <f t="shared" si="17"/>
        <v>598.314721441046</v>
      </c>
      <c r="DT42" s="60">
        <f ca="1">AVERAGE(OFFSET($DS$3,0,0,'Données projet'!$E$14+1,1))-AVERAGE(OFFSET($H$3,0,0,'Données projet'!$E$14+1,1))</f>
        <v>275.11574966125522</v>
      </c>
      <c r="DU42" s="60">
        <f t="shared" si="44"/>
        <v>299.21520121860345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212</v>
      </c>
      <c r="L43" s="13">
        <f>VLOOKUP(A43,'Données projet'!$A$35:$I$55,9,0)</f>
        <v>8.8000000000000007</v>
      </c>
      <c r="M43" s="13">
        <f t="array" ref="M43">INDEX(L:L,MIN(IF(ISNUMBER(L43:L239),ROW(L43:L239),"")))</f>
        <v>8.8000000000000007</v>
      </c>
      <c r="N43" s="14">
        <f>IF('Données projet'!$A$36&gt;35,N42+M43-V42,IF(A43&lt;'Données projet'!$A$36,$K$205^A43,IF(A43='Données projet'!$A$36,'Données projet'!$B$36,N42+M43-V42)))</f>
        <v>212.00000000000006</v>
      </c>
      <c r="O43" s="14">
        <f>N43*VLOOKUP('Données projet'!$B$9,Paramètres!$A$1:$I$89,3,0)*VLOOKUP('Données projet'!$B$9,Paramètres!$A$1:$I$89,5,0)</f>
        <v>185.20320000000007</v>
      </c>
      <c r="P43" s="14">
        <f t="shared" si="33"/>
        <v>46.477875402099386</v>
      </c>
      <c r="Q43" s="22">
        <f t="shared" si="53"/>
        <v>403.5112063253232</v>
      </c>
      <c r="R43" s="60">
        <f t="shared" si="0"/>
        <v>696.84453965865646</v>
      </c>
      <c r="S43" s="60">
        <f ca="1">AVERAGE(OFFSET($R$3,0,0,'Données projet'!$E$9+1,1))-AVERAGE(OFFSET($H$3,0,0,'Données projet'!$E$9+1,1))</f>
        <v>369.34989412920129</v>
      </c>
      <c r="T43" s="60">
        <f t="shared" si="34"/>
        <v>371.26234252426553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</v>
      </c>
      <c r="AG43" s="13">
        <f>VLOOKUP(A43,'Données projet'!$A$61:$I$81,9,0)</f>
        <v>11.4</v>
      </c>
      <c r="AH43" s="13">
        <f t="array" ref="AH43">INDEX(AG:AG,MIN(IF(ISNUMBER(AG43:AG239),ROW(AG43:AG239),"")))</f>
        <v>11.4</v>
      </c>
      <c r="AI43" s="14">
        <f>IF('Données projet'!$A$62&gt;35,AI42+AH43-AQ42,IF(A43&lt;'Données projet'!$A$62,$AF$205^A43,IF(A43='Données projet'!$A$62,'Données projet'!$B$62,AI42+AH43-AQ42)))</f>
        <v>263</v>
      </c>
      <c r="AJ43" s="14">
        <f>AI43*VLOOKUP('Données projet'!$B$10,Paramètres!$A$1:$I$89,3,0)*VLOOKUP('Données projet'!$B$10,Paramètres!$A$1:$I$89,5,0)</f>
        <v>209.24279999999999</v>
      </c>
      <c r="AK43" s="14">
        <f t="shared" si="35"/>
        <v>51.770083677016814</v>
      </c>
      <c r="AL43" s="22">
        <f t="shared" si="4"/>
        <v>454.59743907080428</v>
      </c>
      <c r="AM43" s="60">
        <f t="shared" si="5"/>
        <v>747.93077240413754</v>
      </c>
      <c r="AN43" s="60">
        <f ca="1">AVERAGE(OFFSET($AM$3,0,0,'Données projet'!$E$10+1,1))-AVERAGE(OFFSET($H$3,0,0,'Données projet'!$E$10+1,1))</f>
        <v>370.79299728190904</v>
      </c>
      <c r="AO43" s="60">
        <f t="shared" si="36"/>
        <v>404.95703400805775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70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263</v>
      </c>
      <c r="BE43" s="14">
        <f>BD43*VLOOKUP('Données projet'!$B$11,Paramètres!$A$1:$I$89,3,0)*VLOOKUP('Données projet'!$B$11,Paramètres!$A$1:$I$89,5,0)</f>
        <v>192.83160000000001</v>
      </c>
      <c r="BF43" s="14">
        <f t="shared" si="37"/>
        <v>48.165439402688818</v>
      </c>
      <c r="BG43" s="22">
        <f t="shared" si="7"/>
        <v>419.73651029301635</v>
      </c>
      <c r="BH43" s="60">
        <f t="shared" si="8"/>
        <v>713.06984362634967</v>
      </c>
      <c r="BI43" s="60">
        <f ca="1">AVERAGE(OFFSET($BH$3,0,0,'Données projet'!$E$11+1,1))-AVERAGE(OFFSET($H$3,0,0,'Données projet'!$E$11+1,1))</f>
        <v>344.63665697794022</v>
      </c>
      <c r="BJ43" s="60">
        <f t="shared" si="38"/>
        <v>376.72762011188041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70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175.00000000000003</v>
      </c>
      <c r="BZ43" s="14">
        <f>BY43*VLOOKUP('Données projet'!$B$12,Paramètres!$A$1:$I$89,3,0)*VLOOKUP('Données projet'!$B$12,Paramètres!$A$1:$I$89,5,0)</f>
        <v>158.34000000000003</v>
      </c>
      <c r="CA43" s="14">
        <f t="shared" si="39"/>
        <v>40.467870812652819</v>
      </c>
      <c r="CB43" s="22">
        <f t="shared" si="10"/>
        <v>346.25704166537042</v>
      </c>
      <c r="CC43" s="60">
        <f t="shared" si="11"/>
        <v>639.59037499870374</v>
      </c>
      <c r="CD43" s="60">
        <f ca="1">AVERAGE(OFFSET($CC$3,0,0,'Données projet'!$E$12+1,1))-AVERAGE(OFFSET($H$3,0,0,'Données projet'!$E$12+1,1))</f>
        <v>529.25712986118265</v>
      </c>
      <c r="CE43" s="60">
        <f t="shared" si="40"/>
        <v>278.21741231699929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175.00000000000003</v>
      </c>
      <c r="CU43" s="18">
        <f>CT43*VLOOKUP('Données projet'!$B$13,Paramètres!$A$1:$I$89,3,0)*VLOOKUP('Données projet'!$B$13,Paramètres!$A$1:$I$89,5,0)</f>
        <v>147.42000000000004</v>
      </c>
      <c r="CV43" s="14">
        <f t="shared" si="41"/>
        <v>37.991680647570327</v>
      </c>
      <c r="CW43" s="22">
        <f t="shared" si="13"/>
        <v>322.92534379451837</v>
      </c>
      <c r="CX43" s="60">
        <f t="shared" si="14"/>
        <v>616.25867712785168</v>
      </c>
      <c r="CY43" s="60">
        <f ca="1">AVERAGE(OFFSET($CX$3,0,0,'Données projet'!$E$13+1,1))-AVERAGE(OFFSET($H$3,0,0,'Données projet'!$E$13+1,1))</f>
        <v>495.77338291316386</v>
      </c>
      <c r="CZ43" s="60">
        <f t="shared" si="42"/>
        <v>261.95434270986397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220</v>
      </c>
      <c r="DM43" s="13">
        <f>VLOOKUP(A43,'Données projet'!$A$165:$I$185,9,0)</f>
        <v>7.8</v>
      </c>
      <c r="DN43" s="13">
        <f t="array" ref="DN43">INDEX(DM:DM,MIN(IF(ISNUMBER(DM43:DM239),ROW(DM43:DM239),"")))</f>
        <v>7.8</v>
      </c>
      <c r="DO43" s="13">
        <f>IF('Données projet'!$A$166&gt;35,DO42+DN43-DW42,IF(A43&lt;'Données projet'!$A$166,$DL$205^A43,IF(A43='Données projet'!$A$166,'Données projet'!$B$166,DO42+DN43-DW42)))</f>
        <v>220.00000000000006</v>
      </c>
      <c r="DP43" s="18">
        <f>DO43*VLOOKUP('Données projet'!$B$14,Paramètres!$A$1:$I$89,3,0)*VLOOKUP('Données projet'!$B$14,Paramètres!$A$1:$I$89,5,0)</f>
        <v>144.14400000000003</v>
      </c>
      <c r="DQ43" s="14">
        <f t="shared" si="43"/>
        <v>37.244720006976252</v>
      </c>
      <c r="DR43" s="22">
        <f t="shared" si="16"/>
        <v>315.9186873454837</v>
      </c>
      <c r="DS43" s="60">
        <f t="shared" si="17"/>
        <v>609.25202067881696</v>
      </c>
      <c r="DT43" s="60">
        <f ca="1">AVERAGE(OFFSET($DS$3,0,0,'Données projet'!$E$14+1,1))-AVERAGE(OFFSET($H$3,0,0,'Données projet'!$E$14+1,1))</f>
        <v>275.11574966125522</v>
      </c>
      <c r="DU43" s="60">
        <f t="shared" si="44"/>
        <v>299.21520121860345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50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</v>
      </c>
      <c r="N44" s="14">
        <f>IF('Données projet'!$A$36&gt;35,N43+M44-V43,IF(A44&lt;'Données projet'!$A$36,$K$205^A44,IF(A44='Données projet'!$A$36,'Données projet'!$B$36,N43+M44-V43)))</f>
        <v>166.00000000000006</v>
      </c>
      <c r="O44" s="14">
        <f>N44*VLOOKUP('Données projet'!$B$9,Paramètres!$A$1:$I$89,3,0)*VLOOKUP('Données projet'!$B$9,Paramètres!$A$1:$I$89,5,0)</f>
        <v>145.01760000000007</v>
      </c>
      <c r="P44" s="14">
        <f t="shared" si="33"/>
        <v>37.444100932065268</v>
      </c>
      <c r="Q44" s="22">
        <f t="shared" si="53"/>
        <v>317.78746245668049</v>
      </c>
      <c r="R44" s="60">
        <f t="shared" si="0"/>
        <v>611.12079579001374</v>
      </c>
      <c r="S44" s="60">
        <f ca="1">AVERAGE(OFFSET($R$3,0,0,'Données projet'!$E$9+1,1))-AVERAGE(OFFSET($H$3,0,0,'Données projet'!$E$9+1,1))</f>
        <v>369.34989412920129</v>
      </c>
      <c r="T44" s="60">
        <f t="shared" si="34"/>
        <v>371.26234252426553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202.8</v>
      </c>
      <c r="AJ44" s="14">
        <f>AI44*VLOOKUP('Données projet'!$B$10,Paramètres!$A$1:$I$89,3,0)*VLOOKUP('Données projet'!$B$10,Paramètres!$A$1:$I$89,5,0)</f>
        <v>161.34768000000003</v>
      </c>
      <c r="AK44" s="14">
        <f t="shared" si="35"/>
        <v>41.146339844316657</v>
      </c>
      <c r="AL44" s="22">
        <f t="shared" si="4"/>
        <v>352.6770845621848</v>
      </c>
      <c r="AM44" s="60">
        <f t="shared" si="5"/>
        <v>646.01041789551812</v>
      </c>
      <c r="AN44" s="60">
        <f ca="1">AVERAGE(OFFSET($AM$3,0,0,'Données projet'!$E$10+1,1))-AVERAGE(OFFSET($H$3,0,0,'Données projet'!$E$10+1,1))</f>
        <v>370.79299728190904</v>
      </c>
      <c r="AO44" s="60">
        <f t="shared" si="36"/>
        <v>404.95703400805775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202.8</v>
      </c>
      <c r="BE44" s="14">
        <f>BD44*VLOOKUP('Données projet'!$B$11,Paramètres!$A$1:$I$89,3,0)*VLOOKUP('Données projet'!$B$11,Paramètres!$A$1:$I$89,5,0)</f>
        <v>148.69296</v>
      </c>
      <c r="BF44" s="14">
        <f t="shared" si="37"/>
        <v>38.281404966971365</v>
      </c>
      <c r="BG44" s="22">
        <f t="shared" si="7"/>
        <v>325.64701898414177</v>
      </c>
      <c r="BH44" s="60">
        <f t="shared" si="8"/>
        <v>618.98035231747508</v>
      </c>
      <c r="BI44" s="60">
        <f ca="1">AVERAGE(OFFSET($BH$3,0,0,'Données projet'!$E$11+1,1))-AVERAGE(OFFSET($H$3,0,0,'Données projet'!$E$11+1,1))</f>
        <v>344.63665697794022</v>
      </c>
      <c r="BJ44" s="60">
        <f t="shared" si="38"/>
        <v>376.72762011188041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168.65472000000003</v>
      </c>
      <c r="CA44" s="14">
        <f t="shared" si="39"/>
        <v>42.78858644059585</v>
      </c>
      <c r="CB44" s="22">
        <f t="shared" si="10"/>
        <v>368.2637587173711</v>
      </c>
      <c r="CC44" s="60">
        <f t="shared" si="11"/>
        <v>661.59709205070442</v>
      </c>
      <c r="CD44" s="60">
        <f ca="1">AVERAGE(OFFSET($CC$3,0,0,'Données projet'!$E$12+1,1))-AVERAGE(OFFSET($H$3,0,0,'Données projet'!$E$12+1,1))</f>
        <v>529.25712986118265</v>
      </c>
      <c r="CE44" s="60">
        <f t="shared" si="40"/>
        <v>278.21741231699929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186.40000000000003</v>
      </c>
      <c r="CU44" s="18">
        <f>CT44*VLOOKUP('Données projet'!$B$13,Paramètres!$A$1:$I$89,3,0)*VLOOKUP('Données projet'!$B$13,Paramètres!$A$1:$I$89,5,0)</f>
        <v>157.02336000000003</v>
      </c>
      <c r="CV44" s="14">
        <f t="shared" si="41"/>
        <v>40.170393914171662</v>
      </c>
      <c r="CW44" s="22">
        <f t="shared" si="13"/>
        <v>343.44578806718232</v>
      </c>
      <c r="CX44" s="60">
        <f t="shared" si="14"/>
        <v>636.77912140051558</v>
      </c>
      <c r="CY44" s="60">
        <f ca="1">AVERAGE(OFFSET($CX$3,0,0,'Données projet'!$E$13+1,1))-AVERAGE(OFFSET($H$3,0,0,'Données projet'!$E$13+1,1))</f>
        <v>495.77338291316386</v>
      </c>
      <c r="CZ44" s="60">
        <f t="shared" si="42"/>
        <v>261.95434270986397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7.4</v>
      </c>
      <c r="DO44" s="13">
        <f>IF('Données projet'!$A$166&gt;35,DO43+DN44-DW43,IF(A44&lt;'Données projet'!$A$166,$DL$205^A44,IF(A44='Données projet'!$A$166,'Données projet'!$B$166,DO43+DN44-DW43)))</f>
        <v>177.40000000000006</v>
      </c>
      <c r="DP44" s="18">
        <f>DO44*VLOOKUP('Données projet'!$B$14,Paramètres!$A$1:$I$89,3,0)*VLOOKUP('Données projet'!$B$14,Paramètres!$A$1:$I$89,5,0)</f>
        <v>116.23248000000004</v>
      </c>
      <c r="DQ44" s="14">
        <f t="shared" si="43"/>
        <v>30.794662422308217</v>
      </c>
      <c r="DR44" s="22">
        <f t="shared" si="16"/>
        <v>256.07227305218686</v>
      </c>
      <c r="DS44" s="60">
        <f t="shared" si="17"/>
        <v>549.40560638552017</v>
      </c>
      <c r="DT44" s="60">
        <f ca="1">AVERAGE(OFFSET($DS$3,0,0,'Données projet'!$E$14+1,1))-AVERAGE(OFFSET($H$3,0,0,'Données projet'!$E$14+1,1))</f>
        <v>275.11574966125522</v>
      </c>
      <c r="DU44" s="60">
        <f t="shared" si="44"/>
        <v>299.21520121860345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</v>
      </c>
      <c r="N45" s="14">
        <f>IF('Données projet'!$A$36&gt;35,N44+M45-V44,IF(A45&lt;'Données projet'!$A$36,$K$205^A45,IF(A45='Données projet'!$A$36,'Données projet'!$B$36,N44+M45-V44)))</f>
        <v>174.00000000000006</v>
      </c>
      <c r="O45" s="14">
        <f>N45*VLOOKUP('Données projet'!$B$9,Paramètres!$A$1:$I$89,3,0)*VLOOKUP('Données projet'!$B$9,Paramètres!$A$1:$I$89,5,0)</f>
        <v>152.00640000000007</v>
      </c>
      <c r="P45" s="14">
        <f t="shared" si="33"/>
        <v>39.034194016561486</v>
      </c>
      <c r="Q45" s="22">
        <f t="shared" si="53"/>
        <v>332.72903457884468</v>
      </c>
      <c r="R45" s="60">
        <f t="shared" si="0"/>
        <v>626.06236791217793</v>
      </c>
      <c r="S45" s="60">
        <f ca="1">AVERAGE(OFFSET($R$3,0,0,'Données projet'!$E$9+1,1))-AVERAGE(OFFSET($H$3,0,0,'Données projet'!$E$9+1,1))</f>
        <v>369.34989412920129</v>
      </c>
      <c r="T45" s="60">
        <f t="shared" si="34"/>
        <v>371.26234252426553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212.60000000000002</v>
      </c>
      <c r="AJ45" s="14">
        <f>AI45*VLOOKUP('Données projet'!$B$10,Paramètres!$A$1:$I$89,3,0)*VLOOKUP('Données projet'!$B$10,Paramètres!$A$1:$I$89,5,0)</f>
        <v>169.14456000000004</v>
      </c>
      <c r="AK45" s="14">
        <f t="shared" si="35"/>
        <v>42.898377267189964</v>
      </c>
      <c r="AL45" s="22">
        <f t="shared" si="4"/>
        <v>369.30811574035596</v>
      </c>
      <c r="AM45" s="60">
        <f t="shared" si="5"/>
        <v>662.64144907368927</v>
      </c>
      <c r="AN45" s="60">
        <f ca="1">AVERAGE(OFFSET($AM$3,0,0,'Données projet'!$E$10+1,1))-AVERAGE(OFFSET($H$3,0,0,'Données projet'!$E$10+1,1))</f>
        <v>370.79299728190904</v>
      </c>
      <c r="AO45" s="60">
        <f t="shared" si="36"/>
        <v>404.95703400805775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212.60000000000002</v>
      </c>
      <c r="BE45" s="14">
        <f>BD45*VLOOKUP('Données projet'!$B$11,Paramètres!$A$1:$I$89,3,0)*VLOOKUP('Données projet'!$B$11,Paramètres!$A$1:$I$89,5,0)</f>
        <v>155.87832000000003</v>
      </c>
      <c r="BF45" s="14">
        <f t="shared" si="37"/>
        <v>39.911451633481022</v>
      </c>
      <c r="BG45" s="22">
        <f t="shared" si="7"/>
        <v>341.00051892831283</v>
      </c>
      <c r="BH45" s="60">
        <f t="shared" si="8"/>
        <v>634.33385226164614</v>
      </c>
      <c r="BI45" s="60">
        <f ca="1">AVERAGE(OFFSET($BH$3,0,0,'Données projet'!$E$11+1,1))-AVERAGE(OFFSET($H$3,0,0,'Données projet'!$E$11+1,1))</f>
        <v>344.63665697794022</v>
      </c>
      <c r="BJ45" s="60">
        <f t="shared" si="38"/>
        <v>376.72762011188041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197.80000000000004</v>
      </c>
      <c r="BZ45" s="14">
        <f>BY45*VLOOKUP('Données projet'!$B$12,Paramètres!$A$1:$I$89,3,0)*VLOOKUP('Données projet'!$B$12,Paramètres!$A$1:$I$89,5,0)</f>
        <v>178.96944000000002</v>
      </c>
      <c r="CA45" s="14">
        <f t="shared" si="39"/>
        <v>45.092828990632619</v>
      </c>
      <c r="CB45" s="22">
        <f t="shared" si="10"/>
        <v>390.24178515868516</v>
      </c>
      <c r="CC45" s="60">
        <f t="shared" si="11"/>
        <v>683.57511849201842</v>
      </c>
      <c r="CD45" s="60">
        <f ca="1">AVERAGE(OFFSET($CC$3,0,0,'Données projet'!$E$12+1,1))-AVERAGE(OFFSET($H$3,0,0,'Données projet'!$E$12+1,1))</f>
        <v>529.25712986118265</v>
      </c>
      <c r="CE45" s="60">
        <f t="shared" si="40"/>
        <v>278.21741231699929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197.80000000000004</v>
      </c>
      <c r="CU45" s="18">
        <f>CT45*VLOOKUP('Données projet'!$B$13,Paramètres!$A$1:$I$89,3,0)*VLOOKUP('Données projet'!$B$13,Paramètres!$A$1:$I$89,5,0)</f>
        <v>166.62672000000003</v>
      </c>
      <c r="CV45" s="14">
        <f t="shared" si="41"/>
        <v>42.333642074689422</v>
      </c>
      <c r="CW45" s="22">
        <f t="shared" si="13"/>
        <v>363.93929728008408</v>
      </c>
      <c r="CX45" s="60">
        <f t="shared" si="14"/>
        <v>657.27263061341739</v>
      </c>
      <c r="CY45" s="60">
        <f ca="1">AVERAGE(OFFSET($CX$3,0,0,'Données projet'!$E$13+1,1))-AVERAGE(OFFSET($H$3,0,0,'Données projet'!$E$13+1,1))</f>
        <v>495.77338291316386</v>
      </c>
      <c r="CZ45" s="60">
        <f t="shared" si="42"/>
        <v>261.95434270986397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7.4</v>
      </c>
      <c r="DO45" s="13">
        <f>IF('Données projet'!$A$166&gt;35,DO44+DN45-DW44,IF(A45&lt;'Données projet'!$A$166,$DL$205^A45,IF(A45='Données projet'!$A$166,'Données projet'!$B$166,DO44+DN45-DW44)))</f>
        <v>184.80000000000007</v>
      </c>
      <c r="DP45" s="18">
        <f>DO45*VLOOKUP('Données projet'!$B$14,Paramètres!$A$1:$I$89,3,0)*VLOOKUP('Données projet'!$B$14,Paramètres!$A$1:$I$89,5,0)</f>
        <v>121.08096000000005</v>
      </c>
      <c r="DQ45" s="14">
        <f t="shared" si="43"/>
        <v>31.92698372788707</v>
      </c>
      <c r="DR45" s="22">
        <f t="shared" si="16"/>
        <v>266.48883532607005</v>
      </c>
      <c r="DS45" s="60">
        <f t="shared" si="17"/>
        <v>559.82216865940336</v>
      </c>
      <c r="DT45" s="60">
        <f ca="1">AVERAGE(OFFSET($DS$3,0,0,'Données projet'!$E$14+1,1))-AVERAGE(OFFSET($H$3,0,0,'Données projet'!$E$14+1,1))</f>
        <v>275.11574966125522</v>
      </c>
      <c r="DU45" s="60">
        <f t="shared" si="44"/>
        <v>299.21520121860345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</v>
      </c>
      <c r="N46" s="14">
        <f>IF('Données projet'!$A$36&gt;35,N45+M46-V45,IF(A46&lt;'Données projet'!$A$36,$K$205^A46,IF(A46='Données projet'!$A$36,'Données projet'!$B$36,N45+M46-V45)))</f>
        <v>182.00000000000006</v>
      </c>
      <c r="O46" s="14">
        <f>N46*VLOOKUP('Données projet'!$B$9,Paramètres!$A$1:$I$89,3,0)*VLOOKUP('Données projet'!$B$9,Paramètres!$A$1:$I$89,5,0)</f>
        <v>158.99520000000007</v>
      </c>
      <c r="P46" s="14">
        <f t="shared" si="33"/>
        <v>40.615796933386044</v>
      </c>
      <c r="Q46" s="22">
        <f t="shared" si="53"/>
        <v>347.65581965898082</v>
      </c>
      <c r="R46" s="60">
        <f t="shared" si="0"/>
        <v>640.98915299231408</v>
      </c>
      <c r="S46" s="60">
        <f ca="1">AVERAGE(OFFSET($R$3,0,0,'Données projet'!$E$9+1,1))-AVERAGE(OFFSET($H$3,0,0,'Données projet'!$E$9+1,1))</f>
        <v>369.34989412920129</v>
      </c>
      <c r="T46" s="60">
        <f t="shared" si="34"/>
        <v>371.26234252426553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222.40000000000003</v>
      </c>
      <c r="AJ46" s="14">
        <f>AI46*VLOOKUP('Données projet'!$B$10,Paramètres!$A$1:$I$89,3,0)*VLOOKUP('Données projet'!$B$10,Paramètres!$A$1:$I$89,5,0)</f>
        <v>176.94144000000003</v>
      </c>
      <c r="AK46" s="14">
        <f t="shared" si="35"/>
        <v>44.641035679901449</v>
      </c>
      <c r="AL46" s="22">
        <f t="shared" si="4"/>
        <v>385.92281180916171</v>
      </c>
      <c r="AM46" s="60">
        <f t="shared" si="5"/>
        <v>679.25614514249503</v>
      </c>
      <c r="AN46" s="60">
        <f ca="1">AVERAGE(OFFSET($AM$3,0,0,'Données projet'!$E$10+1,1))-AVERAGE(OFFSET($H$3,0,0,'Données projet'!$E$10+1,1))</f>
        <v>370.79299728190904</v>
      </c>
      <c r="AO46" s="60">
        <f t="shared" si="36"/>
        <v>404.95703400805775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222.40000000000003</v>
      </c>
      <c r="BE46" s="14">
        <f>BD46*VLOOKUP('Données projet'!$B$11,Paramètres!$A$1:$I$89,3,0)*VLOOKUP('Données projet'!$B$11,Paramètres!$A$1:$I$89,5,0)</f>
        <v>163.06368000000001</v>
      </c>
      <c r="BF46" s="14">
        <f t="shared" si="37"/>
        <v>41.532772330984628</v>
      </c>
      <c r="BG46" s="22">
        <f t="shared" si="7"/>
        <v>356.33882114313155</v>
      </c>
      <c r="BH46" s="60">
        <f t="shared" si="8"/>
        <v>649.67215447646481</v>
      </c>
      <c r="BI46" s="60">
        <f ca="1">AVERAGE(OFFSET($BH$3,0,0,'Données projet'!$E$11+1,1))-AVERAGE(OFFSET($H$3,0,0,'Données projet'!$E$11+1,1))</f>
        <v>344.63665697794022</v>
      </c>
      <c r="BJ46" s="60">
        <f t="shared" si="38"/>
        <v>376.72762011188041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209.20000000000005</v>
      </c>
      <c r="BZ46" s="14">
        <f>BY46*VLOOKUP('Données projet'!$B$12,Paramètres!$A$1:$I$89,3,0)*VLOOKUP('Données projet'!$B$12,Paramètres!$A$1:$I$89,5,0)</f>
        <v>189.28416000000001</v>
      </c>
      <c r="CA46" s="14">
        <f t="shared" si="39"/>
        <v>47.381656039514027</v>
      </c>
      <c r="CB46" s="22">
        <f t="shared" si="10"/>
        <v>412.19296293548695</v>
      </c>
      <c r="CC46" s="60">
        <f t="shared" si="11"/>
        <v>705.52629626882026</v>
      </c>
      <c r="CD46" s="60">
        <f ca="1">AVERAGE(OFFSET($CC$3,0,0,'Données projet'!$E$12+1,1))-AVERAGE(OFFSET($H$3,0,0,'Données projet'!$E$12+1,1))</f>
        <v>529.25712986118265</v>
      </c>
      <c r="CE46" s="60">
        <f t="shared" si="40"/>
        <v>278.21741231699929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209.20000000000005</v>
      </c>
      <c r="CU46" s="18">
        <f>CT46*VLOOKUP('Données projet'!$B$13,Paramètres!$A$1:$I$89,3,0)*VLOOKUP('Données projet'!$B$13,Paramètres!$A$1:$I$89,5,0)</f>
        <v>176.23008000000004</v>
      </c>
      <c r="CV46" s="14">
        <f t="shared" si="41"/>
        <v>44.482417993768294</v>
      </c>
      <c r="CW46" s="22">
        <f t="shared" si="13"/>
        <v>384.40760067247987</v>
      </c>
      <c r="CX46" s="60">
        <f t="shared" si="14"/>
        <v>677.74093400581319</v>
      </c>
      <c r="CY46" s="60">
        <f ca="1">AVERAGE(OFFSET($CX$3,0,0,'Données projet'!$E$13+1,1))-AVERAGE(OFFSET($H$3,0,0,'Données projet'!$E$13+1,1))</f>
        <v>495.77338291316386</v>
      </c>
      <c r="CZ46" s="60">
        <f t="shared" si="42"/>
        <v>261.95434270986397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7.4</v>
      </c>
      <c r="DO46" s="13">
        <f>IF('Données projet'!$A$166&gt;35,DO45+DN46-DW45,IF(A46&lt;'Données projet'!$A$166,$DL$205^A46,IF(A46='Données projet'!$A$166,'Données projet'!$B$166,DO45+DN46-DW45)))</f>
        <v>192.20000000000007</v>
      </c>
      <c r="DP46" s="18">
        <f>DO46*VLOOKUP('Données projet'!$B$14,Paramètres!$A$1:$I$89,3,0)*VLOOKUP('Données projet'!$B$14,Paramètres!$A$1:$I$89,5,0)</f>
        <v>125.92944000000006</v>
      </c>
      <c r="DQ46" s="14">
        <f t="shared" si="43"/>
        <v>33.054038034052077</v>
      </c>
      <c r="DR46" s="22">
        <f t="shared" si="16"/>
        <v>276.89622424264081</v>
      </c>
      <c r="DS46" s="60">
        <f t="shared" si="17"/>
        <v>570.22955757597413</v>
      </c>
      <c r="DT46" s="60">
        <f ca="1">AVERAGE(OFFSET($DS$3,0,0,'Données projet'!$E$14+1,1))-AVERAGE(OFFSET($H$3,0,0,'Données projet'!$E$14+1,1))</f>
        <v>275.11574966125522</v>
      </c>
      <c r="DU46" s="60">
        <f t="shared" si="44"/>
        <v>299.21520121860345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</v>
      </c>
      <c r="N47" s="14">
        <f>IF('Données projet'!$A$36&gt;35,N46+M47-V46,IF(A47&lt;'Données projet'!$A$36,$K$205^A47,IF(A47='Données projet'!$A$36,'Données projet'!$B$36,N46+M47-V46)))</f>
        <v>190.00000000000006</v>
      </c>
      <c r="O47" s="14">
        <f>N47*VLOOKUP('Données projet'!$B$9,Paramètres!$A$1:$I$89,3,0)*VLOOKUP('Données projet'!$B$9,Paramètres!$A$1:$I$89,5,0)</f>
        <v>165.98400000000009</v>
      </c>
      <c r="P47" s="14">
        <f t="shared" si="33"/>
        <v>42.189325525922285</v>
      </c>
      <c r="Q47" s="22">
        <f t="shared" si="53"/>
        <v>362.56854195764816</v>
      </c>
      <c r="R47" s="60">
        <f t="shared" si="0"/>
        <v>655.90187529098148</v>
      </c>
      <c r="S47" s="60">
        <f ca="1">AVERAGE(OFFSET($R$3,0,0,'Données projet'!$E$9+1,1))-AVERAGE(OFFSET($H$3,0,0,'Données projet'!$E$9+1,1))</f>
        <v>369.34989412920129</v>
      </c>
      <c r="T47" s="60">
        <f t="shared" si="34"/>
        <v>371.26234252426553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232.20000000000005</v>
      </c>
      <c r="AJ47" s="14">
        <f>AI47*VLOOKUP('Données projet'!$B$10,Paramètres!$A$1:$I$89,3,0)*VLOOKUP('Données projet'!$B$10,Paramètres!$A$1:$I$89,5,0)</f>
        <v>184.73832000000004</v>
      </c>
      <c r="AK47" s="14">
        <f t="shared" si="35"/>
        <v>46.374775595471988</v>
      </c>
      <c r="AL47" s="22">
        <f t="shared" si="4"/>
        <v>402.52197482878046</v>
      </c>
      <c r="AM47" s="60">
        <f t="shared" si="5"/>
        <v>695.85530816211372</v>
      </c>
      <c r="AN47" s="60">
        <f ca="1">AVERAGE(OFFSET($AM$3,0,0,'Données projet'!$E$10+1,1))-AVERAGE(OFFSET($H$3,0,0,'Données projet'!$E$10+1,1))</f>
        <v>370.79299728190904</v>
      </c>
      <c r="AO47" s="60">
        <f t="shared" si="36"/>
        <v>404.95703400805775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232.20000000000005</v>
      </c>
      <c r="BE47" s="14">
        <f>BD47*VLOOKUP('Données projet'!$B$11,Paramètres!$A$1:$I$89,3,0)*VLOOKUP('Données projet'!$B$11,Paramètres!$A$1:$I$89,5,0)</f>
        <v>170.24904000000004</v>
      </c>
      <c r="BF47" s="14">
        <f t="shared" si="37"/>
        <v>43.145795507930117</v>
      </c>
      <c r="BG47" s="22">
        <f t="shared" si="7"/>
        <v>371.6626718429784</v>
      </c>
      <c r="BH47" s="60">
        <f t="shared" si="8"/>
        <v>664.99600517631166</v>
      </c>
      <c r="BI47" s="60">
        <f ca="1">AVERAGE(OFFSET($BH$3,0,0,'Données projet'!$E$11+1,1))-AVERAGE(OFFSET($H$3,0,0,'Données projet'!$E$11+1,1))</f>
        <v>344.63665697794022</v>
      </c>
      <c r="BJ47" s="60">
        <f t="shared" si="38"/>
        <v>376.72762011188041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220.60000000000005</v>
      </c>
      <c r="BZ47" s="14">
        <f>BY47*VLOOKUP('Données projet'!$B$12,Paramètres!$A$1:$I$89,3,0)*VLOOKUP('Données projet'!$B$12,Paramètres!$A$1:$I$89,5,0)</f>
        <v>199.59888000000004</v>
      </c>
      <c r="CA47" s="14">
        <f t="shared" si="39"/>
        <v>49.656003392529037</v>
      </c>
      <c r="CB47" s="22">
        <f t="shared" si="10"/>
        <v>434.11892190865478</v>
      </c>
      <c r="CC47" s="60">
        <f t="shared" si="11"/>
        <v>727.45225524198804</v>
      </c>
      <c r="CD47" s="60">
        <f ca="1">AVERAGE(OFFSET($CC$3,0,0,'Données projet'!$E$12+1,1))-AVERAGE(OFFSET($H$3,0,0,'Données projet'!$E$12+1,1))</f>
        <v>529.25712986118265</v>
      </c>
      <c r="CE47" s="60">
        <f t="shared" si="40"/>
        <v>278.21741231699929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220.60000000000005</v>
      </c>
      <c r="CU47" s="18">
        <f>CT47*VLOOKUP('Données projet'!$B$13,Paramètres!$A$1:$I$89,3,0)*VLOOKUP('Données projet'!$B$13,Paramètres!$A$1:$I$89,5,0)</f>
        <v>185.83344000000005</v>
      </c>
      <c r="CV47" s="14">
        <f t="shared" si="41"/>
        <v>46.617600215670045</v>
      </c>
      <c r="CW47" s="22">
        <f t="shared" si="13"/>
        <v>404.85222837562537</v>
      </c>
      <c r="CX47" s="60">
        <f t="shared" si="14"/>
        <v>698.18556170895863</v>
      </c>
      <c r="CY47" s="60">
        <f ca="1">AVERAGE(OFFSET($CX$3,0,0,'Données projet'!$E$13+1,1))-AVERAGE(OFFSET($H$3,0,0,'Données projet'!$E$13+1,1))</f>
        <v>495.77338291316386</v>
      </c>
      <c r="CZ47" s="60">
        <f t="shared" si="42"/>
        <v>261.95434270986397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7.4</v>
      </c>
      <c r="DO47" s="13">
        <f>IF('Données projet'!$A$166&gt;35,DO46+DN47-DW46,IF(A47&lt;'Données projet'!$A$166,$DL$205^A47,IF(A47='Données projet'!$A$166,'Données projet'!$B$166,DO46+DN47-DW46)))</f>
        <v>199.60000000000008</v>
      </c>
      <c r="DP47" s="18">
        <f>DO47*VLOOKUP('Données projet'!$B$14,Paramètres!$A$1:$I$89,3,0)*VLOOKUP('Données projet'!$B$14,Paramètres!$A$1:$I$89,5,0)</f>
        <v>130.77792000000005</v>
      </c>
      <c r="DQ47" s="14">
        <f t="shared" si="43"/>
        <v>34.176051340149542</v>
      </c>
      <c r="DR47" s="22">
        <f t="shared" si="16"/>
        <v>287.29483341742718</v>
      </c>
      <c r="DS47" s="60">
        <f t="shared" si="17"/>
        <v>580.62816675076056</v>
      </c>
      <c r="DT47" s="60">
        <f ca="1">AVERAGE(OFFSET($DS$3,0,0,'Données projet'!$E$14+1,1))-AVERAGE(OFFSET($H$3,0,0,'Données projet'!$E$14+1,1))</f>
        <v>275.11574966125522</v>
      </c>
      <c r="DU47" s="60">
        <f t="shared" si="44"/>
        <v>299.21520121860345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198</v>
      </c>
      <c r="L48" s="13">
        <f>VLOOKUP(A48,'Données projet'!$A$35:$I$55,9,0)</f>
        <v>8</v>
      </c>
      <c r="M48" s="13">
        <f t="array" ref="M48">INDEX(L:L,MIN(IF(ISNUMBER(L48:L244),ROW(L48:L244),"")))</f>
        <v>8</v>
      </c>
      <c r="N48" s="14">
        <f>IF('Données projet'!$A$36&gt;35,N47+M48-V47,IF(A48&lt;'Données projet'!$A$36,$K$205^A48,IF(A48='Données projet'!$A$36,'Données projet'!$B$36,N47+M48-V47)))</f>
        <v>198.00000000000006</v>
      </c>
      <c r="O48" s="14">
        <f>N48*VLOOKUP('Données projet'!$B$9,Paramètres!$A$1:$I$89,3,0)*VLOOKUP('Données projet'!$B$9,Paramètres!$A$1:$I$89,5,0)</f>
        <v>172.97280000000006</v>
      </c>
      <c r="P48" s="14">
        <f t="shared" si="33"/>
        <v>43.75515863819728</v>
      </c>
      <c r="Q48" s="22">
        <f t="shared" si="53"/>
        <v>377.46786129486037</v>
      </c>
      <c r="R48" s="60">
        <f t="shared" si="0"/>
        <v>670.80119462819368</v>
      </c>
      <c r="S48" s="60">
        <f ca="1">AVERAGE(OFFSET($R$3,0,0,'Données projet'!$E$9+1,1))-AVERAGE(OFFSET($H$3,0,0,'Données projet'!$E$9+1,1))</f>
        <v>369.34989412920129</v>
      </c>
      <c r="T48" s="60">
        <f t="shared" si="34"/>
        <v>371.26234252426553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242.00000000000006</v>
      </c>
      <c r="AJ48" s="14">
        <f>AI48*VLOOKUP('Données projet'!$B$10,Paramètres!$A$1:$I$89,3,0)*VLOOKUP('Données projet'!$B$10,Paramètres!$A$1:$I$89,5,0)</f>
        <v>192.53520000000006</v>
      </c>
      <c r="AK48" s="14">
        <f t="shared" si="35"/>
        <v>48.100016456123079</v>
      </c>
      <c r="AL48" s="22">
        <f t="shared" si="4"/>
        <v>419.10633532774779</v>
      </c>
      <c r="AM48" s="60">
        <f t="shared" si="5"/>
        <v>712.4396686610811</v>
      </c>
      <c r="AN48" s="60">
        <f ca="1">AVERAGE(OFFSET($AM$3,0,0,'Données projet'!$E$10+1,1))-AVERAGE(OFFSET($H$3,0,0,'Données projet'!$E$10+1,1))</f>
        <v>370.79299728190904</v>
      </c>
      <c r="AO48" s="60">
        <f t="shared" si="36"/>
        <v>404.95703400805775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242.00000000000006</v>
      </c>
      <c r="BE48" s="14">
        <f>BD48*VLOOKUP('Données projet'!$B$11,Paramètres!$A$1:$I$89,3,0)*VLOOKUP('Données projet'!$B$11,Paramètres!$A$1:$I$89,5,0)</f>
        <v>177.43440000000004</v>
      </c>
      <c r="BF48" s="14">
        <f t="shared" si="37"/>
        <v>44.750911401641211</v>
      </c>
      <c r="BG48" s="22">
        <f t="shared" si="7"/>
        <v>386.97275069119183</v>
      </c>
      <c r="BH48" s="60">
        <f t="shared" si="8"/>
        <v>680.30608402452515</v>
      </c>
      <c r="BI48" s="60">
        <f ca="1">AVERAGE(OFFSET($BH$3,0,0,'Données projet'!$E$11+1,1))-AVERAGE(OFFSET($H$3,0,0,'Données projet'!$E$11+1,1))</f>
        <v>344.63665697794022</v>
      </c>
      <c r="BJ48" s="60">
        <f t="shared" si="38"/>
        <v>376.72762011188041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232.00000000000006</v>
      </c>
      <c r="BZ48" s="14">
        <f>BY48*VLOOKUP('Données projet'!$B$12,Paramètres!$A$1:$I$89,3,0)*VLOOKUP('Données projet'!$B$12,Paramètres!$A$1:$I$89,5,0)</f>
        <v>209.91360000000006</v>
      </c>
      <c r="CA48" s="14">
        <f t="shared" si="39"/>
        <v>51.916704672341361</v>
      </c>
      <c r="CB48" s="22">
        <f t="shared" si="10"/>
        <v>456.02111397099458</v>
      </c>
      <c r="CC48" s="60">
        <f t="shared" si="11"/>
        <v>749.35444730432789</v>
      </c>
      <c r="CD48" s="60">
        <f ca="1">AVERAGE(OFFSET($CC$3,0,0,'Données projet'!$E$12+1,1))-AVERAGE(OFFSET($H$3,0,0,'Données projet'!$E$12+1,1))</f>
        <v>529.25712986118265</v>
      </c>
      <c r="CE48" s="60">
        <f t="shared" si="40"/>
        <v>278.21741231699929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232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232.00000000000006</v>
      </c>
      <c r="CU48" s="18">
        <f>CT48*VLOOKUP('Données projet'!$B$13,Paramètres!$A$1:$I$89,3,0)*VLOOKUP('Données projet'!$B$13,Paramètres!$A$1:$I$89,5,0)</f>
        <v>195.43680000000006</v>
      </c>
      <c r="CV48" s="14">
        <f t="shared" si="41"/>
        <v>48.739971354487849</v>
      </c>
      <c r="CW48" s="22">
        <f t="shared" si="13"/>
        <v>425.27454344239982</v>
      </c>
      <c r="CX48" s="60">
        <f t="shared" si="14"/>
        <v>718.60787677573308</v>
      </c>
      <c r="CY48" s="60">
        <f ca="1">AVERAGE(OFFSET($CX$3,0,0,'Données projet'!$E$13+1,1))-AVERAGE(OFFSET($H$3,0,0,'Données projet'!$E$13+1,1))</f>
        <v>495.77338291316386</v>
      </c>
      <c r="CZ48" s="60">
        <f t="shared" si="42"/>
        <v>261.95434270986397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207</v>
      </c>
      <c r="DM48" s="13">
        <f>VLOOKUP(A48,'Données projet'!$A$165:$I$185,9,0)</f>
        <v>7.4</v>
      </c>
      <c r="DN48" s="13">
        <f t="array" ref="DN48">INDEX(DM:DM,MIN(IF(ISNUMBER(DM48:DM244),ROW(DM48:DM244),"")))</f>
        <v>7.4</v>
      </c>
      <c r="DO48" s="13">
        <f>IF('Données projet'!$A$166&gt;35,DO47+DN48-DW47,IF(A48&lt;'Données projet'!$A$166,$DL$205^A48,IF(A48='Données projet'!$A$166,'Données projet'!$B$166,DO47+DN48-DW47)))</f>
        <v>207.00000000000009</v>
      </c>
      <c r="DP48" s="18">
        <f>DO48*VLOOKUP('Données projet'!$B$14,Paramètres!$A$1:$I$89,3,0)*VLOOKUP('Données projet'!$B$14,Paramètres!$A$1:$I$89,5,0)</f>
        <v>135.62640000000005</v>
      </c>
      <c r="DQ48" s="14">
        <f t="shared" si="43"/>
        <v>35.293231938598481</v>
      </c>
      <c r="DR48" s="22">
        <f t="shared" si="16"/>
        <v>297.68502562639242</v>
      </c>
      <c r="DS48" s="60">
        <f t="shared" si="17"/>
        <v>591.01835895972567</v>
      </c>
      <c r="DT48" s="60">
        <f ca="1">AVERAGE(OFFSET($DS$3,0,0,'Données projet'!$E$14+1,1))-AVERAGE(OFFSET($H$3,0,0,'Données projet'!$E$14+1,1))</f>
        <v>275.11574966125522</v>
      </c>
      <c r="DU48" s="60">
        <f t="shared" si="44"/>
        <v>299.21520121860345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7.4</v>
      </c>
      <c r="N49" s="14">
        <f>IF('Données projet'!$A$36&gt;35,N48+M49-V48,IF(A49&lt;'Données projet'!$A$36,$K$205^A49,IF(A49='Données projet'!$A$36,'Données projet'!$B$36,N48+M49-V48)))</f>
        <v>205.40000000000006</v>
      </c>
      <c r="O49" s="14">
        <f>N49*VLOOKUP('Données projet'!$B$9,Paramètres!$A$1:$I$89,3,0)*VLOOKUP('Données projet'!$B$9,Paramètres!$A$1:$I$89,5,0)</f>
        <v>179.43744000000007</v>
      </c>
      <c r="P49" s="14">
        <f t="shared" si="33"/>
        <v>45.197004138831659</v>
      </c>
      <c r="Q49" s="22">
        <f t="shared" si="53"/>
        <v>391.23832354179859</v>
      </c>
      <c r="R49" s="60">
        <f t="shared" si="0"/>
        <v>684.57165687513191</v>
      </c>
      <c r="S49" s="60">
        <f ca="1">AVERAGE(OFFSET($R$3,0,0,'Données projet'!$E$9+1,1))-AVERAGE(OFFSET($H$3,0,0,'Données projet'!$E$9+1,1))</f>
        <v>369.34989412920129</v>
      </c>
      <c r="T49" s="60">
        <f t="shared" si="34"/>
        <v>371.26234252426553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8.6</v>
      </c>
      <c r="AI49" s="14">
        <f>IF('Données projet'!$A$62&gt;35,AI48+AH49-AQ48,IF(A49&lt;'Données projet'!$A$62,$AF$205^A49,IF(A49='Données projet'!$A$62,'Données projet'!$B$62,AI48+AH49-AQ48)))</f>
        <v>250.60000000000005</v>
      </c>
      <c r="AJ49" s="14">
        <f>AI49*VLOOKUP('Données projet'!$B$10,Paramètres!$A$1:$I$89,3,0)*VLOOKUP('Données projet'!$B$10,Paramètres!$A$1:$I$89,5,0)</f>
        <v>199.37736000000004</v>
      </c>
      <c r="AK49" s="14">
        <f t="shared" si="35"/>
        <v>49.607305476717805</v>
      </c>
      <c r="AL49" s="22">
        <f t="shared" si="4"/>
        <v>433.64829237195022</v>
      </c>
      <c r="AM49" s="60">
        <f t="shared" si="5"/>
        <v>726.98162570528348</v>
      </c>
      <c r="AN49" s="60">
        <f ca="1">AVERAGE(OFFSET($AM$3,0,0,'Données projet'!$E$10+1,1))-AVERAGE(OFFSET($H$3,0,0,'Données projet'!$E$10+1,1))</f>
        <v>370.79299728190904</v>
      </c>
      <c r="AO49" s="60">
        <f t="shared" si="36"/>
        <v>404.95703400805775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250.60000000000005</v>
      </c>
      <c r="BE49" s="14">
        <f>BD49*VLOOKUP('Données projet'!$B$11,Paramètres!$A$1:$I$89,3,0)*VLOOKUP('Données projet'!$B$11,Paramètres!$A$1:$I$89,5,0)</f>
        <v>183.73992000000001</v>
      </c>
      <c r="BF49" s="14">
        <f t="shared" si="37"/>
        <v>46.153250992914103</v>
      </c>
      <c r="BG49" s="22">
        <f t="shared" si="7"/>
        <v>400.39727281265874</v>
      </c>
      <c r="BH49" s="60">
        <f t="shared" si="8"/>
        <v>693.73060614599206</v>
      </c>
      <c r="BI49" s="60">
        <f ca="1">AVERAGE(OFFSET($BH$3,0,0,'Données projet'!$E$11+1,1))-AVERAGE(OFFSET($H$3,0,0,'Données projet'!$E$11+1,1))</f>
        <v>344.63665697794022</v>
      </c>
      <c r="BJ49" s="60">
        <f t="shared" si="38"/>
        <v>376.72762011188041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187.00000000000006</v>
      </c>
      <c r="BZ49" s="14">
        <f>BY49*VLOOKUP('Données projet'!$B$12,Paramètres!$A$1:$I$89,3,0)*VLOOKUP('Données projet'!$B$12,Paramètres!$A$1:$I$89,5,0)</f>
        <v>169.19760000000005</v>
      </c>
      <c r="CA49" s="14">
        <f t="shared" si="39"/>
        <v>42.910263223432885</v>
      </c>
      <c r="CB49" s="22">
        <f t="shared" si="10"/>
        <v>369.42119511414563</v>
      </c>
      <c r="CC49" s="60">
        <f t="shared" si="11"/>
        <v>662.75452844747895</v>
      </c>
      <c r="CD49" s="60">
        <f ca="1">AVERAGE(OFFSET($CC$3,0,0,'Données projet'!$E$12+1,1))-AVERAGE(OFFSET($H$3,0,0,'Données projet'!$E$12+1,1))</f>
        <v>529.25712986118265</v>
      </c>
      <c r="CE49" s="60">
        <f t="shared" si="40"/>
        <v>278.21741231699929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187.00000000000006</v>
      </c>
      <c r="CU49" s="18">
        <f>CT49*VLOOKUP('Données projet'!$B$13,Paramètres!$A$1:$I$89,3,0)*VLOOKUP('Données projet'!$B$13,Paramètres!$A$1:$I$89,5,0)</f>
        <v>157.52880000000005</v>
      </c>
      <c r="CV49" s="14">
        <f t="shared" si="41"/>
        <v>40.284625411479013</v>
      </c>
      <c r="CW49" s="22">
        <f t="shared" si="13"/>
        <v>344.52504925832596</v>
      </c>
      <c r="CX49" s="60">
        <f t="shared" si="14"/>
        <v>637.85838259165928</v>
      </c>
      <c r="CY49" s="60">
        <f ca="1">AVERAGE(OFFSET($CX$3,0,0,'Données projet'!$E$13+1,1))-AVERAGE(OFFSET($H$3,0,0,'Données projet'!$E$13+1,1))</f>
        <v>495.77338291316386</v>
      </c>
      <c r="CZ49" s="60">
        <f t="shared" si="42"/>
        <v>261.95434270986397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6.6</v>
      </c>
      <c r="DO49" s="13">
        <f>IF('Données projet'!$A$166&gt;35,DO48+DN49-DW48,IF(A49&lt;'Données projet'!$A$166,$DL$205^A49,IF(A49='Données projet'!$A$166,'Données projet'!$B$166,DO48+DN49-DW48)))</f>
        <v>213.60000000000008</v>
      </c>
      <c r="DP49" s="18">
        <f>DO49*VLOOKUP('Données projet'!$B$14,Paramètres!$A$1:$I$89,3,0)*VLOOKUP('Données projet'!$B$14,Paramètres!$A$1:$I$89,5,0)</f>
        <v>139.95072000000005</v>
      </c>
      <c r="DQ49" s="14">
        <f t="shared" si="43"/>
        <v>36.285715907711918</v>
      </c>
      <c r="DR49" s="22">
        <f t="shared" si="16"/>
        <v>306.94512587259828</v>
      </c>
      <c r="DS49" s="60">
        <f t="shared" si="17"/>
        <v>600.27845920593154</v>
      </c>
      <c r="DT49" s="60">
        <f ca="1">AVERAGE(OFFSET($DS$3,0,0,'Données projet'!$E$14+1,1))-AVERAGE(OFFSET($H$3,0,0,'Données projet'!$E$14+1,1))</f>
        <v>275.11574966125522</v>
      </c>
      <c r="DU49" s="60">
        <f t="shared" si="44"/>
        <v>299.21520121860345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7.4</v>
      </c>
      <c r="N50" s="14">
        <f>IF('Données projet'!$A$36&gt;35,N49+M50-V49,IF(A50&lt;'Données projet'!$A$36,$K$205^A50,IF(A50='Données projet'!$A$36,'Données projet'!$B$36,N49+M50-V49)))</f>
        <v>212.80000000000007</v>
      </c>
      <c r="O50" s="14">
        <f>N50*VLOOKUP('Données projet'!$B$9,Paramètres!$A$1:$I$89,3,0)*VLOOKUP('Données projet'!$B$9,Paramètres!$A$1:$I$89,5,0)</f>
        <v>185.90208000000007</v>
      </c>
      <c r="P50" s="14">
        <f t="shared" si="33"/>
        <v>46.632814435744649</v>
      </c>
      <c r="Q50" s="22">
        <f t="shared" si="53"/>
        <v>404.99827447558869</v>
      </c>
      <c r="R50" s="60">
        <f t="shared" si="0"/>
        <v>698.33160780892194</v>
      </c>
      <c r="S50" s="60">
        <f ca="1">AVERAGE(OFFSET($R$3,0,0,'Données projet'!$E$9+1,1))-AVERAGE(OFFSET($H$3,0,0,'Données projet'!$E$9+1,1))</f>
        <v>369.34989412920129</v>
      </c>
      <c r="T50" s="60">
        <f t="shared" si="34"/>
        <v>371.26234252426553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8.6</v>
      </c>
      <c r="AI50" s="14">
        <f>IF('Données projet'!$A$62&gt;35,AI49+AH50-AQ49,IF(A50&lt;'Données projet'!$A$62,$AF$205^A50,IF(A50='Données projet'!$A$62,'Données projet'!$B$62,AI49+AH50-AQ49)))</f>
        <v>259.20000000000005</v>
      </c>
      <c r="AJ50" s="14">
        <f>AI50*VLOOKUP('Données projet'!$B$10,Paramètres!$A$1:$I$89,3,0)*VLOOKUP('Données projet'!$B$10,Paramètres!$A$1:$I$89,5,0)</f>
        <v>206.21952000000007</v>
      </c>
      <c r="AK50" s="14">
        <f t="shared" si="35"/>
        <v>51.108584284640322</v>
      </c>
      <c r="AL50" s="22">
        <f t="shared" si="4"/>
        <v>448.17978162908202</v>
      </c>
      <c r="AM50" s="60">
        <f t="shared" si="5"/>
        <v>741.51311496241533</v>
      </c>
      <c r="AN50" s="60">
        <f ca="1">AVERAGE(OFFSET($AM$3,0,0,'Données projet'!$E$10+1,1))-AVERAGE(OFFSET($H$3,0,0,'Données projet'!$E$10+1,1))</f>
        <v>370.79299728190904</v>
      </c>
      <c r="AO50" s="60">
        <f t="shared" si="36"/>
        <v>404.95703400805775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259.20000000000005</v>
      </c>
      <c r="BE50" s="14">
        <f>BD50*VLOOKUP('Données projet'!$B$11,Paramètres!$A$1:$I$89,3,0)*VLOOKUP('Données projet'!$B$11,Paramètres!$A$1:$I$89,5,0)</f>
        <v>190.04544000000001</v>
      </c>
      <c r="BF50" s="14">
        <f t="shared" si="37"/>
        <v>47.549998850241536</v>
      </c>
      <c r="BG50" s="22">
        <f t="shared" si="7"/>
        <v>413.81205599750405</v>
      </c>
      <c r="BH50" s="60">
        <f t="shared" si="8"/>
        <v>707.14538933083736</v>
      </c>
      <c r="BI50" s="60">
        <f ca="1">AVERAGE(OFFSET($BH$3,0,0,'Données projet'!$E$11+1,1))-AVERAGE(OFFSET($H$3,0,0,'Données projet'!$E$11+1,1))</f>
        <v>344.63665697794022</v>
      </c>
      <c r="BJ50" s="60">
        <f t="shared" si="38"/>
        <v>376.72762011188041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198.00000000000006</v>
      </c>
      <c r="BZ50" s="14">
        <f>BY50*VLOOKUP('Données projet'!$B$12,Paramètres!$A$1:$I$89,3,0)*VLOOKUP('Données projet'!$B$12,Paramètres!$A$1:$I$89,5,0)</f>
        <v>179.15040000000005</v>
      </c>
      <c r="CA50" s="14">
        <f t="shared" si="39"/>
        <v>45.133113803437347</v>
      </c>
      <c r="CB50" s="22">
        <f t="shared" si="10"/>
        <v>390.62711987432004</v>
      </c>
      <c r="CC50" s="60">
        <f t="shared" si="11"/>
        <v>683.96045320765336</v>
      </c>
      <c r="CD50" s="60">
        <f ca="1">AVERAGE(OFFSET($CC$3,0,0,'Données projet'!$E$12+1,1))-AVERAGE(OFFSET($H$3,0,0,'Données projet'!$E$12+1,1))</f>
        <v>529.25712986118265</v>
      </c>
      <c r="CE50" s="60">
        <f t="shared" si="40"/>
        <v>278.21741231699929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198.00000000000006</v>
      </c>
      <c r="CU50" s="18">
        <f>CT50*VLOOKUP('Données projet'!$B$13,Paramètres!$A$1:$I$89,3,0)*VLOOKUP('Données projet'!$B$13,Paramètres!$A$1:$I$89,5,0)</f>
        <v>166.79520000000008</v>
      </c>
      <c r="CV50" s="14">
        <f t="shared" si="41"/>
        <v>42.371461898472788</v>
      </c>
      <c r="CW50" s="22">
        <f t="shared" si="13"/>
        <v>364.29860280650684</v>
      </c>
      <c r="CX50" s="60">
        <f t="shared" si="14"/>
        <v>657.63193613984015</v>
      </c>
      <c r="CY50" s="60">
        <f ca="1">AVERAGE(OFFSET($CX$3,0,0,'Données projet'!$E$13+1,1))-AVERAGE(OFFSET($H$3,0,0,'Données projet'!$E$13+1,1))</f>
        <v>495.77338291316386</v>
      </c>
      <c r="CZ50" s="60">
        <f t="shared" si="42"/>
        <v>261.95434270986397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6.6</v>
      </c>
      <c r="DO50" s="13">
        <f>IF('Données projet'!$A$166&gt;35,DO49+DN50-DW49,IF(A50&lt;'Données projet'!$A$166,$DL$205^A50,IF(A50='Données projet'!$A$166,'Données projet'!$B$166,DO49+DN50-DW49)))</f>
        <v>220.20000000000007</v>
      </c>
      <c r="DP50" s="18">
        <f>DO50*VLOOKUP('Données projet'!$B$14,Paramètres!$A$1:$I$89,3,0)*VLOOKUP('Données projet'!$B$14,Paramètres!$A$1:$I$89,5,0)</f>
        <v>144.27504000000005</v>
      </c>
      <c r="DQ50" s="14">
        <f t="shared" si="43"/>
        <v>37.274636092411413</v>
      </c>
      <c r="DR50" s="22">
        <f t="shared" si="16"/>
        <v>316.19901919428327</v>
      </c>
      <c r="DS50" s="60">
        <f t="shared" si="17"/>
        <v>609.53235252761658</v>
      </c>
      <c r="DT50" s="60">
        <f ca="1">AVERAGE(OFFSET($DS$3,0,0,'Données projet'!$E$14+1,1))-AVERAGE(OFFSET($H$3,0,0,'Données projet'!$E$14+1,1))</f>
        <v>275.11574966125522</v>
      </c>
      <c r="DU50" s="60">
        <f t="shared" si="44"/>
        <v>299.21520121860345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7.4</v>
      </c>
      <c r="N51" s="14">
        <f>IF('Données projet'!$A$36&gt;35,N50+M51-V50,IF(A51&lt;'Données projet'!$A$36,$K$205^A51,IF(A51='Données projet'!$A$36,'Données projet'!$B$36,N50+M51-V50)))</f>
        <v>220.20000000000007</v>
      </c>
      <c r="O51" s="14">
        <f>N51*VLOOKUP('Données projet'!$B$9,Paramètres!$A$1:$I$89,3,0)*VLOOKUP('Données projet'!$B$9,Paramètres!$A$1:$I$89,5,0)</f>
        <v>192.3667200000001</v>
      </c>
      <c r="P51" s="14">
        <f t="shared" si="33"/>
        <v>48.062823450978136</v>
      </c>
      <c r="Q51" s="22">
        <f t="shared" si="53"/>
        <v>418.74812151045376</v>
      </c>
      <c r="R51" s="60">
        <f t="shared" si="0"/>
        <v>712.08145484378701</v>
      </c>
      <c r="S51" s="60">
        <f ca="1">AVERAGE(OFFSET($R$3,0,0,'Données projet'!$E$9+1,1))-AVERAGE(OFFSET($H$3,0,0,'Données projet'!$E$9+1,1))</f>
        <v>369.34989412920129</v>
      </c>
      <c r="T51" s="60">
        <f t="shared" si="34"/>
        <v>371.26234252426553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8.6</v>
      </c>
      <c r="AI51" s="14">
        <f>IF('Données projet'!$A$62&gt;35,AI50+AH51-AQ50,IF(A51&lt;'Données projet'!$A$62,$AF$205^A51,IF(A51='Données projet'!$A$62,'Données projet'!$B$62,AI50+AH51-AQ50)))</f>
        <v>267.80000000000007</v>
      </c>
      <c r="AJ51" s="14">
        <f>AI51*VLOOKUP('Données projet'!$B$10,Paramètres!$A$1:$I$89,3,0)*VLOOKUP('Données projet'!$B$10,Paramètres!$A$1:$I$89,5,0)</f>
        <v>213.06168000000005</v>
      </c>
      <c r="AK51" s="14">
        <f t="shared" si="35"/>
        <v>52.604075157965084</v>
      </c>
      <c r="AL51" s="22">
        <f t="shared" si="4"/>
        <v>462.70119023345586</v>
      </c>
      <c r="AM51" s="60">
        <f t="shared" si="5"/>
        <v>756.03452356678918</v>
      </c>
      <c r="AN51" s="60">
        <f ca="1">AVERAGE(OFFSET($AM$3,0,0,'Données projet'!$E$10+1,1))-AVERAGE(OFFSET($H$3,0,0,'Données projet'!$E$10+1,1))</f>
        <v>370.79299728190904</v>
      </c>
      <c r="AO51" s="60">
        <f t="shared" si="36"/>
        <v>404.95703400805775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267.80000000000007</v>
      </c>
      <c r="BE51" s="14">
        <f>BD51*VLOOKUP('Données projet'!$B$11,Paramètres!$A$1:$I$89,3,0)*VLOOKUP('Données projet'!$B$11,Paramètres!$A$1:$I$89,5,0)</f>
        <v>196.35096000000004</v>
      </c>
      <c r="BF51" s="14">
        <f t="shared" si="37"/>
        <v>48.941361774933419</v>
      </c>
      <c r="BG51" s="22">
        <f t="shared" si="7"/>
        <v>427.21746042467572</v>
      </c>
      <c r="BH51" s="60">
        <f t="shared" si="8"/>
        <v>720.55079375800904</v>
      </c>
      <c r="BI51" s="60">
        <f ca="1">AVERAGE(OFFSET($BH$3,0,0,'Données projet'!$E$11+1,1))-AVERAGE(OFFSET($H$3,0,0,'Données projet'!$E$11+1,1))</f>
        <v>344.63665697794022</v>
      </c>
      <c r="BJ51" s="60">
        <f t="shared" si="38"/>
        <v>376.72762011188041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209.00000000000006</v>
      </c>
      <c r="BZ51" s="14">
        <f>BY51*VLOOKUP('Données projet'!$B$12,Paramètres!$A$1:$I$89,3,0)*VLOOKUP('Données projet'!$B$12,Paramètres!$A$1:$I$89,5,0)</f>
        <v>189.10320000000004</v>
      </c>
      <c r="CA51" s="14">
        <f t="shared" si="39"/>
        <v>47.341628542787163</v>
      </c>
      <c r="CB51" s="22">
        <f t="shared" si="10"/>
        <v>411.8080763786877</v>
      </c>
      <c r="CC51" s="60">
        <f t="shared" si="11"/>
        <v>705.14140971202096</v>
      </c>
      <c r="CD51" s="60">
        <f ca="1">AVERAGE(OFFSET($CC$3,0,0,'Données projet'!$E$12+1,1))-AVERAGE(OFFSET($H$3,0,0,'Données projet'!$E$12+1,1))</f>
        <v>529.25712986118265</v>
      </c>
      <c r="CE51" s="60">
        <f t="shared" si="40"/>
        <v>278.21741231699929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209.00000000000006</v>
      </c>
      <c r="CU51" s="18">
        <f>CT51*VLOOKUP('Données projet'!$B$13,Paramètres!$A$1:$I$89,3,0)*VLOOKUP('Données projet'!$B$13,Paramètres!$A$1:$I$89,5,0)</f>
        <v>176.06160000000008</v>
      </c>
      <c r="CV51" s="14">
        <f t="shared" si="41"/>
        <v>44.444839741138928</v>
      </c>
      <c r="CW51" s="22">
        <f t="shared" si="13"/>
        <v>384.04871588248375</v>
      </c>
      <c r="CX51" s="60">
        <f t="shared" si="14"/>
        <v>677.38204921581701</v>
      </c>
      <c r="CY51" s="60">
        <f ca="1">AVERAGE(OFFSET($CX$3,0,0,'Données projet'!$E$13+1,1))-AVERAGE(OFFSET($H$3,0,0,'Données projet'!$E$13+1,1))</f>
        <v>495.77338291316386</v>
      </c>
      <c r="CZ51" s="60">
        <f t="shared" si="42"/>
        <v>261.95434270986397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6.6</v>
      </c>
      <c r="DO51" s="13">
        <f>IF('Données projet'!$A$166&gt;35,DO50+DN51-DW50,IF(A51&lt;'Données projet'!$A$166,$DL$205^A51,IF(A51='Données projet'!$A$166,'Données projet'!$B$166,DO50+DN51-DW50)))</f>
        <v>226.80000000000007</v>
      </c>
      <c r="DP51" s="18">
        <f>DO51*VLOOKUP('Données projet'!$B$14,Paramètres!$A$1:$I$89,3,0)*VLOOKUP('Données projet'!$B$14,Paramètres!$A$1:$I$89,5,0)</f>
        <v>148.59936000000005</v>
      </c>
      <c r="DQ51" s="14">
        <f t="shared" si="43"/>
        <v>38.26011157093118</v>
      </c>
      <c r="DR51" s="22">
        <f t="shared" si="16"/>
        <v>325.44691298603851</v>
      </c>
      <c r="DS51" s="60">
        <f t="shared" si="17"/>
        <v>618.78024631937183</v>
      </c>
      <c r="DT51" s="60">
        <f ca="1">AVERAGE(OFFSET($DS$3,0,0,'Données projet'!$E$14+1,1))-AVERAGE(OFFSET($H$3,0,0,'Données projet'!$E$14+1,1))</f>
        <v>275.11574966125522</v>
      </c>
      <c r="DU51" s="60">
        <f t="shared" si="44"/>
        <v>299.21520121860345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7.4</v>
      </c>
      <c r="N52" s="14">
        <f>IF('Données projet'!$A$36&gt;35,N51+M52-V51,IF(A52&lt;'Données projet'!$A$36,$K$205^A52,IF(A52='Données projet'!$A$36,'Données projet'!$B$36,N51+M52-V51)))</f>
        <v>227.60000000000008</v>
      </c>
      <c r="O52" s="14">
        <f>N52*VLOOKUP('Données projet'!$B$9,Paramètres!$A$1:$I$89,3,0)*VLOOKUP('Données projet'!$B$9,Paramètres!$A$1:$I$89,5,0)</f>
        <v>198.8313600000001</v>
      </c>
      <c r="P52" s="14">
        <f t="shared" si="33"/>
        <v>49.48724849224233</v>
      </c>
      <c r="Q52" s="22">
        <f t="shared" si="53"/>
        <v>432.48824312398892</v>
      </c>
      <c r="R52" s="60">
        <f t="shared" si="0"/>
        <v>725.82157645732218</v>
      </c>
      <c r="S52" s="60">
        <f ca="1">AVERAGE(OFFSET($R$3,0,0,'Données projet'!$E$9+1,1))-AVERAGE(OFFSET($H$3,0,0,'Données projet'!$E$9+1,1))</f>
        <v>369.34989412920129</v>
      </c>
      <c r="T52" s="60">
        <f t="shared" si="34"/>
        <v>371.26234252426553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8.6</v>
      </c>
      <c r="AI52" s="14">
        <f>IF('Données projet'!$A$62&gt;35,AI51+AH52-AQ51,IF(A52&lt;'Données projet'!$A$62,$AF$205^A52,IF(A52='Données projet'!$A$62,'Données projet'!$B$62,AI51+AH52-AQ51)))</f>
        <v>276.40000000000009</v>
      </c>
      <c r="AJ52" s="14">
        <f>AI52*VLOOKUP('Données projet'!$B$10,Paramètres!$A$1:$I$89,3,0)*VLOOKUP('Données projet'!$B$10,Paramètres!$A$1:$I$89,5,0)</f>
        <v>219.90384000000009</v>
      </c>
      <c r="AK52" s="14">
        <f t="shared" si="35"/>
        <v>54.093985287951313</v>
      </c>
      <c r="AL52" s="22">
        <f t="shared" si="4"/>
        <v>477.212879043182</v>
      </c>
      <c r="AM52" s="60">
        <f t="shared" si="5"/>
        <v>770.54621237651531</v>
      </c>
      <c r="AN52" s="60">
        <f ca="1">AVERAGE(OFFSET($AM$3,0,0,'Données projet'!$E$10+1,1))-AVERAGE(OFFSET($H$3,0,0,'Données projet'!$E$10+1,1))</f>
        <v>370.79299728190904</v>
      </c>
      <c r="AO52" s="60">
        <f t="shared" si="36"/>
        <v>404.95703400805775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276.40000000000009</v>
      </c>
      <c r="BE52" s="14">
        <f>BD52*VLOOKUP('Données projet'!$B$11,Paramètres!$A$1:$I$89,3,0)*VLOOKUP('Données projet'!$B$11,Paramètres!$A$1:$I$89,5,0)</f>
        <v>202.65648000000007</v>
      </c>
      <c r="BF52" s="14">
        <f t="shared" si="37"/>
        <v>50.327532531948449</v>
      </c>
      <c r="BG52" s="22">
        <f t="shared" si="7"/>
        <v>440.61382182647702</v>
      </c>
      <c r="BH52" s="60">
        <f t="shared" si="8"/>
        <v>733.94715515981034</v>
      </c>
      <c r="BI52" s="60">
        <f ca="1">AVERAGE(OFFSET($BH$3,0,0,'Données projet'!$E$11+1,1))-AVERAGE(OFFSET($H$3,0,0,'Données projet'!$E$11+1,1))</f>
        <v>344.63665697794022</v>
      </c>
      <c r="BJ52" s="60">
        <f t="shared" si="38"/>
        <v>376.72762011188041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220.00000000000006</v>
      </c>
      <c r="BZ52" s="14">
        <f>BY52*VLOOKUP('Données projet'!$B$12,Paramètres!$A$1:$I$89,3,0)*VLOOKUP('Données projet'!$B$12,Paramètres!$A$1:$I$89,5,0)</f>
        <v>199.05600000000004</v>
      </c>
      <c r="CA52" s="14">
        <f t="shared" si="39"/>
        <v>49.536648006253934</v>
      </c>
      <c r="CB52" s="22">
        <f t="shared" si="10"/>
        <v>432.96552861089231</v>
      </c>
      <c r="CC52" s="60">
        <f t="shared" si="11"/>
        <v>726.29886194422556</v>
      </c>
      <c r="CD52" s="60">
        <f ca="1">AVERAGE(OFFSET($CC$3,0,0,'Données projet'!$E$12+1,1))-AVERAGE(OFFSET($H$3,0,0,'Données projet'!$E$12+1,1))</f>
        <v>529.25712986118265</v>
      </c>
      <c r="CE52" s="60">
        <f t="shared" si="40"/>
        <v>278.21741231699929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220.00000000000006</v>
      </c>
      <c r="CU52" s="18">
        <f>CT52*VLOOKUP('Données projet'!$B$13,Paramètres!$A$1:$I$89,3,0)*VLOOKUP('Données projet'!$B$13,Paramètres!$A$1:$I$89,5,0)</f>
        <v>185.32800000000006</v>
      </c>
      <c r="CV52" s="14">
        <f t="shared" si="41"/>
        <v>46.505548070897625</v>
      </c>
      <c r="CW52" s="22">
        <f t="shared" si="13"/>
        <v>403.77676289014676</v>
      </c>
      <c r="CX52" s="60">
        <f t="shared" si="14"/>
        <v>697.11009622348001</v>
      </c>
      <c r="CY52" s="60">
        <f ca="1">AVERAGE(OFFSET($CX$3,0,0,'Données projet'!$E$13+1,1))-AVERAGE(OFFSET($H$3,0,0,'Données projet'!$E$13+1,1))</f>
        <v>495.77338291316386</v>
      </c>
      <c r="CZ52" s="60">
        <f t="shared" si="42"/>
        <v>261.95434270986397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6.6</v>
      </c>
      <c r="DO52" s="13">
        <f>IF('Données projet'!$A$166&gt;35,DO51+DN52-DW51,IF(A52&lt;'Données projet'!$A$166,$DL$205^A52,IF(A52='Données projet'!$A$166,'Données projet'!$B$166,DO51+DN52-DW51)))</f>
        <v>233.40000000000006</v>
      </c>
      <c r="DP52" s="18">
        <f>DO52*VLOOKUP('Données projet'!$B$14,Paramètres!$A$1:$I$89,3,0)*VLOOKUP('Données projet'!$B$14,Paramètres!$A$1:$I$89,5,0)</f>
        <v>152.92368000000005</v>
      </c>
      <c r="DQ52" s="14">
        <f t="shared" si="43"/>
        <v>39.242254096949601</v>
      </c>
      <c r="DR52" s="22">
        <f t="shared" si="16"/>
        <v>334.68900188552061</v>
      </c>
      <c r="DS52" s="60">
        <f t="shared" si="17"/>
        <v>628.02233521885387</v>
      </c>
      <c r="DT52" s="60">
        <f ca="1">AVERAGE(OFFSET($DS$3,0,0,'Données projet'!$E$14+1,1))-AVERAGE(OFFSET($H$3,0,0,'Données projet'!$E$14+1,1))</f>
        <v>275.11574966125522</v>
      </c>
      <c r="DU52" s="60">
        <f t="shared" si="44"/>
        <v>299.21520121860345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235</v>
      </c>
      <c r="L53" s="13">
        <f>VLOOKUP(A53,'Données projet'!$A$35:$I$55,9,0)</f>
        <v>7.4</v>
      </c>
      <c r="M53" s="13">
        <f t="array" ref="M53">INDEX(L:L,MIN(IF(ISNUMBER(L53:L249),ROW(L53:L249),"")))</f>
        <v>7.4</v>
      </c>
      <c r="N53" s="14">
        <f>IF('Données projet'!$A$36&gt;35,N52+M53-V52,IF(A53&lt;'Données projet'!$A$36,$K$205^A53,IF(A53='Données projet'!$A$36,'Données projet'!$B$36,N52+M53-V52)))</f>
        <v>235.00000000000009</v>
      </c>
      <c r="O53" s="14">
        <f>N53*VLOOKUP('Données projet'!$B$9,Paramètres!$A$1:$I$89,3,0)*VLOOKUP('Données projet'!$B$9,Paramètres!$A$1:$I$89,5,0)</f>
        <v>205.29600000000008</v>
      </c>
      <c r="P53" s="14">
        <f t="shared" si="33"/>
        <v>50.906291934375396</v>
      </c>
      <c r="Q53" s="22">
        <f t="shared" si="53"/>
        <v>446.21899178570385</v>
      </c>
      <c r="R53" s="60">
        <f t="shared" si="0"/>
        <v>739.55232511903716</v>
      </c>
      <c r="S53" s="60">
        <f ca="1">AVERAGE(OFFSET($R$3,0,0,'Données projet'!$E$9+1,1))-AVERAGE(OFFSET($H$3,0,0,'Données projet'!$E$9+1,1))</f>
        <v>369.34989412920129</v>
      </c>
      <c r="T53" s="60">
        <f t="shared" si="34"/>
        <v>371.26234252426553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50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285</v>
      </c>
      <c r="AG53" s="13">
        <f>VLOOKUP(A53,'Données projet'!$A$61:$I$81,9,0)</f>
        <v>8.6</v>
      </c>
      <c r="AH53" s="13">
        <f t="array" ref="AH53">INDEX(AG:AG,MIN(IF(ISNUMBER(AG53:AG249),ROW(AG53:AG249),"")))</f>
        <v>8.6</v>
      </c>
      <c r="AI53" s="14">
        <f>IF('Données projet'!$A$62&gt;35,AI52+AH53-AQ52,IF(A53&lt;'Données projet'!$A$62,$AF$205^A53,IF(A53='Données projet'!$A$62,'Données projet'!$B$62,AI52+AH53-AQ52)))</f>
        <v>285.00000000000011</v>
      </c>
      <c r="AJ53" s="14">
        <f>AI53*VLOOKUP('Données projet'!$B$10,Paramètres!$A$1:$I$89,3,0)*VLOOKUP('Données projet'!$B$10,Paramètres!$A$1:$I$89,5,0)</f>
        <v>226.74600000000009</v>
      </c>
      <c r="AK53" s="14">
        <f t="shared" si="35"/>
        <v>55.578508240245966</v>
      </c>
      <c r="AL53" s="22">
        <f t="shared" si="4"/>
        <v>491.71518518509515</v>
      </c>
      <c r="AM53" s="60">
        <f t="shared" si="5"/>
        <v>785.04851851842841</v>
      </c>
      <c r="AN53" s="60">
        <f ca="1">AVERAGE(OFFSET($AM$3,0,0,'Données projet'!$E$10+1,1))-AVERAGE(OFFSET($H$3,0,0,'Données projet'!$E$10+1,1))</f>
        <v>370.79299728190904</v>
      </c>
      <c r="AO53" s="60">
        <f t="shared" si="36"/>
        <v>404.95703400805775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285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285.00000000000011</v>
      </c>
      <c r="BE53" s="14">
        <f>BD53*VLOOKUP('Données projet'!$B$11,Paramètres!$A$1:$I$89,3,0)*VLOOKUP('Données projet'!$B$11,Paramètres!$A$1:$I$89,5,0)</f>
        <v>208.96200000000007</v>
      </c>
      <c r="BF53" s="14">
        <f t="shared" si="37"/>
        <v>51.708691209356424</v>
      </c>
      <c r="BG53" s="22">
        <f t="shared" si="7"/>
        <v>454.00145385629588</v>
      </c>
      <c r="BH53" s="60">
        <f t="shared" si="8"/>
        <v>747.3347871896292</v>
      </c>
      <c r="BI53" s="60">
        <f ca="1">AVERAGE(OFFSET($BH$3,0,0,'Données projet'!$E$11+1,1))-AVERAGE(OFFSET($H$3,0,0,'Données projet'!$E$11+1,1))</f>
        <v>344.63665697794022</v>
      </c>
      <c r="BJ53" s="60">
        <f t="shared" si="38"/>
        <v>376.72762011188041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231.00000000000006</v>
      </c>
      <c r="BZ53" s="14">
        <f>BY53*VLOOKUP('Données projet'!$B$12,Paramètres!$A$1:$I$89,3,0)*VLOOKUP('Données projet'!$B$12,Paramètres!$A$1:$I$89,5,0)</f>
        <v>209.00880000000004</v>
      </c>
      <c r="CA53" s="14">
        <f t="shared" si="39"/>
        <v>51.718923953824252</v>
      </c>
      <c r="CB53" s="22">
        <f t="shared" si="10"/>
        <v>454.10078588624395</v>
      </c>
      <c r="CC53" s="60">
        <f t="shared" si="11"/>
        <v>747.43411921957727</v>
      </c>
      <c r="CD53" s="60">
        <f ca="1">AVERAGE(OFFSET($CC$3,0,0,'Données projet'!$E$12+1,1))-AVERAGE(OFFSET($H$3,0,0,'Données projet'!$E$12+1,1))</f>
        <v>529.25712986118265</v>
      </c>
      <c r="CE53" s="60">
        <f t="shared" si="40"/>
        <v>278.21741231699929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231.00000000000006</v>
      </c>
      <c r="CU53" s="18">
        <f>CT53*VLOOKUP('Données projet'!$B$13,Paramètres!$A$1:$I$89,3,0)*VLOOKUP('Données projet'!$B$13,Paramètres!$A$1:$I$89,5,0)</f>
        <v>194.59440000000006</v>
      </c>
      <c r="CV53" s="14">
        <f t="shared" si="41"/>
        <v>48.554292648263456</v>
      </c>
      <c r="CW53" s="22">
        <f t="shared" si="13"/>
        <v>423.48397302905897</v>
      </c>
      <c r="CX53" s="60">
        <f t="shared" si="14"/>
        <v>716.81730636239229</v>
      </c>
      <c r="CY53" s="60">
        <f ca="1">AVERAGE(OFFSET($CX$3,0,0,'Données projet'!$E$13+1,1))-AVERAGE(OFFSET($H$3,0,0,'Données projet'!$E$13+1,1))</f>
        <v>495.77338291316386</v>
      </c>
      <c r="CZ53" s="60">
        <f t="shared" si="42"/>
        <v>261.95434270986397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240</v>
      </c>
      <c r="DM53" s="13">
        <f>VLOOKUP(A53,'Données projet'!$A$165:$I$185,9,0)</f>
        <v>6.6</v>
      </c>
      <c r="DN53" s="13">
        <f t="array" ref="DN53">INDEX(DM:DM,MIN(IF(ISNUMBER(DM53:DM249),ROW(DM53:DM249),"")))</f>
        <v>6.6</v>
      </c>
      <c r="DO53" s="13">
        <f>IF('Données projet'!$A$166&gt;35,DO52+DN53-DW52,IF(A53&lt;'Données projet'!$A$166,$DL$205^A53,IF(A53='Données projet'!$A$166,'Données projet'!$B$166,DO52+DN53-DW52)))</f>
        <v>240.00000000000006</v>
      </c>
      <c r="DP53" s="18">
        <f>DO53*VLOOKUP('Données projet'!$B$14,Paramètres!$A$1:$I$89,3,0)*VLOOKUP('Données projet'!$B$14,Paramètres!$A$1:$I$89,5,0)</f>
        <v>157.24800000000005</v>
      </c>
      <c r="DQ53" s="14">
        <f t="shared" si="43"/>
        <v>40.221168744348645</v>
      </c>
      <c r="DR53" s="22">
        <f t="shared" si="16"/>
        <v>343.92546889640727</v>
      </c>
      <c r="DS53" s="60">
        <f t="shared" si="17"/>
        <v>637.25880222974058</v>
      </c>
      <c r="DT53" s="60">
        <f ca="1">AVERAGE(OFFSET($DS$3,0,0,'Données projet'!$E$14+1,1))-AVERAGE(OFFSET($H$3,0,0,'Données projet'!$E$14+1,1))</f>
        <v>275.11574966125522</v>
      </c>
      <c r="DU53" s="60">
        <f t="shared" si="44"/>
        <v>299.21520121860345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6.6</v>
      </c>
      <c r="N54" s="14">
        <f>IF('Données projet'!$A$36&gt;35,N53+M54-V53,IF(A54&lt;'Données projet'!$A$36,$K$205^A54,IF(A54='Données projet'!$A$36,'Données projet'!$B$36,N53+M54-V53)))</f>
        <v>191.60000000000008</v>
      </c>
      <c r="O54" s="14">
        <f>N54*VLOOKUP('Données projet'!$B$9,Paramètres!$A$1:$I$89,3,0)*VLOOKUP('Données projet'!$B$9,Paramètres!$A$1:$I$89,5,0)</f>
        <v>167.38176000000007</v>
      </c>
      <c r="P54" s="14">
        <f t="shared" si="33"/>
        <v>42.503096259839239</v>
      </c>
      <c r="Q54" s="22">
        <f t="shared" si="53"/>
        <v>365.5494579858867</v>
      </c>
      <c r="R54" s="60">
        <f t="shared" si="0"/>
        <v>658.88279131922002</v>
      </c>
      <c r="S54" s="60">
        <f ca="1">AVERAGE(OFFSET($R$3,0,0,'Données projet'!$E$9+1,1))-AVERAGE(OFFSET($H$3,0,0,'Données projet'!$E$9+1,1))</f>
        <v>369.34989412920129</v>
      </c>
      <c r="T54" s="60">
        <f t="shared" si="34"/>
        <v>371.26234252426553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7.4</v>
      </c>
      <c r="AI54" s="14">
        <f>IF('Données projet'!$A$62&gt;35,AI53+AH54-AQ53,IF(A54&lt;'Données projet'!$A$62,$AF$205^A54,IF(A54='Données projet'!$A$62,'Données projet'!$B$62,AI53+AH54-AQ53)))</f>
        <v>249.40000000000009</v>
      </c>
      <c r="AJ54" s="14">
        <f>AI54*VLOOKUP('Données projet'!$B$10,Paramètres!$A$1:$I$89,3,0)*VLOOKUP('Données projet'!$B$10,Paramètres!$A$1:$I$89,5,0)</f>
        <v>198.42264000000009</v>
      </c>
      <c r="AK54" s="14">
        <f t="shared" si="35"/>
        <v>49.397352151183256</v>
      </c>
      <c r="AL54" s="22">
        <f t="shared" si="4"/>
        <v>431.61981966331092</v>
      </c>
      <c r="AM54" s="60">
        <f t="shared" si="5"/>
        <v>724.95315299664423</v>
      </c>
      <c r="AN54" s="60">
        <f ca="1">AVERAGE(OFFSET($AM$3,0,0,'Données projet'!$E$10+1,1))-AVERAGE(OFFSET($H$3,0,0,'Données projet'!$E$10+1,1))</f>
        <v>370.79299728190904</v>
      </c>
      <c r="AO54" s="60">
        <f t="shared" si="36"/>
        <v>404.95703400805775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249.40000000000009</v>
      </c>
      <c r="BE54" s="14">
        <f>BD54*VLOOKUP('Données projet'!$B$11,Paramètres!$A$1:$I$89,3,0)*VLOOKUP('Données projet'!$B$11,Paramètres!$A$1:$I$89,5,0)</f>
        <v>182.86008000000007</v>
      </c>
      <c r="BF54" s="14">
        <f t="shared" si="37"/>
        <v>45.957916284909516</v>
      </c>
      <c r="BG54" s="22">
        <f t="shared" si="7"/>
        <v>398.52467686288418</v>
      </c>
      <c r="BH54" s="60">
        <f t="shared" si="8"/>
        <v>691.85801019621749</v>
      </c>
      <c r="BI54" s="60">
        <f ca="1">AVERAGE(OFFSET($BH$3,0,0,'Données projet'!$E$11+1,1))-AVERAGE(OFFSET($H$3,0,0,'Données projet'!$E$11+1,1))</f>
        <v>344.63665697794022</v>
      </c>
      <c r="BJ54" s="60">
        <f t="shared" si="38"/>
        <v>376.72762011188041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241.20000000000005</v>
      </c>
      <c r="BZ54" s="14">
        <f>BY54*VLOOKUP('Données projet'!$B$12,Paramètres!$A$1:$I$89,3,0)*VLOOKUP('Données projet'!$B$12,Paramètres!$A$1:$I$89,5,0)</f>
        <v>218.23776000000004</v>
      </c>
      <c r="CA54" s="14">
        <f t="shared" si="39"/>
        <v>53.731692470599071</v>
      </c>
      <c r="CB54" s="22">
        <f t="shared" si="10"/>
        <v>473.68012971962668</v>
      </c>
      <c r="CC54" s="60">
        <f t="shared" si="11"/>
        <v>767.01346305295999</v>
      </c>
      <c r="CD54" s="60">
        <f ca="1">AVERAGE(OFFSET($CC$3,0,0,'Données projet'!$E$12+1,1))-AVERAGE(OFFSET($H$3,0,0,'Données projet'!$E$12+1,1))</f>
        <v>529.25712986118265</v>
      </c>
      <c r="CE54" s="60">
        <f t="shared" si="40"/>
        <v>278.21741231699929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241.20000000000005</v>
      </c>
      <c r="CU54" s="18">
        <f>CT54*VLOOKUP('Données projet'!$B$13,Paramètres!$A$1:$I$89,3,0)*VLOOKUP('Données projet'!$B$13,Paramètres!$A$1:$I$89,5,0)</f>
        <v>203.18688000000009</v>
      </c>
      <c r="CV54" s="14">
        <f t="shared" si="41"/>
        <v>50.443901791793827</v>
      </c>
      <c r="CW54" s="22">
        <f t="shared" si="13"/>
        <v>441.74027828737439</v>
      </c>
      <c r="CX54" s="60">
        <f t="shared" si="14"/>
        <v>735.07361162070765</v>
      </c>
      <c r="CY54" s="60">
        <f ca="1">AVERAGE(OFFSET($CX$3,0,0,'Données projet'!$E$13+1,1))-AVERAGE(OFFSET($H$3,0,0,'Données projet'!$E$13+1,1))</f>
        <v>495.77338291316386</v>
      </c>
      <c r="CZ54" s="60">
        <f t="shared" si="42"/>
        <v>261.95434270986397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6.4</v>
      </c>
      <c r="DO54" s="13">
        <f>IF('Données projet'!$A$166&gt;35,DO53+DN54-DW53,IF(A54&lt;'Données projet'!$A$166,$DL$205^A54,IF(A54='Données projet'!$A$166,'Données projet'!$B$166,DO53+DN54-DW53)))</f>
        <v>197.40000000000006</v>
      </c>
      <c r="DP54" s="18">
        <f>DO54*VLOOKUP('Données projet'!$B$14,Paramètres!$A$1:$I$89,3,0)*VLOOKUP('Données projet'!$B$14,Paramètres!$A$1:$I$89,5,0)</f>
        <v>129.33648000000005</v>
      </c>
      <c r="DQ54" s="14">
        <f t="shared" si="43"/>
        <v>33.84299371090448</v>
      </c>
      <c r="DR54" s="22">
        <f t="shared" si="16"/>
        <v>284.20425004649206</v>
      </c>
      <c r="DS54" s="60">
        <f t="shared" si="17"/>
        <v>577.53758337982538</v>
      </c>
      <c r="DT54" s="60">
        <f ca="1">AVERAGE(OFFSET($DS$3,0,0,'Données projet'!$E$14+1,1))-AVERAGE(OFFSET($H$3,0,0,'Données projet'!$E$14+1,1))</f>
        <v>275.11574966125522</v>
      </c>
      <c r="DU54" s="60">
        <f t="shared" si="44"/>
        <v>299.21520121860345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6.6</v>
      </c>
      <c r="N55" s="14">
        <f>IF('Données projet'!$A$36&gt;35,N54+M55-V54,IF(A55&lt;'Données projet'!$A$36,$K$205^A55,IF(A55='Données projet'!$A$36,'Données projet'!$B$36,N54+M55-V54)))</f>
        <v>198.20000000000007</v>
      </c>
      <c r="O55" s="14">
        <f>N55*VLOOKUP('Données projet'!$B$9,Paramètres!$A$1:$I$89,3,0)*VLOOKUP('Données projet'!$B$9,Paramètres!$A$1:$I$89,5,0)</f>
        <v>173.14752000000007</v>
      </c>
      <c r="P55" s="14">
        <f t="shared" si="33"/>
        <v>43.794208927254068</v>
      </c>
      <c r="Q55" s="22">
        <f t="shared" si="53"/>
        <v>377.84017788163425</v>
      </c>
      <c r="R55" s="60">
        <f t="shared" si="0"/>
        <v>671.17351121496756</v>
      </c>
      <c r="S55" s="60">
        <f ca="1">AVERAGE(OFFSET($R$3,0,0,'Données projet'!$E$9+1,1))-AVERAGE(OFFSET($H$3,0,0,'Données projet'!$E$9+1,1))</f>
        <v>369.34989412920129</v>
      </c>
      <c r="T55" s="60">
        <f t="shared" si="34"/>
        <v>371.26234252426553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7.4</v>
      </c>
      <c r="AI55" s="14">
        <f>IF('Données projet'!$A$62&gt;35,AI54+AH55-AQ54,IF(A55&lt;'Données projet'!$A$62,$AF$205^A55,IF(A55='Données projet'!$A$62,'Données projet'!$B$62,AI54+AH55-AQ54)))</f>
        <v>256.80000000000007</v>
      </c>
      <c r="AJ55" s="14">
        <f>AI55*VLOOKUP('Données projet'!$B$10,Paramètres!$A$1:$I$89,3,0)*VLOOKUP('Données projet'!$B$10,Paramètres!$A$1:$I$89,5,0)</f>
        <v>204.31008000000008</v>
      </c>
      <c r="AK55" s="14">
        <f t="shared" si="35"/>
        <v>50.690214235398379</v>
      </c>
      <c r="AL55" s="22">
        <f t="shared" si="4"/>
        <v>444.12551245998566</v>
      </c>
      <c r="AM55" s="60">
        <f t="shared" si="5"/>
        <v>737.45884579331891</v>
      </c>
      <c r="AN55" s="60">
        <f ca="1">AVERAGE(OFFSET($AM$3,0,0,'Données projet'!$E$10+1,1))-AVERAGE(OFFSET($H$3,0,0,'Données projet'!$E$10+1,1))</f>
        <v>370.79299728190904</v>
      </c>
      <c r="AO55" s="60">
        <f t="shared" si="36"/>
        <v>404.95703400805775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256.80000000000007</v>
      </c>
      <c r="BE55" s="14">
        <f>BD55*VLOOKUP('Données projet'!$B$11,Paramètres!$A$1:$I$89,3,0)*VLOOKUP('Données projet'!$B$11,Paramètres!$A$1:$I$89,5,0)</f>
        <v>188.28576000000004</v>
      </c>
      <c r="BF55" s="14">
        <f t="shared" si="37"/>
        <v>47.160759045639651</v>
      </c>
      <c r="BG55" s="22">
        <f t="shared" si="7"/>
        <v>410.06935400448907</v>
      </c>
      <c r="BH55" s="60">
        <f t="shared" si="8"/>
        <v>703.40268733782239</v>
      </c>
      <c r="BI55" s="60">
        <f ca="1">AVERAGE(OFFSET($BH$3,0,0,'Données projet'!$E$11+1,1))-AVERAGE(OFFSET($H$3,0,0,'Données projet'!$E$11+1,1))</f>
        <v>344.63665697794022</v>
      </c>
      <c r="BJ55" s="60">
        <f t="shared" si="38"/>
        <v>376.72762011188041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251.40000000000003</v>
      </c>
      <c r="BZ55" s="14">
        <f>BY55*VLOOKUP('Données projet'!$B$12,Paramètres!$A$1:$I$89,3,0)*VLOOKUP('Données projet'!$B$12,Paramètres!$A$1:$I$89,5,0)</f>
        <v>227.46672000000004</v>
      </c>
      <c r="CA55" s="14">
        <f t="shared" si="39"/>
        <v>55.734574592438989</v>
      </c>
      <c r="CB55" s="22">
        <f t="shared" si="10"/>
        <v>493.24225474849794</v>
      </c>
      <c r="CC55" s="60">
        <f t="shared" si="11"/>
        <v>786.57558808183126</v>
      </c>
      <c r="CD55" s="60">
        <f ca="1">AVERAGE(OFFSET($CC$3,0,0,'Données projet'!$E$12+1,1))-AVERAGE(OFFSET($H$3,0,0,'Données projet'!$E$12+1,1))</f>
        <v>529.25712986118265</v>
      </c>
      <c r="CE55" s="60">
        <f t="shared" si="40"/>
        <v>278.21741231699929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251.40000000000003</v>
      </c>
      <c r="CU55" s="18">
        <f>CT55*VLOOKUP('Données projet'!$B$13,Paramètres!$A$1:$I$89,3,0)*VLOOKUP('Données projet'!$B$13,Paramètres!$A$1:$I$89,5,0)</f>
        <v>211.77936000000005</v>
      </c>
      <c r="CV55" s="14">
        <f t="shared" si="41"/>
        <v>52.324229479404138</v>
      </c>
      <c r="CW55" s="22">
        <f t="shared" si="13"/>
        <v>459.98041834329564</v>
      </c>
      <c r="CX55" s="60">
        <f t="shared" si="14"/>
        <v>753.31375167662895</v>
      </c>
      <c r="CY55" s="60">
        <f ca="1">AVERAGE(OFFSET($CX$3,0,0,'Données projet'!$E$13+1,1))-AVERAGE(OFFSET($H$3,0,0,'Données projet'!$E$13+1,1))</f>
        <v>495.77338291316386</v>
      </c>
      <c r="CZ55" s="60">
        <f t="shared" si="42"/>
        <v>261.95434270986397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6.4</v>
      </c>
      <c r="DO55" s="13">
        <f>IF('Données projet'!$A$166&gt;35,DO54+DN55-DW54,IF(A55&lt;'Données projet'!$A$166,$DL$205^A55,IF(A55='Données projet'!$A$166,'Données projet'!$B$166,DO54+DN55-DW54)))</f>
        <v>203.80000000000007</v>
      </c>
      <c r="DP55" s="18">
        <f>DO55*VLOOKUP('Données projet'!$B$14,Paramètres!$A$1:$I$89,3,0)*VLOOKUP('Données projet'!$B$14,Paramètres!$A$1:$I$89,5,0)</f>
        <v>133.52976000000007</v>
      </c>
      <c r="DQ55" s="14">
        <f t="shared" si="43"/>
        <v>34.810707184454238</v>
      </c>
      <c r="DR55" s="22">
        <f t="shared" si="16"/>
        <v>293.19298034625791</v>
      </c>
      <c r="DS55" s="60">
        <f t="shared" si="17"/>
        <v>586.52631367959123</v>
      </c>
      <c r="DT55" s="60">
        <f ca="1">AVERAGE(OFFSET($DS$3,0,0,'Données projet'!$E$14+1,1))-AVERAGE(OFFSET($H$3,0,0,'Données projet'!$E$14+1,1))</f>
        <v>275.11574966125522</v>
      </c>
      <c r="DU55" s="60">
        <f t="shared" si="44"/>
        <v>299.21520121860345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6.6</v>
      </c>
      <c r="N56" s="14">
        <f>IF('Données projet'!$A$36&gt;35,N55+M56-V55,IF(A56&lt;'Données projet'!$A$36,$K$205^A56,IF(A56='Données projet'!$A$36,'Données projet'!$B$36,N55+M56-V55)))</f>
        <v>204.80000000000007</v>
      </c>
      <c r="O56" s="14">
        <f>N56*VLOOKUP('Données projet'!$B$9,Paramètres!$A$1:$I$89,3,0)*VLOOKUP('Données projet'!$B$9,Paramètres!$A$1:$I$89,5,0)</f>
        <v>178.91328000000007</v>
      </c>
      <c r="P56" s="14">
        <f t="shared" si="33"/>
        <v>45.080325843494848</v>
      </c>
      <c r="Q56" s="22">
        <f t="shared" si="53"/>
        <v>390.122196844087</v>
      </c>
      <c r="R56" s="60">
        <f t="shared" si="0"/>
        <v>683.45553017742031</v>
      </c>
      <c r="S56" s="60">
        <f ca="1">AVERAGE(OFFSET($R$3,0,0,'Données projet'!$E$9+1,1))-AVERAGE(OFFSET($H$3,0,0,'Données projet'!$E$9+1,1))</f>
        <v>369.34989412920129</v>
      </c>
      <c r="T56" s="60">
        <f t="shared" si="34"/>
        <v>371.26234252426553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7.4</v>
      </c>
      <c r="AI56" s="14">
        <f>IF('Données projet'!$A$62&gt;35,AI55+AH56-AQ55,IF(A56&lt;'Données projet'!$A$62,$AF$205^A56,IF(A56='Données projet'!$A$62,'Données projet'!$B$62,AI55+AH56-AQ55)))</f>
        <v>264.20000000000005</v>
      </c>
      <c r="AJ56" s="14">
        <f>AI56*VLOOKUP('Données projet'!$B$10,Paramètres!$A$1:$I$89,3,0)*VLOOKUP('Données projet'!$B$10,Paramètres!$A$1:$I$89,5,0)</f>
        <v>210.19752000000003</v>
      </c>
      <c r="AK56" s="14">
        <f t="shared" si="35"/>
        <v>51.978746425856599</v>
      </c>
      <c r="AL56" s="22">
        <f t="shared" si="4"/>
        <v>456.62366402503358</v>
      </c>
      <c r="AM56" s="60">
        <f t="shared" si="5"/>
        <v>749.95699735836683</v>
      </c>
      <c r="AN56" s="60">
        <f ca="1">AVERAGE(OFFSET($AM$3,0,0,'Données projet'!$E$10+1,1))-AVERAGE(OFFSET($H$3,0,0,'Données projet'!$E$10+1,1))</f>
        <v>370.79299728190904</v>
      </c>
      <c r="AO56" s="60">
        <f t="shared" si="36"/>
        <v>404.95703400805775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264.20000000000005</v>
      </c>
      <c r="BE56" s="14">
        <f>BD56*VLOOKUP('Données projet'!$B$11,Paramètres!$A$1:$I$89,3,0)*VLOOKUP('Données projet'!$B$11,Paramètres!$A$1:$I$89,5,0)</f>
        <v>193.71144000000004</v>
      </c>
      <c r="BF56" s="14">
        <f t="shared" si="37"/>
        <v>48.359573394195252</v>
      </c>
      <c r="BG56" s="22">
        <f t="shared" si="7"/>
        <v>421.60701499489011</v>
      </c>
      <c r="BH56" s="60">
        <f t="shared" si="8"/>
        <v>714.94034832822342</v>
      </c>
      <c r="BI56" s="60">
        <f ca="1">AVERAGE(OFFSET($BH$3,0,0,'Données projet'!$E$11+1,1))-AVERAGE(OFFSET($H$3,0,0,'Données projet'!$E$11+1,1))</f>
        <v>344.63665697794022</v>
      </c>
      <c r="BJ56" s="60">
        <f t="shared" si="38"/>
        <v>376.72762011188041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261.60000000000002</v>
      </c>
      <c r="BZ56" s="14">
        <f>BY56*VLOOKUP('Données projet'!$B$12,Paramètres!$A$1:$I$89,3,0)*VLOOKUP('Données projet'!$B$12,Paramètres!$A$1:$I$89,5,0)</f>
        <v>236.69568000000001</v>
      </c>
      <c r="CA56" s="14">
        <f t="shared" si="39"/>
        <v>57.72801732243034</v>
      </c>
      <c r="CB56" s="22">
        <f t="shared" si="10"/>
        <v>512.78793950323291</v>
      </c>
      <c r="CC56" s="60">
        <f t="shared" si="11"/>
        <v>806.12127283656628</v>
      </c>
      <c r="CD56" s="60">
        <f ca="1">AVERAGE(OFFSET($CC$3,0,0,'Données projet'!$E$12+1,1))-AVERAGE(OFFSET($H$3,0,0,'Données projet'!$E$12+1,1))</f>
        <v>529.25712986118265</v>
      </c>
      <c r="CE56" s="60">
        <f t="shared" si="40"/>
        <v>278.21741231699929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261.60000000000002</v>
      </c>
      <c r="CU56" s="18">
        <f>CT56*VLOOKUP('Données projet'!$B$13,Paramètres!$A$1:$I$89,3,0)*VLOOKUP('Données projet'!$B$13,Paramètres!$A$1:$I$89,5,0)</f>
        <v>220.37184000000002</v>
      </c>
      <c r="CV56" s="14">
        <f t="shared" si="41"/>
        <v>54.195695362491193</v>
      </c>
      <c r="CW56" s="22">
        <f t="shared" si="13"/>
        <v>478.20512408967215</v>
      </c>
      <c r="CX56" s="60">
        <f t="shared" si="14"/>
        <v>771.53845742300541</v>
      </c>
      <c r="CY56" s="60">
        <f ca="1">AVERAGE(OFFSET($CX$3,0,0,'Données projet'!$E$13+1,1))-AVERAGE(OFFSET($H$3,0,0,'Données projet'!$E$13+1,1))</f>
        <v>495.77338291316386</v>
      </c>
      <c r="CZ56" s="60">
        <f t="shared" si="42"/>
        <v>261.95434270986397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6.4</v>
      </c>
      <c r="DO56" s="13">
        <f>IF('Données projet'!$A$166&gt;35,DO55+DN56-DW55,IF(A56&lt;'Données projet'!$A$166,$DL$205^A56,IF(A56='Données projet'!$A$166,'Données projet'!$B$166,DO55+DN56-DW55)))</f>
        <v>210.20000000000007</v>
      </c>
      <c r="DP56" s="18">
        <f>DO56*VLOOKUP('Données projet'!$B$14,Paramètres!$A$1:$I$89,3,0)*VLOOKUP('Données projet'!$B$14,Paramètres!$A$1:$I$89,5,0)</f>
        <v>137.72304000000005</v>
      </c>
      <c r="DQ56" s="14">
        <f t="shared" si="43"/>
        <v>35.774889172094717</v>
      </c>
      <c r="DR56" s="22">
        <f t="shared" si="16"/>
        <v>302.1755599747317</v>
      </c>
      <c r="DS56" s="60">
        <f t="shared" si="17"/>
        <v>595.50889330806501</v>
      </c>
      <c r="DT56" s="60">
        <f ca="1">AVERAGE(OFFSET($DS$3,0,0,'Données projet'!$E$14+1,1))-AVERAGE(OFFSET($H$3,0,0,'Données projet'!$E$14+1,1))</f>
        <v>275.11574966125522</v>
      </c>
      <c r="DU56" s="60">
        <f t="shared" si="44"/>
        <v>299.21520121860345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6.6</v>
      </c>
      <c r="N57" s="14">
        <f>IF('Données projet'!$A$36&gt;35,N56+M57-V56,IF(A57&lt;'Données projet'!$A$36,$K$205^A57,IF(A57='Données projet'!$A$36,'Données projet'!$B$36,N56+M57-V56)))</f>
        <v>211.40000000000006</v>
      </c>
      <c r="O57" s="14">
        <f>N57*VLOOKUP('Données projet'!$B$9,Paramètres!$A$1:$I$89,3,0)*VLOOKUP('Données projet'!$B$9,Paramètres!$A$1:$I$89,5,0)</f>
        <v>184.67904000000007</v>
      </c>
      <c r="P57" s="14">
        <f t="shared" si="33"/>
        <v>46.361626470742223</v>
      </c>
      <c r="Q57" s="22">
        <f t="shared" si="53"/>
        <v>402.39582743654279</v>
      </c>
      <c r="R57" s="60">
        <f t="shared" si="0"/>
        <v>695.7291607698761</v>
      </c>
      <c r="S57" s="60">
        <f ca="1">AVERAGE(OFFSET($R$3,0,0,'Données projet'!$E$9+1,1))-AVERAGE(OFFSET($H$3,0,0,'Données projet'!$E$9+1,1))</f>
        <v>369.34989412920129</v>
      </c>
      <c r="T57" s="60">
        <f t="shared" si="34"/>
        <v>371.26234252426553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7.4</v>
      </c>
      <c r="AI57" s="14">
        <f>IF('Données projet'!$A$62&gt;35,AI56+AH57-AQ56,IF(A57&lt;'Données projet'!$A$62,$AF$205^A57,IF(A57='Données projet'!$A$62,'Données projet'!$B$62,AI56+AH57-AQ56)))</f>
        <v>271.60000000000002</v>
      </c>
      <c r="AJ57" s="14">
        <f>AI57*VLOOKUP('Données projet'!$B$10,Paramètres!$A$1:$I$89,3,0)*VLOOKUP('Données projet'!$B$10,Paramètres!$A$1:$I$89,5,0)</f>
        <v>216.08496000000002</v>
      </c>
      <c r="AK57" s="14">
        <f t="shared" si="35"/>
        <v>53.26308393083157</v>
      </c>
      <c r="AL57" s="22">
        <f t="shared" si="4"/>
        <v>469.11450984619825</v>
      </c>
      <c r="AM57" s="60">
        <f t="shared" si="5"/>
        <v>762.44784317953156</v>
      </c>
      <c r="AN57" s="60">
        <f ca="1">AVERAGE(OFFSET($AM$3,0,0,'Données projet'!$E$10+1,1))-AVERAGE(OFFSET($H$3,0,0,'Données projet'!$E$10+1,1))</f>
        <v>370.79299728190904</v>
      </c>
      <c r="AO57" s="60">
        <f t="shared" si="36"/>
        <v>404.95703400805775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271.60000000000002</v>
      </c>
      <c r="BE57" s="14">
        <f>BD57*VLOOKUP('Données projet'!$B$11,Paramètres!$A$1:$I$89,3,0)*VLOOKUP('Données projet'!$B$11,Paramètres!$A$1:$I$89,5,0)</f>
        <v>199.13712000000001</v>
      </c>
      <c r="BF57" s="14">
        <f t="shared" si="37"/>
        <v>49.554485124576232</v>
      </c>
      <c r="BG57" s="22">
        <f t="shared" si="7"/>
        <v>433.1378789253036</v>
      </c>
      <c r="BH57" s="60">
        <f t="shared" si="8"/>
        <v>726.47121225863691</v>
      </c>
      <c r="BI57" s="60">
        <f ca="1">AVERAGE(OFFSET($BH$3,0,0,'Données projet'!$E$11+1,1))-AVERAGE(OFFSET($H$3,0,0,'Données projet'!$E$11+1,1))</f>
        <v>344.63665697794022</v>
      </c>
      <c r="BJ57" s="60">
        <f t="shared" si="38"/>
        <v>376.72762011188041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271.8</v>
      </c>
      <c r="BZ57" s="14">
        <f>BY57*VLOOKUP('Données projet'!$B$12,Paramètres!$A$1:$I$89,3,0)*VLOOKUP('Données projet'!$B$12,Paramètres!$A$1:$I$89,5,0)</f>
        <v>245.92464000000001</v>
      </c>
      <c r="CA57" s="14">
        <f t="shared" si="39"/>
        <v>59.712430831913537</v>
      </c>
      <c r="CB57" s="22">
        <f t="shared" si="10"/>
        <v>532.31789836558266</v>
      </c>
      <c r="CC57" s="60">
        <f t="shared" si="11"/>
        <v>825.65123169891604</v>
      </c>
      <c r="CD57" s="60">
        <f ca="1">AVERAGE(OFFSET($CC$3,0,0,'Données projet'!$E$12+1,1))-AVERAGE(OFFSET($H$3,0,0,'Données projet'!$E$12+1,1))</f>
        <v>529.25712986118265</v>
      </c>
      <c r="CE57" s="60">
        <f t="shared" si="40"/>
        <v>278.21741231699929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271.8</v>
      </c>
      <c r="CU57" s="18">
        <f>CT57*VLOOKUP('Données projet'!$B$13,Paramètres!$A$1:$I$89,3,0)*VLOOKUP('Données projet'!$B$13,Paramètres!$A$1:$I$89,5,0)</f>
        <v>228.96432000000004</v>
      </c>
      <c r="CV57" s="14">
        <f t="shared" si="41"/>
        <v>56.058684514404661</v>
      </c>
      <c r="CW57" s="22">
        <f t="shared" si="13"/>
        <v>496.4150661959215</v>
      </c>
      <c r="CX57" s="60">
        <f t="shared" si="14"/>
        <v>789.74839952925481</v>
      </c>
      <c r="CY57" s="60">
        <f ca="1">AVERAGE(OFFSET($CX$3,0,0,'Données projet'!$E$13+1,1))-AVERAGE(OFFSET($H$3,0,0,'Données projet'!$E$13+1,1))</f>
        <v>495.77338291316386</v>
      </c>
      <c r="CZ57" s="60">
        <f t="shared" si="42"/>
        <v>261.95434270986397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6.4</v>
      </c>
      <c r="DO57" s="13">
        <f>IF('Données projet'!$A$166&gt;35,DO56+DN57-DW56,IF(A57&lt;'Données projet'!$A$166,$DL$205^A57,IF(A57='Données projet'!$A$166,'Données projet'!$B$166,DO56+DN57-DW56)))</f>
        <v>216.60000000000008</v>
      </c>
      <c r="DP57" s="18">
        <f>DO57*VLOOKUP('Données projet'!$B$14,Paramètres!$A$1:$I$89,3,0)*VLOOKUP('Données projet'!$B$14,Paramètres!$A$1:$I$89,5,0)</f>
        <v>141.91632000000007</v>
      </c>
      <c r="DQ57" s="14">
        <f t="shared" si="43"/>
        <v>36.735659538535245</v>
      </c>
      <c r="DR57" s="22">
        <f t="shared" si="16"/>
        <v>311.15219769628237</v>
      </c>
      <c r="DS57" s="60">
        <f t="shared" si="17"/>
        <v>604.48553102961569</v>
      </c>
      <c r="DT57" s="60">
        <f ca="1">AVERAGE(OFFSET($DS$3,0,0,'Données projet'!$E$14+1,1))-AVERAGE(OFFSET($H$3,0,0,'Données projet'!$E$14+1,1))</f>
        <v>275.11574966125522</v>
      </c>
      <c r="DU57" s="60">
        <f t="shared" si="44"/>
        <v>299.21520121860345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6.6</v>
      </c>
      <c r="M58" s="13">
        <f t="array" ref="M58">INDEX(L:L,MIN(IF(ISNUMBER(L58:L254),ROW(L58:L254),"")))</f>
        <v>6.6</v>
      </c>
      <c r="N58" s="14">
        <f>IF('Données projet'!$A$36&gt;35,N57+M58-V57,IF(A58&lt;'Données projet'!$A$36,$K$205^A58,IF(A58='Données projet'!$A$36,'Données projet'!$B$36,N57+M58-V57)))</f>
        <v>218.00000000000006</v>
      </c>
      <c r="O58" s="14">
        <f>N58*VLOOKUP('Données projet'!$B$9,Paramètres!$A$1:$I$89,3,0)*VLOOKUP('Données projet'!$B$9,Paramètres!$A$1:$I$89,5,0)</f>
        <v>190.44480000000007</v>
      </c>
      <c r="P58" s="14">
        <f t="shared" si="33"/>
        <v>47.638278428909231</v>
      </c>
      <c r="Q58" s="22">
        <f t="shared" si="53"/>
        <v>414.66136159701699</v>
      </c>
      <c r="R58" s="60">
        <f t="shared" si="0"/>
        <v>707.99469493035031</v>
      </c>
      <c r="S58" s="60">
        <f ca="1">AVERAGE(OFFSET($R$3,0,0,'Données projet'!$E$9+1,1))-AVERAGE(OFFSET($H$3,0,0,'Données projet'!$E$9+1,1))</f>
        <v>369.34989412920129</v>
      </c>
      <c r="T58" s="60">
        <f t="shared" si="34"/>
        <v>371.26234252426553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279</v>
      </c>
      <c r="AG58" s="13">
        <f>VLOOKUP(A58,'Données projet'!$A$61:$I$81,9,0)</f>
        <v>7.4</v>
      </c>
      <c r="AH58" s="13">
        <f t="array" ref="AH58">INDEX(AG:AG,MIN(IF(ISNUMBER(AG58:AG254),ROW(AG58:AG254),"")))</f>
        <v>7.4</v>
      </c>
      <c r="AI58" s="14">
        <f>IF('Données projet'!$A$62&gt;35,AI57+AH58-AQ57,IF(A58&lt;'Données projet'!$A$62,$AF$205^A58,IF(A58='Données projet'!$A$62,'Données projet'!$B$62,AI57+AH58-AQ57)))</f>
        <v>279</v>
      </c>
      <c r="AJ58" s="14">
        <f>AI58*VLOOKUP('Données projet'!$B$10,Paramètres!$A$1:$I$89,3,0)*VLOOKUP('Données projet'!$B$10,Paramètres!$A$1:$I$89,5,0)</f>
        <v>221.97239999999999</v>
      </c>
      <c r="AK58" s="14">
        <f t="shared" si="35"/>
        <v>54.543354171476821</v>
      </c>
      <c r="AL58" s="22">
        <f t="shared" si="4"/>
        <v>481.59827184865549</v>
      </c>
      <c r="AM58" s="60">
        <f t="shared" si="5"/>
        <v>774.93160518198874</v>
      </c>
      <c r="AN58" s="60">
        <f ca="1">AVERAGE(OFFSET($AM$3,0,0,'Données projet'!$E$10+1,1))-AVERAGE(OFFSET($H$3,0,0,'Données projet'!$E$10+1,1))</f>
        <v>370.79299728190904</v>
      </c>
      <c r="AO58" s="60">
        <f t="shared" si="36"/>
        <v>404.95703400805775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279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279</v>
      </c>
      <c r="BE58" s="14">
        <f>BD58*VLOOKUP('Données projet'!$B$11,Paramètres!$A$1:$I$89,3,0)*VLOOKUP('Données projet'!$B$11,Paramètres!$A$1:$I$89,5,0)</f>
        <v>204.56280000000001</v>
      </c>
      <c r="BF58" s="14">
        <f t="shared" si="37"/>
        <v>50.74561278586372</v>
      </c>
      <c r="BG58" s="22">
        <f t="shared" si="7"/>
        <v>444.66215226871265</v>
      </c>
      <c r="BH58" s="60">
        <f t="shared" si="8"/>
        <v>737.99548560204596</v>
      </c>
      <c r="BI58" s="60">
        <f ca="1">AVERAGE(OFFSET($BH$3,0,0,'Données projet'!$E$11+1,1))-AVERAGE(OFFSET($H$3,0,0,'Données projet'!$E$11+1,1))</f>
        <v>344.63665697794022</v>
      </c>
      <c r="BJ58" s="60">
        <f t="shared" si="38"/>
        <v>376.72762011188041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282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282</v>
      </c>
      <c r="BZ58" s="14">
        <f>BY58*VLOOKUP('Données projet'!$B$12,Paramètres!$A$1:$I$89,3,0)*VLOOKUP('Données projet'!$B$12,Paramètres!$A$1:$I$89,5,0)</f>
        <v>255.15360000000001</v>
      </c>
      <c r="CA58" s="14">
        <f t="shared" si="39"/>
        <v>61.688192762754426</v>
      </c>
      <c r="CB58" s="22">
        <f t="shared" si="10"/>
        <v>551.83278906179726</v>
      </c>
      <c r="CC58" s="60">
        <f t="shared" si="11"/>
        <v>845.16612239513051</v>
      </c>
      <c r="CD58" s="60">
        <f ca="1">AVERAGE(OFFSET($CC$3,0,0,'Données projet'!$E$12+1,1))-AVERAGE(OFFSET($H$3,0,0,'Données projet'!$E$12+1,1))</f>
        <v>529.25712986118265</v>
      </c>
      <c r="CE58" s="60">
        <f t="shared" si="40"/>
        <v>278.21741231699929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56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282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282</v>
      </c>
      <c r="CU58" s="18">
        <f>CT58*VLOOKUP('Données projet'!$B$13,Paramètres!$A$1:$I$89,3,0)*VLOOKUP('Données projet'!$B$13,Paramètres!$A$1:$I$89,5,0)</f>
        <v>237.55680000000001</v>
      </c>
      <c r="CV58" s="14">
        <f t="shared" si="41"/>
        <v>57.913551469467357</v>
      </c>
      <c r="CW58" s="22">
        <f t="shared" si="13"/>
        <v>514.61086214265561</v>
      </c>
      <c r="CX58" s="60">
        <f t="shared" si="14"/>
        <v>807.94419547598886</v>
      </c>
      <c r="CY58" s="60">
        <f ca="1">AVERAGE(OFFSET($CX$3,0,0,'Données projet'!$E$13+1,1))-AVERAGE(OFFSET($H$3,0,0,'Données projet'!$E$13+1,1))</f>
        <v>495.77338291316386</v>
      </c>
      <c r="CZ58" s="60">
        <f t="shared" si="42"/>
        <v>261.95434270986397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56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223</v>
      </c>
      <c r="DM58" s="13">
        <f>VLOOKUP(A58,'Données projet'!$A$165:$I$185,9,0)</f>
        <v>6.4</v>
      </c>
      <c r="DN58" s="13">
        <f t="array" ref="DN58">INDEX(DM:DM,MIN(IF(ISNUMBER(DM58:DM254),ROW(DM58:DM254),"")))</f>
        <v>6.4</v>
      </c>
      <c r="DO58" s="13">
        <f>IF('Données projet'!$A$166&gt;35,DO57+DN58-DW57,IF(A58&lt;'Données projet'!$A$166,$DL$205^A58,IF(A58='Données projet'!$A$166,'Données projet'!$B$166,DO57+DN58-DW57)))</f>
        <v>223.00000000000009</v>
      </c>
      <c r="DP58" s="18">
        <f>DO58*VLOOKUP('Données projet'!$B$14,Paramètres!$A$1:$I$89,3,0)*VLOOKUP('Données projet'!$B$14,Paramètres!$A$1:$I$89,5,0)</f>
        <v>146.10960000000006</v>
      </c>
      <c r="DQ58" s="14">
        <f t="shared" si="43"/>
        <v>37.693130662388469</v>
      </c>
      <c r="DR58" s="22">
        <f t="shared" si="16"/>
        <v>320.12308923699328</v>
      </c>
      <c r="DS58" s="60">
        <f t="shared" si="17"/>
        <v>613.45642257032659</v>
      </c>
      <c r="DT58" s="60">
        <f ca="1">AVERAGE(OFFSET($DS$3,0,0,'Données projet'!$E$14+1,1))-AVERAGE(OFFSET($H$3,0,0,'Données projet'!$E$14+1,1))</f>
        <v>275.11574966125522</v>
      </c>
      <c r="DU58" s="60">
        <f t="shared" si="44"/>
        <v>299.21520121860345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</v>
      </c>
      <c r="N59" s="14">
        <f>IF('Données projet'!$A$36&gt;35,N58+M59-V58,IF(A59&lt;'Données projet'!$A$36,$K$205^A59,IF(A59='Données projet'!$A$36,'Données projet'!$B$36,N58+M59-V58)))</f>
        <v>224.00000000000006</v>
      </c>
      <c r="O59" s="14">
        <f>N59*VLOOKUP('Données projet'!$B$9,Paramètres!$A$1:$I$89,3,0)*VLOOKUP('Données projet'!$B$9,Paramètres!$A$1:$I$89,5,0)</f>
        <v>195.68640000000008</v>
      </c>
      <c r="P59" s="14">
        <f t="shared" si="33"/>
        <v>48.794969360985156</v>
      </c>
      <c r="Q59" s="22">
        <f t="shared" si="53"/>
        <v>425.8050516370493</v>
      </c>
      <c r="R59" s="60">
        <f t="shared" si="0"/>
        <v>719.13838497038262</v>
      </c>
      <c r="S59" s="60">
        <f ca="1">AVERAGE(OFFSET($R$3,0,0,'Données projet'!$E$9+1,1))-AVERAGE(OFFSET($H$3,0,0,'Données projet'!$E$9+1,1))</f>
        <v>369.34989412920129</v>
      </c>
      <c r="T59" s="60">
        <f t="shared" si="34"/>
        <v>371.26234252426553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6.2</v>
      </c>
      <c r="AI59" s="14">
        <f>IF('Données projet'!$A$62&gt;35,AI58+AH59-AQ58,IF(A59&lt;'Données projet'!$A$62,$AF$205^A59,IF(A59='Données projet'!$A$62,'Données projet'!$B$62,AI58+AH59-AQ58)))</f>
        <v>285.2</v>
      </c>
      <c r="AJ59" s="14">
        <f>AI59*VLOOKUP('Données projet'!$B$10,Paramètres!$A$1:$I$89,3,0)*VLOOKUP('Données projet'!$B$10,Paramètres!$A$1:$I$89,5,0)</f>
        <v>226.90512000000001</v>
      </c>
      <c r="AK59" s="14">
        <f t="shared" si="35"/>
        <v>55.612969408444414</v>
      </c>
      <c r="AL59" s="22">
        <f t="shared" si="4"/>
        <v>492.05233905304067</v>
      </c>
      <c r="AM59" s="60">
        <f t="shared" si="5"/>
        <v>785.38567238637393</v>
      </c>
      <c r="AN59" s="60">
        <f ca="1">AVERAGE(OFFSET($AM$3,0,0,'Données projet'!$E$10+1,1))-AVERAGE(OFFSET($H$3,0,0,'Données projet'!$E$10+1,1))</f>
        <v>370.79299728190904</v>
      </c>
      <c r="AO59" s="60">
        <f t="shared" si="36"/>
        <v>404.95703400805775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</v>
      </c>
      <c r="BD59" s="13">
        <f>IF('Données projet'!$A$88&gt;35,BD58+BC59-BL58,IF(A59&lt;'Données projet'!$A$88,$BA$205^A59,IF(A59='Données projet'!$A$88,'Données projet'!$B$88,BD58+BC59-BL58)))</f>
        <v>285.2</v>
      </c>
      <c r="BE59" s="14">
        <f>BD59*VLOOKUP('Données projet'!$B$11,Paramètres!$A$1:$I$89,3,0)*VLOOKUP('Données projet'!$B$11,Paramètres!$A$1:$I$89,5,0)</f>
        <v>209.10863999999998</v>
      </c>
      <c r="BF59" s="14">
        <f t="shared" si="37"/>
        <v>51.740752917407036</v>
      </c>
      <c r="BG59" s="22">
        <f t="shared" si="7"/>
        <v>454.3126926644839</v>
      </c>
      <c r="BH59" s="60">
        <f t="shared" si="8"/>
        <v>747.64602599781722</v>
      </c>
      <c r="BI59" s="60">
        <f ca="1">AVERAGE(OFFSET($BH$3,0,0,'Données projet'!$E$11+1,1))-AVERAGE(OFFSET($H$3,0,0,'Données projet'!$E$11+1,1))</f>
        <v>344.63665697794022</v>
      </c>
      <c r="BJ59" s="60">
        <f t="shared" si="38"/>
        <v>376.72762011188041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212.98991999999998</v>
      </c>
      <c r="CA59" s="14">
        <f t="shared" si="39"/>
        <v>52.588419883221171</v>
      </c>
      <c r="CB59" s="22">
        <f t="shared" si="10"/>
        <v>462.54894196327677</v>
      </c>
      <c r="CC59" s="60">
        <f t="shared" si="11"/>
        <v>755.88227529661003</v>
      </c>
      <c r="CD59" s="60">
        <f ca="1">AVERAGE(OFFSET($CC$3,0,0,'Données projet'!$E$12+1,1))-AVERAGE(OFFSET($H$3,0,0,'Données projet'!$E$12+1,1))</f>
        <v>529.25712986118265</v>
      </c>
      <c r="CE59" s="60">
        <f t="shared" si="40"/>
        <v>278.21741231699929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198.30096</v>
      </c>
      <c r="CV59" s="14">
        <f t="shared" si="41"/>
        <v>49.3705849564736</v>
      </c>
      <c r="CW59" s="22">
        <f t="shared" si="13"/>
        <v>431.36127413252484</v>
      </c>
      <c r="CX59" s="60">
        <f t="shared" si="14"/>
        <v>724.6946074658581</v>
      </c>
      <c r="CY59" s="60">
        <f ca="1">AVERAGE(OFFSET($CX$3,0,0,'Données projet'!$E$13+1,1))-AVERAGE(OFFSET($H$3,0,0,'Données projet'!$E$13+1,1))</f>
        <v>495.77338291316386</v>
      </c>
      <c r="CZ59" s="60">
        <f t="shared" si="42"/>
        <v>261.95434270986397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5.8</v>
      </c>
      <c r="DO59" s="13">
        <f>IF('Données projet'!$A$166&gt;35,DO58+DN59-DW58,IF(A59&lt;'Données projet'!$A$166,$DL$205^A59,IF(A59='Données projet'!$A$166,'Données projet'!$B$166,DO58+DN59-DW58)))</f>
        <v>228.8000000000001</v>
      </c>
      <c r="DP59" s="18">
        <f>DO59*VLOOKUP('Données projet'!$B$14,Paramètres!$A$1:$I$89,3,0)*VLOOKUP('Données projet'!$B$14,Paramètres!$A$1:$I$89,5,0)</f>
        <v>149.90976000000006</v>
      </c>
      <c r="DQ59" s="14">
        <f t="shared" si="43"/>
        <v>38.558077538852132</v>
      </c>
      <c r="DR59" s="22">
        <f t="shared" si="16"/>
        <v>328.24815038016754</v>
      </c>
      <c r="DS59" s="60">
        <f t="shared" si="17"/>
        <v>621.5814837135008</v>
      </c>
      <c r="DT59" s="60">
        <f ca="1">AVERAGE(OFFSET($DS$3,0,0,'Données projet'!$E$14+1,1))-AVERAGE(OFFSET($H$3,0,0,'Données projet'!$E$14+1,1))</f>
        <v>275.11574966125522</v>
      </c>
      <c r="DU59" s="60">
        <f t="shared" si="44"/>
        <v>299.21520121860345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</v>
      </c>
      <c r="N60" s="14">
        <f>IF('Données projet'!$A$36&gt;35,N59+M60-V59,IF(A60&lt;'Données projet'!$A$36,$K$205^A60,IF(A60='Données projet'!$A$36,'Données projet'!$B$36,N59+M60-V59)))</f>
        <v>230.00000000000006</v>
      </c>
      <c r="O60" s="14">
        <f>N60*VLOOKUP('Données projet'!$B$9,Paramètres!$A$1:$I$89,3,0)*VLOOKUP('Données projet'!$B$9,Paramètres!$A$1:$I$89,5,0)</f>
        <v>200.92800000000008</v>
      </c>
      <c r="P60" s="14">
        <f t="shared" si="33"/>
        <v>49.948059057189084</v>
      </c>
      <c r="Q60" s="22">
        <f t="shared" si="53"/>
        <v>436.94246952460441</v>
      </c>
      <c r="R60" s="60">
        <f t="shared" si="0"/>
        <v>730.27580285793772</v>
      </c>
      <c r="S60" s="60">
        <f ca="1">AVERAGE(OFFSET($R$3,0,0,'Données projet'!$E$9+1,1))-AVERAGE(OFFSET($H$3,0,0,'Données projet'!$E$9+1,1))</f>
        <v>369.34989412920129</v>
      </c>
      <c r="T60" s="60">
        <f t="shared" si="34"/>
        <v>371.26234252426553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6.2</v>
      </c>
      <c r="AI60" s="14">
        <f>IF('Données projet'!$A$62&gt;35,AI59+AH60-AQ59,IF(A60&lt;'Données projet'!$A$62,$AF$205^A60,IF(A60='Données projet'!$A$62,'Données projet'!$B$62,AI59+AH60-AQ59)))</f>
        <v>291.39999999999998</v>
      </c>
      <c r="AJ60" s="14">
        <f>AI60*VLOOKUP('Données projet'!$B$10,Paramètres!$A$1:$I$89,3,0)*VLOOKUP('Données projet'!$B$10,Paramètres!$A$1:$I$89,5,0)</f>
        <v>231.83784000000003</v>
      </c>
      <c r="AK60" s="14">
        <f t="shared" si="35"/>
        <v>56.679881250286201</v>
      </c>
      <c r="AL60" s="22">
        <f t="shared" si="4"/>
        <v>502.50169784424844</v>
      </c>
      <c r="AM60" s="60">
        <f t="shared" si="5"/>
        <v>795.83503117758175</v>
      </c>
      <c r="AN60" s="60">
        <f ca="1">AVERAGE(OFFSET($AM$3,0,0,'Données projet'!$E$10+1,1))-AVERAGE(OFFSET($H$3,0,0,'Données projet'!$E$10+1,1))</f>
        <v>370.79299728190904</v>
      </c>
      <c r="AO60" s="60">
        <f t="shared" si="36"/>
        <v>404.95703400805775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</v>
      </c>
      <c r="BD60" s="13">
        <f>IF('Données projet'!$A$88&gt;35,BD59+BC60-BL59,IF(A60&lt;'Données projet'!$A$88,$BA$205^A60,IF(A60='Données projet'!$A$88,'Données projet'!$B$88,BD59+BC60-BL59)))</f>
        <v>291.39999999999998</v>
      </c>
      <c r="BE60" s="14">
        <f>BD60*VLOOKUP('Données projet'!$B$11,Paramètres!$A$1:$I$89,3,0)*VLOOKUP('Données projet'!$B$11,Paramètres!$A$1:$I$89,5,0)</f>
        <v>213.65447999999995</v>
      </c>
      <c r="BF60" s="14">
        <f t="shared" si="37"/>
        <v>52.733377885657866</v>
      </c>
      <c r="BG60" s="22">
        <f t="shared" si="7"/>
        <v>463.95885248418728</v>
      </c>
      <c r="BH60" s="60">
        <f t="shared" si="8"/>
        <v>757.29218581752059</v>
      </c>
      <c r="BI60" s="60">
        <f ca="1">AVERAGE(OFFSET($BH$3,0,0,'Données projet'!$E$11+1,1))-AVERAGE(OFFSET($H$3,0,0,'Données projet'!$E$11+1,1))</f>
        <v>344.63665697794022</v>
      </c>
      <c r="BJ60" s="60">
        <f t="shared" si="38"/>
        <v>376.72762011188041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221.49503999999999</v>
      </c>
      <c r="CA60" s="14">
        <f t="shared" si="39"/>
        <v>54.439697086174412</v>
      </c>
      <c r="CB60" s="22">
        <f t="shared" si="10"/>
        <v>480.58633375842032</v>
      </c>
      <c r="CC60" s="60">
        <f t="shared" si="11"/>
        <v>773.91966709175358</v>
      </c>
      <c r="CD60" s="60">
        <f ca="1">AVERAGE(OFFSET($CC$3,0,0,'Données projet'!$E$12+1,1))-AVERAGE(OFFSET($H$3,0,0,'Données projet'!$E$12+1,1))</f>
        <v>529.25712986118265</v>
      </c>
      <c r="CE60" s="60">
        <f t="shared" si="40"/>
        <v>278.21741231699929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206.21952000000002</v>
      </c>
      <c r="CV60" s="14">
        <f t="shared" si="41"/>
        <v>51.108584284640322</v>
      </c>
      <c r="CW60" s="22">
        <f t="shared" si="13"/>
        <v>448.1797816290819</v>
      </c>
      <c r="CX60" s="60">
        <f t="shared" si="14"/>
        <v>741.51311496241522</v>
      </c>
      <c r="CY60" s="60">
        <f ca="1">AVERAGE(OFFSET($CX$3,0,0,'Données projet'!$E$13+1,1))-AVERAGE(OFFSET($H$3,0,0,'Données projet'!$E$13+1,1))</f>
        <v>495.77338291316386</v>
      </c>
      <c r="CZ60" s="60">
        <f t="shared" si="42"/>
        <v>261.95434270986397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5.8</v>
      </c>
      <c r="DO60" s="13">
        <f>IF('Données projet'!$A$166&gt;35,DO59+DN60-DW59,IF(A60&lt;'Données projet'!$A$166,$DL$205^A60,IF(A60='Données projet'!$A$166,'Données projet'!$B$166,DO59+DN60-DW59)))</f>
        <v>234.60000000000011</v>
      </c>
      <c r="DP60" s="18">
        <f>DO60*VLOOKUP('Données projet'!$B$14,Paramètres!$A$1:$I$89,3,0)*VLOOKUP('Données projet'!$B$14,Paramètres!$A$1:$I$89,5,0)</f>
        <v>153.70992000000007</v>
      </c>
      <c r="DQ60" s="14">
        <f t="shared" si="43"/>
        <v>39.420475690379867</v>
      </c>
      <c r="DR60" s="22">
        <f t="shared" si="16"/>
        <v>336.36877249407837</v>
      </c>
      <c r="DS60" s="60">
        <f t="shared" si="17"/>
        <v>629.70210582741174</v>
      </c>
      <c r="DT60" s="60">
        <f ca="1">AVERAGE(OFFSET($DS$3,0,0,'Données projet'!$E$14+1,1))-AVERAGE(OFFSET($H$3,0,0,'Données projet'!$E$14+1,1))</f>
        <v>275.11574966125522</v>
      </c>
      <c r="DU60" s="60">
        <f t="shared" si="44"/>
        <v>299.21520121860345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</v>
      </c>
      <c r="N61" s="14">
        <f>IF('Données projet'!$A$36&gt;35,N60+M61-V60,IF(A61&lt;'Données projet'!$A$36,$K$205^A61,IF(A61='Données projet'!$A$36,'Données projet'!$B$36,N60+M61-V60)))</f>
        <v>236.00000000000006</v>
      </c>
      <c r="O61" s="14">
        <f>N61*VLOOKUP('Données projet'!$B$9,Paramètres!$A$1:$I$89,3,0)*VLOOKUP('Données projet'!$B$9,Paramètres!$A$1:$I$89,5,0)</f>
        <v>206.16960000000009</v>
      </c>
      <c r="P61" s="14">
        <f t="shared" si="33"/>
        <v>51.097652263007333</v>
      </c>
      <c r="Q61" s="22">
        <f t="shared" si="53"/>
        <v>448.07379769140465</v>
      </c>
      <c r="R61" s="60">
        <f t="shared" si="0"/>
        <v>741.40713102473796</v>
      </c>
      <c r="S61" s="60">
        <f ca="1">AVERAGE(OFFSET($R$3,0,0,'Données projet'!$E$9+1,1))-AVERAGE(OFFSET($H$3,0,0,'Données projet'!$E$9+1,1))</f>
        <v>369.34989412920129</v>
      </c>
      <c r="T61" s="60">
        <f t="shared" si="34"/>
        <v>371.26234252426553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6.2</v>
      </c>
      <c r="AI61" s="14">
        <f>IF('Données projet'!$A$62&gt;35,AI60+AH61-AQ60,IF(A61&lt;'Données projet'!$A$62,$AF$205^A61,IF(A61='Données projet'!$A$62,'Données projet'!$B$62,AI60+AH61-AQ60)))</f>
        <v>297.59999999999997</v>
      </c>
      <c r="AJ61" s="14">
        <f>AI61*VLOOKUP('Données projet'!$B$10,Paramètres!$A$1:$I$89,3,0)*VLOOKUP('Données projet'!$B$10,Paramètres!$A$1:$I$89,5,0)</f>
        <v>236.77055999999999</v>
      </c>
      <c r="AK61" s="14">
        <f t="shared" si="35"/>
        <v>57.744153841586929</v>
      </c>
      <c r="AL61" s="22">
        <f t="shared" si="4"/>
        <v>512.94645994076382</v>
      </c>
      <c r="AM61" s="60">
        <f t="shared" si="5"/>
        <v>806.27979327409707</v>
      </c>
      <c r="AN61" s="60">
        <f ca="1">AVERAGE(OFFSET($AM$3,0,0,'Données projet'!$E$10+1,1))-AVERAGE(OFFSET($H$3,0,0,'Données projet'!$E$10+1,1))</f>
        <v>370.79299728190904</v>
      </c>
      <c r="AO61" s="60">
        <f t="shared" si="36"/>
        <v>404.95703400805775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</v>
      </c>
      <c r="BD61" s="13">
        <f>IF('Données projet'!$A$88&gt;35,BD60+BC61-BL60,IF(A61&lt;'Données projet'!$A$88,$BA$205^A61,IF(A61='Données projet'!$A$88,'Données projet'!$B$88,BD60+BC61-BL60)))</f>
        <v>297.59999999999997</v>
      </c>
      <c r="BE61" s="14">
        <f>BD61*VLOOKUP('Données projet'!$B$11,Paramètres!$A$1:$I$89,3,0)*VLOOKUP('Données projet'!$B$11,Paramètres!$A$1:$I$89,5,0)</f>
        <v>218.20031999999998</v>
      </c>
      <c r="BF61" s="14">
        <f t="shared" si="37"/>
        <v>53.723547368945667</v>
      </c>
      <c r="BG61" s="22">
        <f t="shared" si="7"/>
        <v>473.6007356675803</v>
      </c>
      <c r="BH61" s="60">
        <f t="shared" si="8"/>
        <v>766.93406900091361</v>
      </c>
      <c r="BI61" s="60">
        <f ca="1">AVERAGE(OFFSET($BH$3,0,0,'Données projet'!$E$11+1,1))-AVERAGE(OFFSET($H$3,0,0,'Données projet'!$E$11+1,1))</f>
        <v>344.63665697794022</v>
      </c>
      <c r="BJ61" s="60">
        <f t="shared" si="38"/>
        <v>376.72762011188041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230.00015999999997</v>
      </c>
      <c r="CA61" s="14">
        <f t="shared" si="39"/>
        <v>56.282716126880423</v>
      </c>
      <c r="CB61" s="22">
        <f t="shared" si="10"/>
        <v>498.60934258765002</v>
      </c>
      <c r="CC61" s="60">
        <f t="shared" si="11"/>
        <v>791.94267592098333</v>
      </c>
      <c r="CD61" s="60">
        <f ca="1">AVERAGE(OFFSET($CC$3,0,0,'Données projet'!$E$12+1,1))-AVERAGE(OFFSET($H$3,0,0,'Données projet'!$E$12+1,1))</f>
        <v>529.25712986118265</v>
      </c>
      <c r="CE61" s="60">
        <f t="shared" si="40"/>
        <v>278.21741231699929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214.13808</v>
      </c>
      <c r="CV61" s="14">
        <f t="shared" si="41"/>
        <v>52.838830759579693</v>
      </c>
      <c r="CW61" s="22">
        <f t="shared" si="13"/>
        <v>464.98478623960131</v>
      </c>
      <c r="CX61" s="60">
        <f t="shared" si="14"/>
        <v>758.31811957293462</v>
      </c>
      <c r="CY61" s="60">
        <f ca="1">AVERAGE(OFFSET($CX$3,0,0,'Données projet'!$E$13+1,1))-AVERAGE(OFFSET($H$3,0,0,'Données projet'!$E$13+1,1))</f>
        <v>495.77338291316386</v>
      </c>
      <c r="CZ61" s="60">
        <f t="shared" si="42"/>
        <v>261.95434270986397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5.8</v>
      </c>
      <c r="DO61" s="13">
        <f>IF('Données projet'!$A$166&gt;35,DO60+DN61-DW60,IF(A61&lt;'Données projet'!$A$166,$DL$205^A61,IF(A61='Données projet'!$A$166,'Données projet'!$B$166,DO60+DN61-DW60)))</f>
        <v>240.40000000000012</v>
      </c>
      <c r="DP61" s="18">
        <f>DO61*VLOOKUP('Données projet'!$B$14,Paramètres!$A$1:$I$89,3,0)*VLOOKUP('Données projet'!$B$14,Paramètres!$A$1:$I$89,5,0)</f>
        <v>157.51008000000007</v>
      </c>
      <c r="DQ61" s="14">
        <f t="shared" si="43"/>
        <v>40.280395376872868</v>
      </c>
      <c r="DR61" s="22">
        <f t="shared" si="16"/>
        <v>344.48507794805369</v>
      </c>
      <c r="DS61" s="60">
        <f t="shared" si="17"/>
        <v>637.81841128138694</v>
      </c>
      <c r="DT61" s="60">
        <f ca="1">AVERAGE(OFFSET($DS$3,0,0,'Données projet'!$E$14+1,1))-AVERAGE(OFFSET($H$3,0,0,'Données projet'!$E$14+1,1))</f>
        <v>275.11574966125522</v>
      </c>
      <c r="DU61" s="60">
        <f t="shared" si="44"/>
        <v>299.21520121860345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</v>
      </c>
      <c r="N62" s="14">
        <f>IF('Données projet'!$A$36&gt;35,N61+M62-V61,IF(A62&lt;'Données projet'!$A$36,$K$205^A62,IF(A62='Données projet'!$A$36,'Données projet'!$B$36,N61+M62-V61)))</f>
        <v>242.00000000000006</v>
      </c>
      <c r="O62" s="14">
        <f>N62*VLOOKUP('Données projet'!$B$9,Paramètres!$A$1:$I$89,3,0)*VLOOKUP('Données projet'!$B$9,Paramètres!$A$1:$I$89,5,0)</f>
        <v>211.41120000000006</v>
      </c>
      <c r="P62" s="14">
        <f t="shared" si="33"/>
        <v>52.243848094411156</v>
      </c>
      <c r="Q62" s="22">
        <f t="shared" si="53"/>
        <v>459.19920876443285</v>
      </c>
      <c r="R62" s="60">
        <f t="shared" si="0"/>
        <v>752.53254209776617</v>
      </c>
      <c r="S62" s="60">
        <f ca="1">AVERAGE(OFFSET($R$3,0,0,'Données projet'!$E$9+1,1))-AVERAGE(OFFSET($H$3,0,0,'Données projet'!$E$9+1,1))</f>
        <v>369.34989412920129</v>
      </c>
      <c r="T62" s="60">
        <f t="shared" si="34"/>
        <v>371.26234252426553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6.2</v>
      </c>
      <c r="AI62" s="14">
        <f>IF('Données projet'!$A$62&gt;35,AI61+AH62-AQ61,IF(A62&lt;'Données projet'!$A$62,$AF$205^A62,IF(A62='Données projet'!$A$62,'Données projet'!$B$62,AI61+AH62-AQ61)))</f>
        <v>303.79999999999995</v>
      </c>
      <c r="AJ62" s="14">
        <f>AI62*VLOOKUP('Données projet'!$B$10,Paramètres!$A$1:$I$89,3,0)*VLOOKUP('Données projet'!$B$10,Paramètres!$A$1:$I$89,5,0)</f>
        <v>241.70327999999998</v>
      </c>
      <c r="AK62" s="14">
        <f t="shared" si="35"/>
        <v>58.805848501502631</v>
      </c>
      <c r="AL62" s="22">
        <f t="shared" si="4"/>
        <v>523.38673214011703</v>
      </c>
      <c r="AM62" s="60">
        <f t="shared" si="5"/>
        <v>816.7200654734504</v>
      </c>
      <c r="AN62" s="60">
        <f ca="1">AVERAGE(OFFSET($AM$3,0,0,'Données projet'!$E$10+1,1))-AVERAGE(OFFSET($H$3,0,0,'Données projet'!$E$10+1,1))</f>
        <v>370.79299728190904</v>
      </c>
      <c r="AO62" s="60">
        <f t="shared" si="36"/>
        <v>404.95703400805775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</v>
      </c>
      <c r="BD62" s="13">
        <f>IF('Données projet'!$A$88&gt;35,BD61+BC62-BL61,IF(A62&lt;'Données projet'!$A$88,$BA$205^A62,IF(A62='Données projet'!$A$88,'Données projet'!$B$88,BD61+BC62-BL61)))</f>
        <v>303.79999999999995</v>
      </c>
      <c r="BE62" s="14">
        <f>BD62*VLOOKUP('Données projet'!$B$11,Paramètres!$A$1:$I$89,3,0)*VLOOKUP('Données projet'!$B$11,Paramètres!$A$1:$I$89,5,0)</f>
        <v>222.74615999999997</v>
      </c>
      <c r="BF62" s="14">
        <f t="shared" si="37"/>
        <v>54.711318416900006</v>
      </c>
      <c r="BG62" s="22">
        <f t="shared" si="7"/>
        <v>483.23844157610074</v>
      </c>
      <c r="BH62" s="60">
        <f t="shared" si="8"/>
        <v>776.571774909434</v>
      </c>
      <c r="BI62" s="60">
        <f ca="1">AVERAGE(OFFSET($BH$3,0,0,'Données projet'!$E$11+1,1))-AVERAGE(OFFSET($H$3,0,0,'Données projet'!$E$11+1,1))</f>
        <v>344.63665697794022</v>
      </c>
      <c r="BJ62" s="60">
        <f t="shared" si="38"/>
        <v>376.72762011188041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238.50527999999997</v>
      </c>
      <c r="CA62" s="14">
        <f t="shared" si="39"/>
        <v>58.117817352909881</v>
      </c>
      <c r="CB62" s="22">
        <f t="shared" si="10"/>
        <v>516.61856122298457</v>
      </c>
      <c r="CC62" s="60">
        <f t="shared" si="11"/>
        <v>809.95189455631794</v>
      </c>
      <c r="CD62" s="60">
        <f ca="1">AVERAGE(OFFSET($CC$3,0,0,'Données projet'!$E$12+1,1))-AVERAGE(OFFSET($H$3,0,0,'Données projet'!$E$12+1,1))</f>
        <v>529.25712986118265</v>
      </c>
      <c r="CE62" s="60">
        <f t="shared" si="40"/>
        <v>278.21741231699929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222.05663999999999</v>
      </c>
      <c r="CV62" s="14">
        <f t="shared" si="41"/>
        <v>54.561643903321311</v>
      </c>
      <c r="CW62" s="22">
        <f t="shared" si="13"/>
        <v>481.77684446495124</v>
      </c>
      <c r="CX62" s="60">
        <f t="shared" si="14"/>
        <v>775.11017779828455</v>
      </c>
      <c r="CY62" s="60">
        <f ca="1">AVERAGE(OFFSET($CX$3,0,0,'Données projet'!$E$13+1,1))-AVERAGE(OFFSET($H$3,0,0,'Données projet'!$E$13+1,1))</f>
        <v>495.77338291316386</v>
      </c>
      <c r="CZ62" s="60">
        <f t="shared" si="42"/>
        <v>261.95434270986397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5.8</v>
      </c>
      <c r="DO62" s="13">
        <f>IF('Données projet'!$A$166&gt;35,DO61+DN62-DW61,IF(A62&lt;'Données projet'!$A$166,$DL$205^A62,IF(A62='Données projet'!$A$166,'Données projet'!$B$166,DO61+DN62-DW61)))</f>
        <v>246.20000000000013</v>
      </c>
      <c r="DP62" s="18">
        <f>DO62*VLOOKUP('Données projet'!$B$14,Paramètres!$A$1:$I$89,3,0)*VLOOKUP('Données projet'!$B$14,Paramètres!$A$1:$I$89,5,0)</f>
        <v>161.31024000000008</v>
      </c>
      <c r="DQ62" s="14">
        <f t="shared" si="43"/>
        <v>41.137903274661141</v>
      </c>
      <c r="DR62" s="22">
        <f t="shared" si="16"/>
        <v>352.59718287003494</v>
      </c>
      <c r="DS62" s="60">
        <f t="shared" si="17"/>
        <v>645.93051620336826</v>
      </c>
      <c r="DT62" s="60">
        <f ca="1">AVERAGE(OFFSET($DS$3,0,0,'Données projet'!$E$14+1,1))-AVERAGE(OFFSET($H$3,0,0,'Données projet'!$E$14+1,1))</f>
        <v>275.11574966125522</v>
      </c>
      <c r="DU62" s="60">
        <f t="shared" si="44"/>
        <v>299.21520121860345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248</v>
      </c>
      <c r="L63" s="13">
        <f>VLOOKUP(A63,'Données projet'!$A$35:$I$55,9,0)</f>
        <v>6</v>
      </c>
      <c r="M63" s="13">
        <f t="array" ref="M63">INDEX(L:L,MIN(IF(ISNUMBER(L63:L259),ROW(L63:L259),"")))</f>
        <v>6</v>
      </c>
      <c r="N63" s="14">
        <f>IF('Données projet'!$A$36&gt;35,N62+M63-V62,IF(A63&lt;'Données projet'!$A$36,$K$205^A63,IF(A63='Données projet'!$A$36,'Données projet'!$B$36,N62+M63-V62)))</f>
        <v>248.00000000000006</v>
      </c>
      <c r="O63" s="14">
        <f>N63*VLOOKUP('Données projet'!$B$9,Paramètres!$A$1:$I$89,3,0)*VLOOKUP('Données projet'!$B$9,Paramètres!$A$1:$I$89,5,0)</f>
        <v>216.6528000000001</v>
      </c>
      <c r="P63" s="14">
        <f t="shared" si="33"/>
        <v>53.38674047237987</v>
      </c>
      <c r="Q63" s="22">
        <f t="shared" si="53"/>
        <v>470.31886632272835</v>
      </c>
      <c r="R63" s="60">
        <f t="shared" si="0"/>
        <v>763.65219965606161</v>
      </c>
      <c r="S63" s="60">
        <f ca="1">AVERAGE(OFFSET($R$3,0,0,'Données projet'!$E$9+1,1))-AVERAGE(OFFSET($H$3,0,0,'Données projet'!$E$9+1,1))</f>
        <v>369.34989412920129</v>
      </c>
      <c r="T63" s="60">
        <f t="shared" si="34"/>
        <v>371.26234252426553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44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310</v>
      </c>
      <c r="AG63" s="13">
        <f>VLOOKUP(A63,'Données projet'!$A$61:$I$81,9,0)</f>
        <v>6.2</v>
      </c>
      <c r="AH63" s="13">
        <f t="array" ref="AH63">INDEX(AG:AG,MIN(IF(ISNUMBER(AG63:AG259),ROW(AG63:AG259),"")))</f>
        <v>6.2</v>
      </c>
      <c r="AI63" s="14">
        <f>IF('Données projet'!$A$62&gt;35,AI62+AH63-AQ62,IF(A63&lt;'Données projet'!$A$62,$AF$205^A63,IF(A63='Données projet'!$A$62,'Données projet'!$B$62,AI62+AH63-AQ62)))</f>
        <v>309.99999999999994</v>
      </c>
      <c r="AJ63" s="14">
        <f>AI63*VLOOKUP('Données projet'!$B$10,Paramètres!$A$1:$I$89,3,0)*VLOOKUP('Données projet'!$B$10,Paramètres!$A$1:$I$89,5,0)</f>
        <v>246.63599999999997</v>
      </c>
      <c r="AK63" s="14">
        <f t="shared" si="35"/>
        <v>59.865023903294535</v>
      </c>
      <c r="AL63" s="22">
        <f t="shared" si="4"/>
        <v>533.82261663157112</v>
      </c>
      <c r="AM63" s="60">
        <f t="shared" si="5"/>
        <v>827.15594996490449</v>
      </c>
      <c r="AN63" s="60">
        <f ca="1">AVERAGE(OFFSET($AM$3,0,0,'Données projet'!$E$10+1,1))-AVERAGE(OFFSET($H$3,0,0,'Données projet'!$E$10+1,1))</f>
        <v>370.79299728190904</v>
      </c>
      <c r="AO63" s="60">
        <f t="shared" si="36"/>
        <v>404.95703400805775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6.2</v>
      </c>
      <c r="BC63" s="13">
        <f t="array" ref="BC63">INDEX(BB:BB,MIN(IF(ISNUMBER(BB63:BB259),ROW(BB63:BB259),"")))</f>
        <v>6.2</v>
      </c>
      <c r="BD63" s="13">
        <f>IF('Données projet'!$A$88&gt;35,BD62+BC63-BL62,IF(A63&lt;'Données projet'!$A$88,$BA$205^A63,IF(A63='Données projet'!$A$88,'Données projet'!$B$88,BD62+BC63-BL62)))</f>
        <v>309.99999999999994</v>
      </c>
      <c r="BE63" s="14">
        <f>BD63*VLOOKUP('Données projet'!$B$11,Paramètres!$A$1:$I$89,3,0)*VLOOKUP('Données projet'!$B$11,Paramètres!$A$1:$I$89,5,0)</f>
        <v>227.29199999999994</v>
      </c>
      <c r="BF63" s="14">
        <f t="shared" si="37"/>
        <v>55.6967456174837</v>
      </c>
      <c r="BG63" s="22">
        <f t="shared" si="7"/>
        <v>492.87206528378402</v>
      </c>
      <c r="BH63" s="60">
        <f t="shared" si="8"/>
        <v>786.20539861711734</v>
      </c>
      <c r="BI63" s="60">
        <f ca="1">AVERAGE(OFFSET($BH$3,0,0,'Données projet'!$E$11+1,1))-AVERAGE(OFFSET($H$3,0,0,'Données projet'!$E$11+1,1))</f>
        <v>344.63665697794022</v>
      </c>
      <c r="BJ63" s="60">
        <f t="shared" si="38"/>
        <v>376.72762011188041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247.01039999999992</v>
      </c>
      <c r="CA63" s="14">
        <f t="shared" si="39"/>
        <v>59.945315462121812</v>
      </c>
      <c r="CB63" s="22">
        <f t="shared" si="10"/>
        <v>534.61453776319524</v>
      </c>
      <c r="CC63" s="60">
        <f t="shared" si="11"/>
        <v>827.94787109652862</v>
      </c>
      <c r="CD63" s="60">
        <f ca="1">AVERAGE(OFFSET($CC$3,0,0,'Données projet'!$E$12+1,1))-AVERAGE(OFFSET($H$3,0,0,'Données projet'!$E$12+1,1))</f>
        <v>529.25712986118265</v>
      </c>
      <c r="CE63" s="60">
        <f t="shared" si="40"/>
        <v>278.21741231699929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229.9752</v>
      </c>
      <c r="CV63" s="14">
        <f t="shared" si="41"/>
        <v>56.277319157664316</v>
      </c>
      <c r="CW63" s="22">
        <f t="shared" si="13"/>
        <v>498.55647086626527</v>
      </c>
      <c r="CX63" s="60">
        <f t="shared" si="14"/>
        <v>791.88980419959853</v>
      </c>
      <c r="CY63" s="60">
        <f ca="1">AVERAGE(OFFSET($CX$3,0,0,'Données projet'!$E$13+1,1))-AVERAGE(OFFSET($H$3,0,0,'Données projet'!$E$13+1,1))</f>
        <v>495.77338291316386</v>
      </c>
      <c r="CZ63" s="60">
        <f t="shared" si="42"/>
        <v>261.95434270986397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252</v>
      </c>
      <c r="DM63" s="13">
        <f>VLOOKUP(A63,'Données projet'!$A$165:$I$185,9,0)</f>
        <v>5.8</v>
      </c>
      <c r="DN63" s="13">
        <f t="array" ref="DN63">INDEX(DM:DM,MIN(IF(ISNUMBER(DM63:DM259),ROW(DM63:DM259),"")))</f>
        <v>5.8</v>
      </c>
      <c r="DO63" s="13">
        <f>IF('Données projet'!$A$166&gt;35,DO62+DN63-DW62,IF(A63&lt;'Données projet'!$A$166,$DL$205^A63,IF(A63='Données projet'!$A$166,'Données projet'!$B$166,DO62+DN63-DW62)))</f>
        <v>252.00000000000014</v>
      </c>
      <c r="DP63" s="18">
        <f>DO63*VLOOKUP('Données projet'!$B$14,Paramètres!$A$1:$I$89,3,0)*VLOOKUP('Données projet'!$B$14,Paramètres!$A$1:$I$89,5,0)</f>
        <v>165.11040000000011</v>
      </c>
      <c r="DQ63" s="14">
        <f t="shared" si="43"/>
        <v>41.993062739333482</v>
      </c>
      <c r="DR63" s="22">
        <f t="shared" si="16"/>
        <v>360.70519760433928</v>
      </c>
      <c r="DS63" s="60">
        <f t="shared" si="17"/>
        <v>654.03853093767259</v>
      </c>
      <c r="DT63" s="60">
        <f ca="1">AVERAGE(OFFSET($DS$3,0,0,'Données projet'!$E$14+1,1))-AVERAGE(OFFSET($H$3,0,0,'Données projet'!$E$14+1,1))</f>
        <v>275.11574966125522</v>
      </c>
      <c r="DU63" s="60">
        <f t="shared" si="44"/>
        <v>299.21520121860345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45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5.6</v>
      </c>
      <c r="N64" s="14">
        <f>IF('Données projet'!$A$36&gt;35,N63+M64-V63,IF(A64&lt;'Données projet'!$A$36,$K$205^A64,IF(A64='Données projet'!$A$36,'Données projet'!$B$36,N63+M64-V63)))</f>
        <v>209.60000000000005</v>
      </c>
      <c r="O64" s="14">
        <f>N64*VLOOKUP('Données projet'!$B$9,Paramètres!$A$1:$I$89,3,0)*VLOOKUP('Données projet'!$B$9,Paramètres!$A$1:$I$89,5,0)</f>
        <v>183.10656000000006</v>
      </c>
      <c r="P64" s="14">
        <f t="shared" si="33"/>
        <v>46.012648718992089</v>
      </c>
      <c r="Q64" s="22">
        <f t="shared" si="53"/>
        <v>399.04928851891128</v>
      </c>
      <c r="R64" s="60">
        <f t="shared" si="0"/>
        <v>692.3826218522446</v>
      </c>
      <c r="S64" s="60">
        <f ca="1">AVERAGE(OFFSET($R$3,0,0,'Données projet'!$E$9+1,1))-AVERAGE(OFFSET($H$3,0,0,'Données projet'!$E$9+1,1))</f>
        <v>369.34989412920129</v>
      </c>
      <c r="T64" s="60">
        <f t="shared" si="34"/>
        <v>371.26234252426553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285.19999999999993</v>
      </c>
      <c r="AJ64" s="14">
        <f>AI64*VLOOKUP('Données projet'!$B$10,Paramètres!$A$1:$I$89,3,0)*VLOOKUP('Données projet'!$B$10,Paramètres!$A$1:$I$89,5,0)</f>
        <v>226.90511999999995</v>
      </c>
      <c r="AK64" s="14">
        <f t="shared" si="35"/>
        <v>55.612969408444364</v>
      </c>
      <c r="AL64" s="22">
        <f t="shared" si="4"/>
        <v>492.05233905304044</v>
      </c>
      <c r="AM64" s="60">
        <f t="shared" si="5"/>
        <v>785.3856723863737</v>
      </c>
      <c r="AN64" s="60">
        <f ca="1">AVERAGE(OFFSET($AM$3,0,0,'Données projet'!$E$10+1,1))-AVERAGE(OFFSET($H$3,0,0,'Données projet'!$E$10+1,1))</f>
        <v>370.79299728190904</v>
      </c>
      <c r="AO64" s="60">
        <f t="shared" si="36"/>
        <v>404.95703400805775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285.19999999999993</v>
      </c>
      <c r="BE64" s="14">
        <f>BD64*VLOOKUP('Données projet'!$B$11,Paramètres!$A$1:$I$89,3,0)*VLOOKUP('Données projet'!$B$11,Paramètres!$A$1:$I$89,5,0)</f>
        <v>209.10863999999992</v>
      </c>
      <c r="BF64" s="14">
        <f t="shared" si="37"/>
        <v>51.740752917407036</v>
      </c>
      <c r="BG64" s="22">
        <f t="shared" si="7"/>
        <v>454.31269266448368</v>
      </c>
      <c r="BH64" s="60">
        <f t="shared" si="8"/>
        <v>747.64602599781699</v>
      </c>
      <c r="BI64" s="60">
        <f ca="1">AVERAGE(OFFSET($BH$3,0,0,'Données projet'!$E$11+1,1))-AVERAGE(OFFSET($H$3,0,0,'Données projet'!$E$11+1,1))</f>
        <v>344.63665697794022</v>
      </c>
      <c r="BJ64" s="60">
        <f t="shared" si="38"/>
        <v>376.72762011188041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281.79999999999995</v>
      </c>
      <c r="BZ64" s="14">
        <f>BY64*VLOOKUP('Données projet'!$B$12,Paramètres!$A$1:$I$89,3,0)*VLOOKUP('Données projet'!$B$12,Paramètres!$A$1:$I$89,5,0)</f>
        <v>254.97263999999996</v>
      </c>
      <c r="CA64" s="14">
        <f t="shared" si="39"/>
        <v>61.649533232533919</v>
      </c>
      <c r="CB64" s="22">
        <f t="shared" si="10"/>
        <v>551.45028504666311</v>
      </c>
      <c r="CC64" s="60">
        <f t="shared" si="11"/>
        <v>844.78361837999637</v>
      </c>
      <c r="CD64" s="60">
        <f ca="1">AVERAGE(OFFSET($CC$3,0,0,'Données projet'!$E$12+1,1))-AVERAGE(OFFSET($H$3,0,0,'Données projet'!$E$12+1,1))</f>
        <v>529.25712986118265</v>
      </c>
      <c r="CE64" s="60">
        <f t="shared" si="40"/>
        <v>278.21741231699929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281.79999999999995</v>
      </c>
      <c r="CU64" s="18">
        <f>CT64*VLOOKUP('Données projet'!$B$13,Paramètres!$A$1:$I$89,3,0)*VLOOKUP('Données projet'!$B$13,Paramètres!$A$1:$I$89,5,0)</f>
        <v>237.38831999999999</v>
      </c>
      <c r="CV64" s="14">
        <f t="shared" si="41"/>
        <v>57.877257478787087</v>
      </c>
      <c r="CW64" s="22">
        <f t="shared" si="13"/>
        <v>514.25421410888737</v>
      </c>
      <c r="CX64" s="60">
        <f t="shared" si="14"/>
        <v>807.58754744222074</v>
      </c>
      <c r="CY64" s="60">
        <f ca="1">AVERAGE(OFFSET($CX$3,0,0,'Données projet'!$E$13+1,1))-AVERAGE(OFFSET($H$3,0,0,'Données projet'!$E$13+1,1))</f>
        <v>495.77338291316386</v>
      </c>
      <c r="CZ64" s="60">
        <f t="shared" si="42"/>
        <v>261.95434270986397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212.20000000000016</v>
      </c>
      <c r="DP64" s="18">
        <f>DO64*VLOOKUP('Données projet'!$B$14,Paramètres!$A$1:$I$89,3,0)*VLOOKUP('Données projet'!$B$14,Paramètres!$A$1:$I$89,5,0)</f>
        <v>139.0334400000001</v>
      </c>
      <c r="DQ64" s="14">
        <f t="shared" si="43"/>
        <v>36.07549097093554</v>
      </c>
      <c r="DR64" s="22">
        <f t="shared" si="16"/>
        <v>304.98138810771292</v>
      </c>
      <c r="DS64" s="60">
        <f t="shared" si="17"/>
        <v>598.31472144104623</v>
      </c>
      <c r="DT64" s="60">
        <f ca="1">AVERAGE(OFFSET($DS$3,0,0,'Données projet'!$E$14+1,1))-AVERAGE(OFFSET($H$3,0,0,'Données projet'!$E$14+1,1))</f>
        <v>275.11574966125522</v>
      </c>
      <c r="DU64" s="60">
        <f t="shared" si="44"/>
        <v>299.21520121860345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5.6</v>
      </c>
      <c r="N65" s="14">
        <f>IF('Données projet'!$A$36&gt;35,N64+M65-V64,IF(A65&lt;'Données projet'!$A$36,$K$205^A65,IF(A65='Données projet'!$A$36,'Données projet'!$B$36,N64+M65-V64)))</f>
        <v>215.20000000000005</v>
      </c>
      <c r="O65" s="14">
        <f>N65*VLOOKUP('Données projet'!$B$9,Paramètres!$A$1:$I$89,3,0)*VLOOKUP('Données projet'!$B$9,Paramètres!$A$1:$I$89,5,0)</f>
        <v>187.99872000000008</v>
      </c>
      <c r="P65" s="14">
        <f t="shared" si="33"/>
        <v>47.097225953569499</v>
      </c>
      <c r="Q65" s="22">
        <f t="shared" si="53"/>
        <v>409.45877253580034</v>
      </c>
      <c r="R65" s="60">
        <f t="shared" si="0"/>
        <v>702.79210586913359</v>
      </c>
      <c r="S65" s="60">
        <f ca="1">AVERAGE(OFFSET($R$3,0,0,'Données projet'!$E$9+1,1))-AVERAGE(OFFSET($H$3,0,0,'Données projet'!$E$9+1,1))</f>
        <v>369.34989412920129</v>
      </c>
      <c r="T65" s="60">
        <f t="shared" si="34"/>
        <v>371.26234252426553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290.39999999999992</v>
      </c>
      <c r="AJ65" s="14">
        <f>AI65*VLOOKUP('Données projet'!$B$10,Paramètres!$A$1:$I$89,3,0)*VLOOKUP('Données projet'!$B$10,Paramètres!$A$1:$I$89,5,0)</f>
        <v>231.04223999999994</v>
      </c>
      <c r="AK65" s="14">
        <f t="shared" si="35"/>
        <v>56.507978852931409</v>
      </c>
      <c r="AL65" s="22">
        <f t="shared" si="4"/>
        <v>500.81663116885539</v>
      </c>
      <c r="AM65" s="60">
        <f t="shared" si="5"/>
        <v>794.14996450218871</v>
      </c>
      <c r="AN65" s="60">
        <f ca="1">AVERAGE(OFFSET($AM$3,0,0,'Données projet'!$E$10+1,1))-AVERAGE(OFFSET($H$3,0,0,'Données projet'!$E$10+1,1))</f>
        <v>370.79299728190904</v>
      </c>
      <c r="AO65" s="60">
        <f t="shared" si="36"/>
        <v>404.95703400805775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290.39999999999992</v>
      </c>
      <c r="BE65" s="14">
        <f>BD65*VLOOKUP('Données projet'!$B$11,Paramètres!$A$1:$I$89,3,0)*VLOOKUP('Données projet'!$B$11,Paramètres!$A$1:$I$89,5,0)</f>
        <v>212.92127999999991</v>
      </c>
      <c r="BF65" s="14">
        <f t="shared" si="37"/>
        <v>52.57344469809297</v>
      </c>
      <c r="BG65" s="22">
        <f t="shared" si="7"/>
        <v>462.4033121825118</v>
      </c>
      <c r="BH65" s="60">
        <f t="shared" si="8"/>
        <v>755.73664551584511</v>
      </c>
      <c r="BI65" s="60">
        <f ca="1">AVERAGE(OFFSET($BH$3,0,0,'Données projet'!$E$11+1,1))-AVERAGE(OFFSET($H$3,0,0,'Données projet'!$E$11+1,1))</f>
        <v>344.63665697794022</v>
      </c>
      <c r="BJ65" s="60">
        <f t="shared" si="38"/>
        <v>376.72762011188041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290.59999999999997</v>
      </c>
      <c r="BZ65" s="14">
        <f>BY65*VLOOKUP('Données projet'!$B$12,Paramètres!$A$1:$I$89,3,0)*VLOOKUP('Données projet'!$B$12,Paramètres!$A$1:$I$89,5,0)</f>
        <v>262.93487999999996</v>
      </c>
      <c r="CA65" s="14">
        <f t="shared" si="39"/>
        <v>63.347566493432765</v>
      </c>
      <c r="CB65" s="22">
        <f t="shared" si="10"/>
        <v>568.27526097606199</v>
      </c>
      <c r="CC65" s="60">
        <f t="shared" si="11"/>
        <v>861.60859430939536</v>
      </c>
      <c r="CD65" s="60">
        <f ca="1">AVERAGE(OFFSET($CC$3,0,0,'Données projet'!$E$12+1,1))-AVERAGE(OFFSET($H$3,0,0,'Données projet'!$E$12+1,1))</f>
        <v>529.25712986118265</v>
      </c>
      <c r="CE65" s="60">
        <f t="shared" si="40"/>
        <v>278.21741231699929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290.59999999999997</v>
      </c>
      <c r="CU65" s="18">
        <f>CT65*VLOOKUP('Données projet'!$B$13,Paramètres!$A$1:$I$89,3,0)*VLOOKUP('Données projet'!$B$13,Paramètres!$A$1:$I$89,5,0)</f>
        <v>244.80143999999999</v>
      </c>
      <c r="CV65" s="14">
        <f t="shared" si="41"/>
        <v>59.471389714596519</v>
      </c>
      <c r="CW65" s="22">
        <f t="shared" si="13"/>
        <v>529.94184508625551</v>
      </c>
      <c r="CX65" s="60">
        <f t="shared" si="14"/>
        <v>823.27517841958888</v>
      </c>
      <c r="CY65" s="60">
        <f ca="1">AVERAGE(OFFSET($CX$3,0,0,'Données projet'!$E$13+1,1))-AVERAGE(OFFSET($H$3,0,0,'Données projet'!$E$13+1,1))</f>
        <v>495.77338291316386</v>
      </c>
      <c r="CZ65" s="60">
        <f t="shared" si="42"/>
        <v>261.95434270986397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217.40000000000015</v>
      </c>
      <c r="DP65" s="18">
        <f>DO65*VLOOKUP('Données projet'!$B$14,Paramètres!$A$1:$I$89,3,0)*VLOOKUP('Données projet'!$B$14,Paramètres!$A$1:$I$89,5,0)</f>
        <v>142.44048000000009</v>
      </c>
      <c r="DQ65" s="14">
        <f t="shared" si="43"/>
        <v>36.855521628538284</v>
      </c>
      <c r="DR65" s="22">
        <f t="shared" si="16"/>
        <v>312.27386950303764</v>
      </c>
      <c r="DS65" s="60">
        <f t="shared" si="17"/>
        <v>605.60720283637102</v>
      </c>
      <c r="DT65" s="60">
        <f ca="1">AVERAGE(OFFSET($DS$3,0,0,'Données projet'!$E$14+1,1))-AVERAGE(OFFSET($H$3,0,0,'Données projet'!$E$14+1,1))</f>
        <v>275.11574966125522</v>
      </c>
      <c r="DU65" s="60">
        <f t="shared" si="44"/>
        <v>299.21520121860345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5.6</v>
      </c>
      <c r="N66" s="14">
        <f>IF('Données projet'!$A$36&gt;35,N65+M66-V65,IF(A66&lt;'Données projet'!$A$36,$K$205^A66,IF(A66='Données projet'!$A$36,'Données projet'!$B$36,N65+M66-V65)))</f>
        <v>220.80000000000004</v>
      </c>
      <c r="O66" s="14">
        <f>N66*VLOOKUP('Données projet'!$B$9,Paramètres!$A$1:$I$89,3,0)*VLOOKUP('Données projet'!$B$9,Paramètres!$A$1:$I$89,5,0)</f>
        <v>192.89088000000007</v>
      </c>
      <c r="P66" s="14">
        <f t="shared" si="33"/>
        <v>48.178522586846704</v>
      </c>
      <c r="Q66" s="22">
        <f t="shared" si="53"/>
        <v>419.86254283875809</v>
      </c>
      <c r="R66" s="60">
        <f t="shared" si="0"/>
        <v>713.1958761720914</v>
      </c>
      <c r="S66" s="60">
        <f ca="1">AVERAGE(OFFSET($R$3,0,0,'Données projet'!$E$9+1,1))-AVERAGE(OFFSET($H$3,0,0,'Données projet'!$E$9+1,1))</f>
        <v>369.34989412920129</v>
      </c>
      <c r="T66" s="60">
        <f t="shared" si="34"/>
        <v>371.26234252426553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295.59999999999991</v>
      </c>
      <c r="AJ66" s="14">
        <f>AI66*VLOOKUP('Données projet'!$B$10,Paramètres!$A$1:$I$89,3,0)*VLOOKUP('Données projet'!$B$10,Paramètres!$A$1:$I$89,5,0)</f>
        <v>235.17935999999992</v>
      </c>
      <c r="AK66" s="14">
        <f t="shared" si="35"/>
        <v>57.401124668909425</v>
      </c>
      <c r="AL66" s="22">
        <f t="shared" si="4"/>
        <v>509.57767746501708</v>
      </c>
      <c r="AM66" s="60">
        <f t="shared" si="5"/>
        <v>802.91101079835039</v>
      </c>
      <c r="AN66" s="60">
        <f ca="1">AVERAGE(OFFSET($AM$3,0,0,'Données projet'!$E$10+1,1))-AVERAGE(OFFSET($H$3,0,0,'Données projet'!$E$10+1,1))</f>
        <v>370.79299728190904</v>
      </c>
      <c r="AO66" s="60">
        <f t="shared" si="36"/>
        <v>404.95703400805775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295.59999999999991</v>
      </c>
      <c r="BE66" s="14">
        <f>BD66*VLOOKUP('Données projet'!$B$11,Paramètres!$A$1:$I$89,3,0)*VLOOKUP('Données projet'!$B$11,Paramètres!$A$1:$I$89,5,0)</f>
        <v>216.73391999999996</v>
      </c>
      <c r="BF66" s="14">
        <f t="shared" si="37"/>
        <v>53.404402610883679</v>
      </c>
      <c r="BG66" s="22">
        <f t="shared" si="7"/>
        <v>470.49091188062226</v>
      </c>
      <c r="BH66" s="60">
        <f t="shared" si="8"/>
        <v>763.82424521395558</v>
      </c>
      <c r="BI66" s="60">
        <f ca="1">AVERAGE(OFFSET($BH$3,0,0,'Données projet'!$E$11+1,1))-AVERAGE(OFFSET($H$3,0,0,'Données projet'!$E$11+1,1))</f>
        <v>344.63665697794022</v>
      </c>
      <c r="BJ66" s="60">
        <f t="shared" si="38"/>
        <v>376.72762011188041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299.39999999999998</v>
      </c>
      <c r="BZ66" s="14">
        <f>BY66*VLOOKUP('Données projet'!$B$12,Paramètres!$A$1:$I$89,3,0)*VLOOKUP('Données projet'!$B$12,Paramètres!$A$1:$I$89,5,0)</f>
        <v>270.89711999999997</v>
      </c>
      <c r="CA66" s="14">
        <f t="shared" si="39"/>
        <v>65.039624021315475</v>
      </c>
      <c r="CB66" s="22">
        <f t="shared" si="10"/>
        <v>585.08982917045773</v>
      </c>
      <c r="CC66" s="60">
        <f t="shared" si="11"/>
        <v>878.42316250379099</v>
      </c>
      <c r="CD66" s="60">
        <f ca="1">AVERAGE(OFFSET($CC$3,0,0,'Données projet'!$E$12+1,1))-AVERAGE(OFFSET($H$3,0,0,'Données projet'!$E$12+1,1))</f>
        <v>529.25712986118265</v>
      </c>
      <c r="CE66" s="60">
        <f t="shared" si="40"/>
        <v>278.21741231699929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299.39999999999998</v>
      </c>
      <c r="CU66" s="18">
        <f>CT66*VLOOKUP('Données projet'!$B$13,Paramètres!$A$1:$I$89,3,0)*VLOOKUP('Données projet'!$B$13,Paramètres!$A$1:$I$89,5,0)</f>
        <v>252.21455999999998</v>
      </c>
      <c r="CV66" s="14">
        <f t="shared" si="41"/>
        <v>61.059911866756252</v>
      </c>
      <c r="CW66" s="22">
        <f t="shared" si="13"/>
        <v>545.61970516793383</v>
      </c>
      <c r="CX66" s="60">
        <f t="shared" si="14"/>
        <v>838.9530385012672</v>
      </c>
      <c r="CY66" s="60">
        <f ca="1">AVERAGE(OFFSET($CX$3,0,0,'Données projet'!$E$13+1,1))-AVERAGE(OFFSET($H$3,0,0,'Données projet'!$E$13+1,1))</f>
        <v>495.77338291316386</v>
      </c>
      <c r="CZ66" s="60">
        <f t="shared" si="42"/>
        <v>261.95434270986397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222.60000000000014</v>
      </c>
      <c r="DP66" s="18">
        <f>DO66*VLOOKUP('Données projet'!$B$14,Paramètres!$A$1:$I$89,3,0)*VLOOKUP('Données projet'!$B$14,Paramètres!$A$1:$I$89,5,0)</f>
        <v>145.84752000000009</v>
      </c>
      <c r="DQ66" s="14">
        <f t="shared" si="43"/>
        <v>37.633383344887093</v>
      </c>
      <c r="DR66" s="22">
        <f t="shared" si="16"/>
        <v>319.56257332567844</v>
      </c>
      <c r="DS66" s="60">
        <f t="shared" si="17"/>
        <v>612.89590665901176</v>
      </c>
      <c r="DT66" s="60">
        <f ca="1">AVERAGE(OFFSET($DS$3,0,0,'Données projet'!$E$14+1,1))-AVERAGE(OFFSET($H$3,0,0,'Données projet'!$E$14+1,1))</f>
        <v>275.11574966125522</v>
      </c>
      <c r="DU66" s="60">
        <f t="shared" si="44"/>
        <v>299.21520121860345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5.6</v>
      </c>
      <c r="N67" s="14">
        <f>IF('Données projet'!$A$36&gt;35,N66+M67-V66,IF(A67&lt;'Données projet'!$A$36,$K$205^A67,IF(A67='Données projet'!$A$36,'Données projet'!$B$36,N66+M67-V66)))</f>
        <v>226.40000000000003</v>
      </c>
      <c r="O67" s="14">
        <f>N67*VLOOKUP('Données projet'!$B$9,Paramètres!$A$1:$I$89,3,0)*VLOOKUP('Données projet'!$B$9,Paramètres!$A$1:$I$89,5,0)</f>
        <v>197.78304000000006</v>
      </c>
      <c r="P67" s="14">
        <f t="shared" si="33"/>
        <v>49.25663139053286</v>
      </c>
      <c r="Q67" s="22">
        <f t="shared" ref="Q67:Q98" si="54">(O67+P67)*0.475*44/12</f>
        <v>430.26076100517821</v>
      </c>
      <c r="R67" s="60">
        <f t="shared" ref="R67:R130" si="55">Q67+(I67+J67)*44/12</f>
        <v>723.59409433851147</v>
      </c>
      <c r="S67" s="60">
        <f ca="1">AVERAGE(OFFSET($R$3,0,0,'Données projet'!$E$9+1,1))-AVERAGE(OFFSET($H$3,0,0,'Données projet'!$E$9+1,1))</f>
        <v>369.34989412920129</v>
      </c>
      <c r="T67" s="60">
        <f t="shared" si="34"/>
        <v>371.26234252426553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300.7999999999999</v>
      </c>
      <c r="AJ67" s="14">
        <f>AI67*VLOOKUP('Données projet'!$B$10,Paramètres!$A$1:$I$89,3,0)*VLOOKUP('Données projet'!$B$10,Paramètres!$A$1:$I$89,5,0)</f>
        <v>239.31647999999996</v>
      </c>
      <c r="AK67" s="14">
        <f t="shared" si="35"/>
        <v>58.292443422481945</v>
      </c>
      <c r="AL67" s="22">
        <f t="shared" si="4"/>
        <v>518.33554162748931</v>
      </c>
      <c r="AM67" s="60">
        <f t="shared" si="5"/>
        <v>811.66887496082268</v>
      </c>
      <c r="AN67" s="60">
        <f ca="1">AVERAGE(OFFSET($AM$3,0,0,'Données projet'!$E$10+1,1))-AVERAGE(OFFSET($H$3,0,0,'Données projet'!$E$10+1,1))</f>
        <v>370.79299728190904</v>
      </c>
      <c r="AO67" s="60">
        <f t="shared" si="36"/>
        <v>404.95703400805775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300.7999999999999</v>
      </c>
      <c r="BE67" s="14">
        <f>BD67*VLOOKUP('Données projet'!$B$11,Paramètres!$A$1:$I$89,3,0)*VLOOKUP('Données projet'!$B$11,Paramètres!$A$1:$I$89,5,0)</f>
        <v>220.54655999999991</v>
      </c>
      <c r="BF67" s="14">
        <f t="shared" si="37"/>
        <v>54.233660675860236</v>
      </c>
      <c r="BG67" s="22">
        <f t="shared" si="7"/>
        <v>478.57555101045642</v>
      </c>
      <c r="BH67" s="60">
        <f t="shared" si="8"/>
        <v>771.90888434378974</v>
      </c>
      <c r="BI67" s="60">
        <f ca="1">AVERAGE(OFFSET($BH$3,0,0,'Données projet'!$E$11+1,1))-AVERAGE(OFFSET($H$3,0,0,'Données projet'!$E$11+1,1))</f>
        <v>344.63665697794022</v>
      </c>
      <c r="BJ67" s="60">
        <f t="shared" si="38"/>
        <v>376.72762011188041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308.2</v>
      </c>
      <c r="BZ67" s="14">
        <f>BY67*VLOOKUP('Données projet'!$B$12,Paramètres!$A$1:$I$89,3,0)*VLOOKUP('Données projet'!$B$12,Paramètres!$A$1:$I$89,5,0)</f>
        <v>278.85935999999998</v>
      </c>
      <c r="CA67" s="14">
        <f t="shared" si="39"/>
        <v>66.725901622172444</v>
      </c>
      <c r="CB67" s="22">
        <f t="shared" si="10"/>
        <v>601.89433065861692</v>
      </c>
      <c r="CC67" s="60">
        <f t="shared" si="11"/>
        <v>895.22766399195029</v>
      </c>
      <c r="CD67" s="60">
        <f ca="1">AVERAGE(OFFSET($CC$3,0,0,'Données projet'!$E$12+1,1))-AVERAGE(OFFSET($H$3,0,0,'Données projet'!$E$12+1,1))</f>
        <v>529.25712986118265</v>
      </c>
      <c r="CE67" s="60">
        <f t="shared" si="40"/>
        <v>278.21741231699929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308.2</v>
      </c>
      <c r="CU67" s="18">
        <f>CT67*VLOOKUP('Données projet'!$B$13,Paramètres!$A$1:$I$89,3,0)*VLOOKUP('Données projet'!$B$13,Paramètres!$A$1:$I$89,5,0)</f>
        <v>259.62768</v>
      </c>
      <c r="CV67" s="14">
        <f t="shared" si="41"/>
        <v>62.643007760076095</v>
      </c>
      <c r="CW67" s="22">
        <f t="shared" si="13"/>
        <v>561.28811451546585</v>
      </c>
      <c r="CX67" s="60">
        <f t="shared" si="14"/>
        <v>854.62144784879911</v>
      </c>
      <c r="CY67" s="60">
        <f ca="1">AVERAGE(OFFSET($CX$3,0,0,'Données projet'!$E$13+1,1))-AVERAGE(OFFSET($H$3,0,0,'Données projet'!$E$13+1,1))</f>
        <v>495.77338291316386</v>
      </c>
      <c r="CZ67" s="60">
        <f t="shared" si="42"/>
        <v>261.95434270986397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227.80000000000013</v>
      </c>
      <c r="DP67" s="18">
        <f>DO67*VLOOKUP('Données projet'!$B$14,Paramètres!$A$1:$I$89,3,0)*VLOOKUP('Données projet'!$B$14,Paramètres!$A$1:$I$89,5,0)</f>
        <v>149.25456000000008</v>
      </c>
      <c r="DQ67" s="14">
        <f t="shared" si="43"/>
        <v>38.409132618275962</v>
      </c>
      <c r="DR67" s="22">
        <f t="shared" si="16"/>
        <v>326.8475979768308</v>
      </c>
      <c r="DS67" s="60">
        <f t="shared" si="17"/>
        <v>620.18093131016417</v>
      </c>
      <c r="DT67" s="60">
        <f ca="1">AVERAGE(OFFSET($DS$3,0,0,'Données projet'!$E$14+1,1))-AVERAGE(OFFSET($H$3,0,0,'Données projet'!$E$14+1,1))</f>
        <v>275.11574966125522</v>
      </c>
      <c r="DU67" s="60">
        <f t="shared" si="44"/>
        <v>299.21520121860345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232</v>
      </c>
      <c r="L68" s="13">
        <f>VLOOKUP(A68,'Données projet'!$A$35:$I$55,9,0)</f>
        <v>5.6</v>
      </c>
      <c r="M68" s="13">
        <f t="array" ref="M68">INDEX(L:L,MIN(IF(ISNUMBER(L68:L264),ROW(L68:L264),"")))</f>
        <v>5.6</v>
      </c>
      <c r="N68" s="14">
        <f>IF('Données projet'!$A$36&gt;35,N67+M68-V67,IF(A68&lt;'Données projet'!$A$36,$K$205^A68,IF(A68='Données projet'!$A$36,'Données projet'!$B$36,N67+M68-V67)))</f>
        <v>232.00000000000003</v>
      </c>
      <c r="O68" s="14">
        <f>N68*VLOOKUP('Données projet'!$B$9,Paramètres!$A$1:$I$89,3,0)*VLOOKUP('Données projet'!$B$9,Paramètres!$A$1:$I$89,5,0)</f>
        <v>202.67520000000002</v>
      </c>
      <c r="P68" s="14">
        <f t="shared" si="33"/>
        <v>50.331640285313689</v>
      </c>
      <c r="Q68" s="22">
        <f t="shared" si="54"/>
        <v>440.653580163588</v>
      </c>
      <c r="R68" s="60">
        <f t="shared" si="55"/>
        <v>733.98691349692126</v>
      </c>
      <c r="S68" s="60">
        <f ca="1">AVERAGE(OFFSET($R$3,0,0,'Données projet'!$E$9+1,1))-AVERAGE(OFFSET($H$3,0,0,'Données projet'!$E$9+1,1))</f>
        <v>369.34989412920129</v>
      </c>
      <c r="T68" s="60">
        <f t="shared" si="34"/>
        <v>371.26234252426553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305.99999999999989</v>
      </c>
      <c r="AJ68" s="14">
        <f>AI68*VLOOKUP('Données projet'!$B$10,Paramètres!$A$1:$I$89,3,0)*VLOOKUP('Données projet'!$B$10,Paramètres!$A$1:$I$89,5,0)</f>
        <v>243.45359999999991</v>
      </c>
      <c r="AK68" s="14">
        <f t="shared" si="35"/>
        <v>59.181970343065267</v>
      </c>
      <c r="AL68" s="22">
        <f t="shared" ref="AL68:AL131" si="58">(AJ68+AK68)*0.475*44/12</f>
        <v>527.09028501417185</v>
      </c>
      <c r="AM68" s="60">
        <f t="shared" ref="AM68:AM131" si="59">AL68+(AD68+AE68)*44/12</f>
        <v>820.42361834750523</v>
      </c>
      <c r="AN68" s="60">
        <f ca="1">AVERAGE(OFFSET($AM$3,0,0,'Données projet'!$E$10+1,1))-AVERAGE(OFFSET($H$3,0,0,'Données projet'!$E$10+1,1))</f>
        <v>370.79299728190904</v>
      </c>
      <c r="AO68" s="60">
        <f t="shared" si="36"/>
        <v>404.95703400805775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305.99999999999989</v>
      </c>
      <c r="BE68" s="14">
        <f>BD68*VLOOKUP('Données projet'!$B$11,Paramètres!$A$1:$I$89,3,0)*VLOOKUP('Données projet'!$B$11,Paramètres!$A$1:$I$89,5,0)</f>
        <v>224.3591999999999</v>
      </c>
      <c r="BF68" s="14">
        <f t="shared" si="37"/>
        <v>55.061251669487255</v>
      </c>
      <c r="BG68" s="22">
        <f t="shared" ref="BG68:BG131" si="61">(BE68+BF68)*0.475*44/12</f>
        <v>486.65728665769001</v>
      </c>
      <c r="BH68" s="60">
        <f t="shared" ref="BH68:BH131" si="62">BG68+(AY68+AZ68)*44/12</f>
        <v>779.99061999102332</v>
      </c>
      <c r="BI68" s="60">
        <f ca="1">AVERAGE(OFFSET($BH$3,0,0,'Données projet'!$E$11+1,1))-AVERAGE(OFFSET($H$3,0,0,'Données projet'!$E$11+1,1))</f>
        <v>344.63665697794022</v>
      </c>
      <c r="BJ68" s="60">
        <f t="shared" si="38"/>
        <v>376.72762011188041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317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317</v>
      </c>
      <c r="BZ68" s="14">
        <f>BY68*VLOOKUP('Données projet'!$B$12,Paramètres!$A$1:$I$89,3,0)*VLOOKUP('Données projet'!$B$12,Paramètres!$A$1:$I$89,5,0)</f>
        <v>286.82159999999999</v>
      </c>
      <c r="CA68" s="14">
        <f t="shared" si="39"/>
        <v>68.406583284351484</v>
      </c>
      <c r="CB68" s="22">
        <f t="shared" ref="CB68:CB131" si="64">(BZ68+CA68)*0.475*44/12</f>
        <v>618.68908588691215</v>
      </c>
      <c r="CC68" s="60">
        <f t="shared" ref="CC68:CC131" si="65">CB68+(BT68+BU68)*44/12</f>
        <v>912.02241922024541</v>
      </c>
      <c r="CD68" s="60">
        <f ca="1">AVERAGE(OFFSET($CC$3,0,0,'Données projet'!$E$12+1,1))-AVERAGE(OFFSET($H$3,0,0,'Données projet'!$E$12+1,1))</f>
        <v>529.25712986118265</v>
      </c>
      <c r="CE68" s="60">
        <f t="shared" si="40"/>
        <v>278.21741231699929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317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317</v>
      </c>
      <c r="CU68" s="18">
        <f>CT68*VLOOKUP('Données projet'!$B$13,Paramètres!$A$1:$I$89,3,0)*VLOOKUP('Données projet'!$B$13,Paramètres!$A$1:$I$89,5,0)</f>
        <v>267.04080000000005</v>
      </c>
      <c r="CV68" s="14">
        <f t="shared" si="41"/>
        <v>64.220850124833518</v>
      </c>
      <c r="CW68" s="22">
        <f t="shared" ref="CW68:CW131" si="67">(CU68+CV68)*0.475*44/12</f>
        <v>576.94737396741846</v>
      </c>
      <c r="CX68" s="60">
        <f t="shared" ref="CX68:CX131" si="68">CW68+(CO68+CP68)*44/12</f>
        <v>870.28070730075183</v>
      </c>
      <c r="CY68" s="60">
        <f ca="1">AVERAGE(OFFSET($CX$3,0,0,'Données projet'!$E$13+1,1))-AVERAGE(OFFSET($H$3,0,0,'Données projet'!$E$13+1,1))</f>
        <v>495.77338291316386</v>
      </c>
      <c r="CZ68" s="60">
        <f t="shared" si="42"/>
        <v>261.95434270986397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56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233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233.00000000000011</v>
      </c>
      <c r="DP68" s="18">
        <f>DO68*VLOOKUP('Données projet'!$B$14,Paramètres!$A$1:$I$89,3,0)*VLOOKUP('Données projet'!$B$14,Paramètres!$A$1:$I$89,5,0)</f>
        <v>152.66160000000008</v>
      </c>
      <c r="DQ68" s="14">
        <f t="shared" si="43"/>
        <v>39.182823220412118</v>
      </c>
      <c r="DR68" s="22">
        <f t="shared" ref="DR68:DR131" si="70">(DP68+DQ68)*0.475*44/12</f>
        <v>334.12903710888452</v>
      </c>
      <c r="DS68" s="60">
        <f t="shared" ref="DS68:DS131" si="71">DR68+(DJ68+DK68)*44/12</f>
        <v>627.46237044221789</v>
      </c>
      <c r="DT68" s="60">
        <f ca="1">AVERAGE(OFFSET($DS$3,0,0,'Données projet'!$E$14+1,1))-AVERAGE(OFFSET($H$3,0,0,'Données projet'!$E$14+1,1))</f>
        <v>275.11574966125522</v>
      </c>
      <c r="DU68" s="60">
        <f t="shared" si="44"/>
        <v>299.21520121860345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</v>
      </c>
      <c r="N69" s="14">
        <f>IF('Données projet'!$A$36&gt;35,N68+M69-V68,IF(A69&lt;'Données projet'!$A$36,$K$205^A69,IF(A69='Données projet'!$A$36,'Données projet'!$B$36,N68+M69-V68)))</f>
        <v>237.00000000000003</v>
      </c>
      <c r="O69" s="14">
        <f>N69*VLOOKUP('Données projet'!$B$9,Paramètres!$A$1:$I$89,3,0)*VLOOKUP('Données projet'!$B$9,Paramètres!$A$1:$I$89,5,0)</f>
        <v>207.04320000000004</v>
      </c>
      <c r="P69" s="14">
        <f t="shared" ref="P69:P132" si="87">EXP(-1.0587+0.8836*LN(O69)+0.284)</f>
        <v>51.288918231806321</v>
      </c>
      <c r="Q69" s="22">
        <f t="shared" si="54"/>
        <v>449.92843925372944</v>
      </c>
      <c r="R69" s="60">
        <f t="shared" si="55"/>
        <v>743.26177258706275</v>
      </c>
      <c r="S69" s="60">
        <f ca="1">AVERAGE(OFFSET($R$3,0,0,'Données projet'!$E$9+1,1))-AVERAGE(OFFSET($H$3,0,0,'Données projet'!$E$9+1,1))</f>
        <v>369.34989412920129</v>
      </c>
      <c r="T69" s="60">
        <f t="shared" ref="T69:T132" si="88">$T$3</f>
        <v>371.26234252426553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4.4000000000000004</v>
      </c>
      <c r="AI69" s="14">
        <f>IF('Données projet'!$A$62&gt;35,AI68+AH69-AQ68,IF(A69&lt;'Données projet'!$A$62,$AF$205^A69,IF(A69='Données projet'!$A$62,'Données projet'!$B$62,AI68+AH69-AQ68)))</f>
        <v>310.39999999999986</v>
      </c>
      <c r="AJ69" s="14">
        <f>AI69*VLOOKUP('Données projet'!$B$10,Paramètres!$A$1:$I$89,3,0)*VLOOKUP('Données projet'!$B$10,Paramètres!$A$1:$I$89,5,0)</f>
        <v>246.95423999999991</v>
      </c>
      <c r="AK69" s="14">
        <f t="shared" ref="AK69:AK132" si="89">EXP(-1.0587+0.8836*LN(AJ69)+0.284)</f>
        <v>59.933272631878893</v>
      </c>
      <c r="AL69" s="22">
        <f t="shared" si="58"/>
        <v>534.49575116718881</v>
      </c>
      <c r="AM69" s="60">
        <f t="shared" si="59"/>
        <v>827.82908450052219</v>
      </c>
      <c r="AN69" s="60">
        <f ca="1">AVERAGE(OFFSET($AM$3,0,0,'Données projet'!$E$10+1,1))-AVERAGE(OFFSET($H$3,0,0,'Données projet'!$E$10+1,1))</f>
        <v>370.79299728190904</v>
      </c>
      <c r="AO69" s="60">
        <f t="shared" ref="AO69:AO132" si="90">$AO$3</f>
        <v>404.95703400805775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310.39999999999986</v>
      </c>
      <c r="BE69" s="14">
        <f>BD69*VLOOKUP('Données projet'!$B$11,Paramètres!$A$1:$I$89,3,0)*VLOOKUP('Données projet'!$B$11,Paramètres!$A$1:$I$89,5,0)</f>
        <v>227.58527999999987</v>
      </c>
      <c r="BF69" s="14">
        <f t="shared" ref="BF69:BF132" si="91">EXP(-1.0587+0.8836*LN(BE69)+0.284)</f>
        <v>55.760242327696616</v>
      </c>
      <c r="BG69" s="22">
        <f t="shared" si="61"/>
        <v>493.49345138740472</v>
      </c>
      <c r="BH69" s="60">
        <f t="shared" si="62"/>
        <v>786.82678472073803</v>
      </c>
      <c r="BI69" s="60">
        <f ca="1">AVERAGE(OFFSET($BH$3,0,0,'Données projet'!$E$11+1,1))-AVERAGE(OFFSET($H$3,0,0,'Données projet'!$E$11+1,1))</f>
        <v>344.63665697794022</v>
      </c>
      <c r="BJ69" s="60">
        <f t="shared" ref="BJ69:BJ132" si="92">$BJ$3</f>
        <v>376.72762011188041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243.57216</v>
      </c>
      <c r="CA69" s="14">
        <f t="shared" ref="CA69:CA132" si="93">EXP(-1.0587+0.8836*LN(BZ69)+0.284)</f>
        <v>59.207435995642292</v>
      </c>
      <c r="CB69" s="22">
        <f t="shared" si="64"/>
        <v>527.34112969241028</v>
      </c>
      <c r="CC69" s="60">
        <f t="shared" si="65"/>
        <v>820.67446302574353</v>
      </c>
      <c r="CD69" s="60">
        <f ca="1">AVERAGE(OFFSET($CC$3,0,0,'Données projet'!$E$12+1,1))-AVERAGE(OFFSET($H$3,0,0,'Données projet'!$E$12+1,1))</f>
        <v>529.25712986118265</v>
      </c>
      <c r="CE69" s="60">
        <f t="shared" ref="CE69:CE132" si="94">$CE$3</f>
        <v>278.21741231699929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226.77408</v>
      </c>
      <c r="CV69" s="14">
        <f t="shared" ref="CV69:CV132" si="95">EXP(-1.0587+0.8836*LN(CU69)+0.284)</f>
        <v>55.584589827360034</v>
      </c>
      <c r="CW69" s="22">
        <f t="shared" si="67"/>
        <v>491.77468328265195</v>
      </c>
      <c r="CX69" s="60">
        <f t="shared" si="68"/>
        <v>785.10801661598521</v>
      </c>
      <c r="CY69" s="60">
        <f ca="1">AVERAGE(OFFSET($CX$3,0,0,'Données projet'!$E$13+1,1))-AVERAGE(OFFSET($H$3,0,0,'Données projet'!$E$13+1,1))</f>
        <v>495.77338291316386</v>
      </c>
      <c r="CZ69" s="60">
        <f t="shared" ref="CZ69:CZ132" si="96">$CZ$3</f>
        <v>261.95434270986397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4.8</v>
      </c>
      <c r="DO69" s="13">
        <f>IF('Données projet'!$A$166&gt;35,DO68+DN69-DW68,IF(A69&lt;'Données projet'!$A$166,$DL$205^A69,IF(A69='Données projet'!$A$166,'Données projet'!$B$166,DO68+DN69-DW68)))</f>
        <v>237.80000000000013</v>
      </c>
      <c r="DP69" s="18">
        <f>DO69*VLOOKUP('Données projet'!$B$14,Paramètres!$A$1:$I$89,3,0)*VLOOKUP('Données projet'!$B$14,Paramètres!$A$1:$I$89,5,0)</f>
        <v>155.80656000000008</v>
      </c>
      <c r="DQ69" s="14">
        <f t="shared" ref="DQ69:DQ132" si="97">EXP(-1.0587+0.8836*LN(DP69)+0.284)</f>
        <v>39.895216286209461</v>
      </c>
      <c r="DR69" s="22">
        <f t="shared" si="70"/>
        <v>340.84726036514826</v>
      </c>
      <c r="DS69" s="60">
        <f t="shared" si="71"/>
        <v>634.18059369848152</v>
      </c>
      <c r="DT69" s="60">
        <f ca="1">AVERAGE(OFFSET($DS$3,0,0,'Données projet'!$E$14+1,1))-AVERAGE(OFFSET($H$3,0,0,'Données projet'!$E$14+1,1))</f>
        <v>275.11574966125522</v>
      </c>
      <c r="DU69" s="60">
        <f t="shared" ref="DU69:DU132" si="98">$DU$3</f>
        <v>299.21520121860345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</v>
      </c>
      <c r="N70" s="14">
        <f>IF('Données projet'!$A$36&gt;35,N69+M70-V69,IF(A70&lt;'Données projet'!$A$36,$K$205^A70,IF(A70='Données projet'!$A$36,'Données projet'!$B$36,N69+M70-V69)))</f>
        <v>242.00000000000003</v>
      </c>
      <c r="O70" s="14">
        <f>N70*VLOOKUP('Données projet'!$B$9,Paramètres!$A$1:$I$89,3,0)*VLOOKUP('Données projet'!$B$9,Paramètres!$A$1:$I$89,5,0)</f>
        <v>211.41120000000006</v>
      </c>
      <c r="P70" s="14">
        <f t="shared" si="87"/>
        <v>52.243848094411156</v>
      </c>
      <c r="Q70" s="22">
        <f t="shared" si="54"/>
        <v>459.19920876443285</v>
      </c>
      <c r="R70" s="60">
        <f t="shared" si="55"/>
        <v>752.53254209776617</v>
      </c>
      <c r="S70" s="60">
        <f ca="1">AVERAGE(OFFSET($R$3,0,0,'Données projet'!$E$9+1,1))-AVERAGE(OFFSET($H$3,0,0,'Données projet'!$E$9+1,1))</f>
        <v>369.34989412920129</v>
      </c>
      <c r="T70" s="60">
        <f t="shared" si="88"/>
        <v>371.26234252426553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4.4000000000000004</v>
      </c>
      <c r="AI70" s="14">
        <f>IF('Données projet'!$A$62&gt;35,AI69+AH70-AQ69,IF(A70&lt;'Données projet'!$A$62,$AF$205^A70,IF(A70='Données projet'!$A$62,'Données projet'!$B$62,AI69+AH70-AQ69)))</f>
        <v>314.79999999999984</v>
      </c>
      <c r="AJ70" s="14">
        <f>AI70*VLOOKUP('Données projet'!$B$10,Paramètres!$A$1:$I$89,3,0)*VLOOKUP('Données projet'!$B$10,Paramètres!$A$1:$I$89,5,0)</f>
        <v>250.45487999999989</v>
      </c>
      <c r="AK70" s="14">
        <f t="shared" si="89"/>
        <v>60.683336250201052</v>
      </c>
      <c r="AL70" s="22">
        <f t="shared" si="58"/>
        <v>541.89905996909988</v>
      </c>
      <c r="AM70" s="60">
        <f t="shared" si="59"/>
        <v>835.23239330243314</v>
      </c>
      <c r="AN70" s="60">
        <f ca="1">AVERAGE(OFFSET($AM$3,0,0,'Données projet'!$E$10+1,1))-AVERAGE(OFFSET($H$3,0,0,'Données projet'!$E$10+1,1))</f>
        <v>370.79299728190904</v>
      </c>
      <c r="AO70" s="60">
        <f t="shared" si="90"/>
        <v>404.95703400805775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314.79999999999984</v>
      </c>
      <c r="BE70" s="14">
        <f>BD70*VLOOKUP('Données projet'!$B$11,Paramètres!$A$1:$I$89,3,0)*VLOOKUP('Données projet'!$B$11,Paramètres!$A$1:$I$89,5,0)</f>
        <v>230.81135999999987</v>
      </c>
      <c r="BF70" s="14">
        <f t="shared" si="91"/>
        <v>56.458080561489126</v>
      </c>
      <c r="BG70" s="22">
        <f t="shared" si="61"/>
        <v>500.32760897792667</v>
      </c>
      <c r="BH70" s="60">
        <f t="shared" si="62"/>
        <v>793.66094231125999</v>
      </c>
      <c r="BI70" s="60">
        <f ca="1">AVERAGE(OFFSET($BH$3,0,0,'Données projet'!$E$11+1,1))-AVERAGE(OFFSET($H$3,0,0,'Données projet'!$E$11+1,1))</f>
        <v>344.63665697794022</v>
      </c>
      <c r="BJ70" s="60">
        <f t="shared" si="92"/>
        <v>376.72762011188041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250.99151999999995</v>
      </c>
      <c r="CA70" s="14">
        <f t="shared" si="93"/>
        <v>60.798211000769406</v>
      </c>
      <c r="CB70" s="22">
        <f t="shared" si="64"/>
        <v>543.03378149300659</v>
      </c>
      <c r="CC70" s="60">
        <f t="shared" si="65"/>
        <v>836.36711482633996</v>
      </c>
      <c r="CD70" s="60">
        <f ca="1">AVERAGE(OFFSET($CC$3,0,0,'Données projet'!$E$12+1,1))-AVERAGE(OFFSET($H$3,0,0,'Données projet'!$E$12+1,1))</f>
        <v>529.25712986118265</v>
      </c>
      <c r="CE70" s="60">
        <f t="shared" si="94"/>
        <v>278.21741231699929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233.68176</v>
      </c>
      <c r="CV70" s="14">
        <f t="shared" si="95"/>
        <v>57.078026837098335</v>
      </c>
      <c r="CW70" s="22">
        <f t="shared" si="67"/>
        <v>506.40662874127952</v>
      </c>
      <c r="CX70" s="60">
        <f t="shared" si="68"/>
        <v>799.73996207461278</v>
      </c>
      <c r="CY70" s="60">
        <f ca="1">AVERAGE(OFFSET($CX$3,0,0,'Données projet'!$E$13+1,1))-AVERAGE(OFFSET($H$3,0,0,'Données projet'!$E$13+1,1))</f>
        <v>495.77338291316386</v>
      </c>
      <c r="CZ70" s="60">
        <f t="shared" si="96"/>
        <v>261.95434270986397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4.8</v>
      </c>
      <c r="DO70" s="13">
        <f>IF('Données projet'!$A$166&gt;35,DO69+DN70-DW69,IF(A70&lt;'Données projet'!$A$166,$DL$205^A70,IF(A70='Données projet'!$A$166,'Données projet'!$B$166,DO69+DN70-DW69)))</f>
        <v>242.60000000000014</v>
      </c>
      <c r="DP70" s="18">
        <f>DO70*VLOOKUP('Données projet'!$B$14,Paramètres!$A$1:$I$89,3,0)*VLOOKUP('Données projet'!$B$14,Paramètres!$A$1:$I$89,5,0)</f>
        <v>158.9515200000001</v>
      </c>
      <c r="DQ70" s="14">
        <f t="shared" si="97"/>
        <v>40.60593740260461</v>
      </c>
      <c r="DR70" s="22">
        <f t="shared" si="70"/>
        <v>347.56257164286984</v>
      </c>
      <c r="DS70" s="60">
        <f t="shared" si="71"/>
        <v>640.89590497620316</v>
      </c>
      <c r="DT70" s="60">
        <f ca="1">AVERAGE(OFFSET($DS$3,0,0,'Données projet'!$E$14+1,1))-AVERAGE(OFFSET($H$3,0,0,'Données projet'!$E$14+1,1))</f>
        <v>275.11574966125522</v>
      </c>
      <c r="DU70" s="60">
        <f t="shared" si="98"/>
        <v>299.21520121860345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</v>
      </c>
      <c r="N71" s="14">
        <f>IF('Données projet'!$A$36&gt;35,N70+M71-V70,IF(A71&lt;'Données projet'!$A$36,$K$205^A71,IF(A71='Données projet'!$A$36,'Données projet'!$B$36,N70+M71-V70)))</f>
        <v>247.00000000000003</v>
      </c>
      <c r="O71" s="14">
        <f>N71*VLOOKUP('Données projet'!$B$9,Paramètres!$A$1:$I$89,3,0)*VLOOKUP('Données projet'!$B$9,Paramètres!$A$1:$I$89,5,0)</f>
        <v>215.77920000000003</v>
      </c>
      <c r="P71" s="14">
        <f t="shared" si="87"/>
        <v>53.196483976998607</v>
      </c>
      <c r="Q71" s="22">
        <f t="shared" si="54"/>
        <v>468.46598292660593</v>
      </c>
      <c r="R71" s="60">
        <f t="shared" si="55"/>
        <v>761.79931625993925</v>
      </c>
      <c r="S71" s="60">
        <f ca="1">AVERAGE(OFFSET($R$3,0,0,'Données projet'!$E$9+1,1))-AVERAGE(OFFSET($H$3,0,0,'Données projet'!$E$9+1,1))</f>
        <v>369.34989412920129</v>
      </c>
      <c r="T71" s="60">
        <f t="shared" si="88"/>
        <v>371.26234252426553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4.4000000000000004</v>
      </c>
      <c r="AI71" s="14">
        <f>IF('Données projet'!$A$62&gt;35,AI70+AH71-AQ70,IF(A71&lt;'Données projet'!$A$62,$AF$205^A71,IF(A71='Données projet'!$A$62,'Données projet'!$B$62,AI70+AH71-AQ70)))</f>
        <v>319.19999999999982</v>
      </c>
      <c r="AJ71" s="14">
        <f>AI71*VLOOKUP('Données projet'!$B$10,Paramètres!$A$1:$I$89,3,0)*VLOOKUP('Données projet'!$B$10,Paramètres!$A$1:$I$89,5,0)</f>
        <v>253.95551999999986</v>
      </c>
      <c r="AK71" s="14">
        <f t="shared" si="89"/>
        <v>61.432180511879253</v>
      </c>
      <c r="AL71" s="22">
        <f t="shared" si="58"/>
        <v>549.30024505818949</v>
      </c>
      <c r="AM71" s="60">
        <f t="shared" si="59"/>
        <v>842.63357839152286</v>
      </c>
      <c r="AN71" s="60">
        <f ca="1">AVERAGE(OFFSET($AM$3,0,0,'Données projet'!$E$10+1,1))-AVERAGE(OFFSET($H$3,0,0,'Données projet'!$E$10+1,1))</f>
        <v>370.79299728190904</v>
      </c>
      <c r="AO71" s="60">
        <f t="shared" si="90"/>
        <v>404.95703400805775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319.19999999999982</v>
      </c>
      <c r="BE71" s="14">
        <f>BD71*VLOOKUP('Données projet'!$B$11,Paramètres!$A$1:$I$89,3,0)*VLOOKUP('Données projet'!$B$11,Paramètres!$A$1:$I$89,5,0)</f>
        <v>234.03743999999989</v>
      </c>
      <c r="BF71" s="14">
        <f t="shared" si="91"/>
        <v>57.154784339928689</v>
      </c>
      <c r="BG71" s="22">
        <f t="shared" si="61"/>
        <v>507.15979072537567</v>
      </c>
      <c r="BH71" s="60">
        <f t="shared" si="62"/>
        <v>800.49312405870899</v>
      </c>
      <c r="BI71" s="60">
        <f ca="1">AVERAGE(OFFSET($BH$3,0,0,'Données projet'!$E$11+1,1))-AVERAGE(OFFSET($H$3,0,0,'Données projet'!$E$11+1,1))</f>
        <v>344.63665697794022</v>
      </c>
      <c r="BJ71" s="60">
        <f t="shared" si="92"/>
        <v>376.72762011188041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258.41087999999996</v>
      </c>
      <c r="CA71" s="14">
        <f t="shared" si="93"/>
        <v>62.383521020316756</v>
      </c>
      <c r="CB71" s="22">
        <f t="shared" si="64"/>
        <v>558.71691511038489</v>
      </c>
      <c r="CC71" s="60">
        <f t="shared" si="65"/>
        <v>852.05024844371815</v>
      </c>
      <c r="CD71" s="60">
        <f ca="1">AVERAGE(OFFSET($CC$3,0,0,'Données projet'!$E$12+1,1))-AVERAGE(OFFSET($H$3,0,0,'Données projet'!$E$12+1,1))</f>
        <v>529.25712986118265</v>
      </c>
      <c r="CE71" s="60">
        <f t="shared" si="94"/>
        <v>278.21741231699929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240.58944</v>
      </c>
      <c r="CV71" s="14">
        <f t="shared" si="95"/>
        <v>58.56633325847811</v>
      </c>
      <c r="CW71" s="22">
        <f t="shared" si="67"/>
        <v>521.02963842518272</v>
      </c>
      <c r="CX71" s="60">
        <f t="shared" si="68"/>
        <v>814.3629717585161</v>
      </c>
      <c r="CY71" s="60">
        <f ca="1">AVERAGE(OFFSET($CX$3,0,0,'Données projet'!$E$13+1,1))-AVERAGE(OFFSET($H$3,0,0,'Données projet'!$E$13+1,1))</f>
        <v>495.77338291316386</v>
      </c>
      <c r="CZ71" s="60">
        <f t="shared" si="96"/>
        <v>261.95434270986397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4.8</v>
      </c>
      <c r="DO71" s="13">
        <f>IF('Données projet'!$A$166&gt;35,DO70+DN71-DW70,IF(A71&lt;'Données projet'!$A$166,$DL$205^A71,IF(A71='Données projet'!$A$166,'Données projet'!$B$166,DO70+DN71-DW70)))</f>
        <v>247.40000000000015</v>
      </c>
      <c r="DP71" s="18">
        <f>DO71*VLOOKUP('Données projet'!$B$14,Paramètres!$A$1:$I$89,3,0)*VLOOKUP('Données projet'!$B$14,Paramètres!$A$1:$I$89,5,0)</f>
        <v>162.0964800000001</v>
      </c>
      <c r="DQ71" s="14">
        <f t="shared" si="97"/>
        <v>41.315023463158923</v>
      </c>
      <c r="DR71" s="22">
        <f t="shared" si="70"/>
        <v>354.27503519833527</v>
      </c>
      <c r="DS71" s="60">
        <f t="shared" si="71"/>
        <v>647.60836853166859</v>
      </c>
      <c r="DT71" s="60">
        <f ca="1">AVERAGE(OFFSET($DS$3,0,0,'Données projet'!$E$14+1,1))-AVERAGE(OFFSET($H$3,0,0,'Données projet'!$E$14+1,1))</f>
        <v>275.11574966125522</v>
      </c>
      <c r="DU71" s="60">
        <f t="shared" si="98"/>
        <v>299.21520121860345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</v>
      </c>
      <c r="N72" s="14">
        <f>IF('Données projet'!$A$36&gt;35,N71+M72-V71,IF(A72&lt;'Données projet'!$A$36,$K$205^A72,IF(A72='Données projet'!$A$36,'Données projet'!$B$36,N71+M72-V71)))</f>
        <v>252.00000000000003</v>
      </c>
      <c r="O72" s="14">
        <f>N72*VLOOKUP('Données projet'!$B$9,Paramètres!$A$1:$I$89,3,0)*VLOOKUP('Données projet'!$B$9,Paramètres!$A$1:$I$89,5,0)</f>
        <v>220.14720000000005</v>
      </c>
      <c r="P72" s="14">
        <f t="shared" si="87"/>
        <v>54.146877667769687</v>
      </c>
      <c r="Q72" s="22">
        <f t="shared" si="54"/>
        <v>477.72885193803222</v>
      </c>
      <c r="R72" s="60">
        <f t="shared" si="55"/>
        <v>771.06218527136548</v>
      </c>
      <c r="S72" s="60">
        <f ca="1">AVERAGE(OFFSET($R$3,0,0,'Données projet'!$E$9+1,1))-AVERAGE(OFFSET($H$3,0,0,'Données projet'!$E$9+1,1))</f>
        <v>369.34989412920129</v>
      </c>
      <c r="T72" s="60">
        <f t="shared" si="88"/>
        <v>371.26234252426553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4.4000000000000004</v>
      </c>
      <c r="AI72" s="14">
        <f>IF('Données projet'!$A$62&gt;35,AI71+AH72-AQ71,IF(A72&lt;'Données projet'!$A$62,$AF$205^A72,IF(A72='Données projet'!$A$62,'Données projet'!$B$62,AI71+AH72-AQ71)))</f>
        <v>323.5999999999998</v>
      </c>
      <c r="AJ72" s="14">
        <f>AI72*VLOOKUP('Données projet'!$B$10,Paramètres!$A$1:$I$89,3,0)*VLOOKUP('Données projet'!$B$10,Paramètres!$A$1:$I$89,5,0)</f>
        <v>257.45615999999984</v>
      </c>
      <c r="AK72" s="14">
        <f t="shared" si="89"/>
        <v>62.179824167708126</v>
      </c>
      <c r="AL72" s="22">
        <f t="shared" si="58"/>
        <v>556.69933909209135</v>
      </c>
      <c r="AM72" s="60">
        <f t="shared" si="59"/>
        <v>850.03267242542461</v>
      </c>
      <c r="AN72" s="60">
        <f ca="1">AVERAGE(OFFSET($AM$3,0,0,'Données projet'!$E$10+1,1))-AVERAGE(OFFSET($H$3,0,0,'Données projet'!$E$10+1,1))</f>
        <v>370.79299728190904</v>
      </c>
      <c r="AO72" s="60">
        <f t="shared" si="90"/>
        <v>404.95703400805775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323.5999999999998</v>
      </c>
      <c r="BE72" s="14">
        <f>BD72*VLOOKUP('Données projet'!$B$11,Paramètres!$A$1:$I$89,3,0)*VLOOKUP('Données projet'!$B$11,Paramètres!$A$1:$I$89,5,0)</f>
        <v>237.26351999999986</v>
      </c>
      <c r="BF72" s="14">
        <f t="shared" si="91"/>
        <v>57.850371108230938</v>
      </c>
      <c r="BG72" s="22">
        <f t="shared" si="61"/>
        <v>513.99002701350196</v>
      </c>
      <c r="BH72" s="60">
        <f t="shared" si="62"/>
        <v>807.32336034683522</v>
      </c>
      <c r="BI72" s="60">
        <f ca="1">AVERAGE(OFFSET($BH$3,0,0,'Données projet'!$E$11+1,1))-AVERAGE(OFFSET($H$3,0,0,'Données projet'!$E$11+1,1))</f>
        <v>344.63665697794022</v>
      </c>
      <c r="BJ72" s="60">
        <f t="shared" si="92"/>
        <v>376.72762011188041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265.83023999999995</v>
      </c>
      <c r="CA72" s="14">
        <f t="shared" si="93"/>
        <v>63.963540982526439</v>
      </c>
      <c r="CB72" s="22">
        <f t="shared" si="64"/>
        <v>574.39083521123348</v>
      </c>
      <c r="CC72" s="60">
        <f t="shared" si="65"/>
        <v>867.72416854456674</v>
      </c>
      <c r="CD72" s="60">
        <f ca="1">AVERAGE(OFFSET($CC$3,0,0,'Données projet'!$E$12+1,1))-AVERAGE(OFFSET($H$3,0,0,'Données projet'!$E$12+1,1))</f>
        <v>529.25712986118265</v>
      </c>
      <c r="CE72" s="60">
        <f t="shared" si="94"/>
        <v>278.21741231699929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247.49712</v>
      </c>
      <c r="CV72" s="14">
        <f t="shared" si="95"/>
        <v>60.049673316050104</v>
      </c>
      <c r="CW72" s="22">
        <f t="shared" si="67"/>
        <v>535.64399835878714</v>
      </c>
      <c r="CX72" s="60">
        <f t="shared" si="68"/>
        <v>828.97733169212052</v>
      </c>
      <c r="CY72" s="60">
        <f ca="1">AVERAGE(OFFSET($CX$3,0,0,'Données projet'!$E$13+1,1))-AVERAGE(OFFSET($H$3,0,0,'Données projet'!$E$13+1,1))</f>
        <v>495.77338291316386</v>
      </c>
      <c r="CZ72" s="60">
        <f t="shared" si="96"/>
        <v>261.95434270986397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4.8</v>
      </c>
      <c r="DO72" s="13">
        <f>IF('Données projet'!$A$166&gt;35,DO71+DN72-DW71,IF(A72&lt;'Données projet'!$A$166,$DL$205^A72,IF(A72='Données projet'!$A$166,'Données projet'!$B$166,DO71+DN72-DW71)))</f>
        <v>252.20000000000016</v>
      </c>
      <c r="DP72" s="18">
        <f>DO72*VLOOKUP('Données projet'!$B$14,Paramètres!$A$1:$I$89,3,0)*VLOOKUP('Données projet'!$B$14,Paramètres!$A$1:$I$89,5,0)</f>
        <v>165.2414400000001</v>
      </c>
      <c r="DQ72" s="14">
        <f t="shared" si="97"/>
        <v>42.022509847937918</v>
      </c>
      <c r="DR72" s="22">
        <f t="shared" si="70"/>
        <v>360.9847126518253</v>
      </c>
      <c r="DS72" s="60">
        <f t="shared" si="71"/>
        <v>654.31804598515862</v>
      </c>
      <c r="DT72" s="60">
        <f ca="1">AVERAGE(OFFSET($DS$3,0,0,'Données projet'!$E$14+1,1))-AVERAGE(OFFSET($H$3,0,0,'Données projet'!$E$14+1,1))</f>
        <v>275.11574966125522</v>
      </c>
      <c r="DU72" s="60">
        <f t="shared" si="98"/>
        <v>299.21520121860345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257</v>
      </c>
      <c r="L73" s="13">
        <f>VLOOKUP(A73,'Données projet'!$A$35:$I$55,9,0)</f>
        <v>5</v>
      </c>
      <c r="M73" s="13">
        <f t="array" ref="M73">INDEX(L:L,MIN(IF(ISNUMBER(L73:L269),ROW(L73:L269),"")))</f>
        <v>5</v>
      </c>
      <c r="N73" s="14">
        <f>IF('Données projet'!$A$36&gt;35,N72+M73-V72,IF(A73&lt;'Données projet'!$A$36,$K$205^A73,IF(A73='Données projet'!$A$36,'Données projet'!$B$36,N72+M73-V72)))</f>
        <v>257</v>
      </c>
      <c r="O73" s="14">
        <f>N73*VLOOKUP('Données projet'!$B$9,Paramètres!$A$1:$I$89,3,0)*VLOOKUP('Données projet'!$B$9,Paramètres!$A$1:$I$89,5,0)</f>
        <v>224.51520000000002</v>
      </c>
      <c r="P73" s="14">
        <f t="shared" si="87"/>
        <v>55.095078782313543</v>
      </c>
      <c r="Q73" s="22">
        <f t="shared" si="54"/>
        <v>486.98790221252949</v>
      </c>
      <c r="R73" s="60">
        <f t="shared" si="55"/>
        <v>780.32123554586281</v>
      </c>
      <c r="S73" s="60">
        <f ca="1">AVERAGE(OFFSET($R$3,0,0,'Données projet'!$E$9+1,1))-AVERAGE(OFFSET($H$3,0,0,'Données projet'!$E$9+1,1))</f>
        <v>369.34989412920129</v>
      </c>
      <c r="T73" s="60">
        <f t="shared" si="88"/>
        <v>371.26234252426553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38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328</v>
      </c>
      <c r="AG73" s="13">
        <f>VLOOKUP(A73,'Données projet'!$A$61:$I$81,9,0)</f>
        <v>4.4000000000000004</v>
      </c>
      <c r="AH73" s="13">
        <f t="array" ref="AH73">INDEX(AG:AG,MIN(IF(ISNUMBER(AG73:AG269),ROW(AG73:AG269),"")))</f>
        <v>4.4000000000000004</v>
      </c>
      <c r="AI73" s="14">
        <f>IF('Données projet'!$A$62&gt;35,AI72+AH73-AQ72,IF(A73&lt;'Données projet'!$A$62,$AF$205^A73,IF(A73='Données projet'!$A$62,'Données projet'!$B$62,AI72+AH73-AQ72)))</f>
        <v>327.99999999999977</v>
      </c>
      <c r="AJ73" s="14">
        <f>AI73*VLOOKUP('Données projet'!$B$10,Paramètres!$A$1:$I$89,3,0)*VLOOKUP('Données projet'!$B$10,Paramètres!$A$1:$I$89,5,0)</f>
        <v>260.95679999999982</v>
      </c>
      <c r="AK73" s="14">
        <f t="shared" si="89"/>
        <v>62.926285429272689</v>
      </c>
      <c r="AL73" s="22">
        <f t="shared" si="58"/>
        <v>564.09637378931632</v>
      </c>
      <c r="AM73" s="60">
        <f t="shared" si="59"/>
        <v>857.42970712264969</v>
      </c>
      <c r="AN73" s="60">
        <f ca="1">AVERAGE(OFFSET($AM$3,0,0,'Données projet'!$E$10+1,1))-AVERAGE(OFFSET($H$3,0,0,'Données projet'!$E$10+1,1))</f>
        <v>370.79299728190904</v>
      </c>
      <c r="AO73" s="60">
        <f t="shared" si="90"/>
        <v>404.95703400805775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26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328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327.99999999999977</v>
      </c>
      <c r="BE73" s="14">
        <f>BD73*VLOOKUP('Données projet'!$B$11,Paramètres!$A$1:$I$89,3,0)*VLOOKUP('Données projet'!$B$11,Paramètres!$A$1:$I$89,5,0)</f>
        <v>240.48959999999983</v>
      </c>
      <c r="BF73" s="14">
        <f t="shared" si="91"/>
        <v>58.544857809945583</v>
      </c>
      <c r="BG73" s="22">
        <f t="shared" si="61"/>
        <v>520.81834735232155</v>
      </c>
      <c r="BH73" s="60">
        <f t="shared" si="62"/>
        <v>814.15168068565481</v>
      </c>
      <c r="BI73" s="60">
        <f ca="1">AVERAGE(OFFSET($BH$3,0,0,'Données projet'!$E$11+1,1))-AVERAGE(OFFSET($H$3,0,0,'Données projet'!$E$11+1,1))</f>
        <v>344.63665697794022</v>
      </c>
      <c r="BJ73" s="60">
        <f t="shared" si="92"/>
        <v>376.72762011188041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273.24959999999999</v>
      </c>
      <c r="CA73" s="14">
        <f t="shared" si="93"/>
        <v>65.538435495514321</v>
      </c>
      <c r="CB73" s="22">
        <f t="shared" si="64"/>
        <v>590.05582848802067</v>
      </c>
      <c r="CC73" s="60">
        <f t="shared" si="65"/>
        <v>883.38916182135404</v>
      </c>
      <c r="CD73" s="60">
        <f ca="1">AVERAGE(OFFSET($CC$3,0,0,'Données projet'!$E$12+1,1))-AVERAGE(OFFSET($H$3,0,0,'Données projet'!$E$12+1,1))</f>
        <v>529.25712986118265</v>
      </c>
      <c r="CE73" s="60">
        <f t="shared" si="94"/>
        <v>278.21741231699929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254.40479999999999</v>
      </c>
      <c r="CV73" s="14">
        <f t="shared" si="95"/>
        <v>61.52820154571765</v>
      </c>
      <c r="CW73" s="22">
        <f t="shared" si="67"/>
        <v>550.24997769212484</v>
      </c>
      <c r="CX73" s="60">
        <f t="shared" si="68"/>
        <v>843.58331102545822</v>
      </c>
      <c r="CY73" s="60">
        <f ca="1">AVERAGE(OFFSET($CX$3,0,0,'Données projet'!$E$13+1,1))-AVERAGE(OFFSET($H$3,0,0,'Données projet'!$E$13+1,1))</f>
        <v>495.77338291316386</v>
      </c>
      <c r="CZ73" s="60">
        <f t="shared" si="96"/>
        <v>261.95434270986397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257</v>
      </c>
      <c r="DM73" s="13">
        <f>VLOOKUP(A73,'Données projet'!$A$165:$I$185,9,0)</f>
        <v>4.8</v>
      </c>
      <c r="DN73" s="13">
        <f t="array" ref="DN73">INDEX(DM:DM,MIN(IF(ISNUMBER(DM73:DM269),ROW(DM73:DM269),"")))</f>
        <v>4.8</v>
      </c>
      <c r="DO73" s="13">
        <f>IF('Données projet'!$A$166&gt;35,DO72+DN73-DW72,IF(A73&lt;'Données projet'!$A$166,$DL$205^A73,IF(A73='Données projet'!$A$166,'Données projet'!$B$166,DO72+DN73-DW72)))</f>
        <v>257.00000000000017</v>
      </c>
      <c r="DP73" s="18">
        <f>DO73*VLOOKUP('Données projet'!$B$14,Paramètres!$A$1:$I$89,3,0)*VLOOKUP('Données projet'!$B$14,Paramètres!$A$1:$I$89,5,0)</f>
        <v>168.38640000000012</v>
      </c>
      <c r="DQ73" s="14">
        <f t="shared" si="97"/>
        <v>42.728430513203286</v>
      </c>
      <c r="DR73" s="22">
        <f t="shared" si="70"/>
        <v>367.6916631438292</v>
      </c>
      <c r="DS73" s="60">
        <f t="shared" si="71"/>
        <v>661.02499647716252</v>
      </c>
      <c r="DT73" s="60">
        <f ca="1">AVERAGE(OFFSET($DS$3,0,0,'Données projet'!$E$14+1,1))-AVERAGE(OFFSET($H$3,0,0,'Données projet'!$E$14+1,1))</f>
        <v>275.11574966125522</v>
      </c>
      <c r="DU73" s="60">
        <f t="shared" si="98"/>
        <v>299.21520121860345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39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4.4000000000000004</v>
      </c>
      <c r="N74" s="14">
        <f>IF('Données projet'!$A$36&gt;35,N73+M74-V73,IF(A74&lt;'Données projet'!$A$36,$K$205^A74,IF(A74='Données projet'!$A$36,'Données projet'!$B$36,N73+M74-V73)))</f>
        <v>223.39999999999998</v>
      </c>
      <c r="O74" s="14">
        <f>N74*VLOOKUP('Données projet'!$B$9,Paramètres!$A$1:$I$89,3,0)*VLOOKUP('Données projet'!$B$9,Paramètres!$A$1:$I$89,5,0)</f>
        <v>195.16224</v>
      </c>
      <c r="P74" s="14">
        <f t="shared" si="87"/>
        <v>48.67946410296608</v>
      </c>
      <c r="Q74" s="22">
        <f t="shared" si="54"/>
        <v>424.69096797933253</v>
      </c>
      <c r="R74" s="60">
        <f t="shared" si="55"/>
        <v>718.02430131266578</v>
      </c>
      <c r="S74" s="60">
        <f ca="1">AVERAGE(OFFSET($R$3,0,0,'Données projet'!$E$9+1,1))-AVERAGE(OFFSET($H$3,0,0,'Données projet'!$E$9+1,1))</f>
        <v>369.34989412920129</v>
      </c>
      <c r="T74" s="60">
        <f t="shared" si="88"/>
        <v>371.26234252426553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4.4000000000000004</v>
      </c>
      <c r="AI74" s="14">
        <f>IF('Données projet'!$A$62&gt;35,AI73+AH74-AQ73,IF(A74&lt;'Données projet'!$A$62,$AF$205^A74,IF(A74='Données projet'!$A$62,'Données projet'!$B$62,AI73+AH74-AQ73)))</f>
        <v>306.39999999999975</v>
      </c>
      <c r="AJ74" s="14">
        <f>AI74*VLOOKUP('Données projet'!$B$10,Paramètres!$A$1:$I$89,3,0)*VLOOKUP('Données projet'!$B$10,Paramètres!$A$1:$I$89,5,0)</f>
        <v>243.7718399999998</v>
      </c>
      <c r="AK74" s="14">
        <f t="shared" si="89"/>
        <v>59.250322254889134</v>
      </c>
      <c r="AL74" s="22">
        <f t="shared" si="58"/>
        <v>527.7635992605982</v>
      </c>
      <c r="AM74" s="60">
        <f t="shared" si="59"/>
        <v>821.09693259393157</v>
      </c>
      <c r="AN74" s="60">
        <f ca="1">AVERAGE(OFFSET($AM$3,0,0,'Données projet'!$E$10+1,1))-AVERAGE(OFFSET($H$3,0,0,'Données projet'!$E$10+1,1))</f>
        <v>370.79299728190904</v>
      </c>
      <c r="AO74" s="60">
        <f t="shared" si="90"/>
        <v>404.95703400805775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4.4000000000000004</v>
      </c>
      <c r="BD74" s="13">
        <f>IF('Données projet'!$A$88&gt;35,BD73+BC74-BL73,IF(A74&lt;'Données projet'!$A$88,$BA$205^A74,IF(A74='Données projet'!$A$88,'Données projet'!$B$88,BD73+BC74-BL73)))</f>
        <v>306.39999999999975</v>
      </c>
      <c r="BE74" s="14">
        <f>BD74*VLOOKUP('Données projet'!$B$11,Paramètres!$A$1:$I$89,3,0)*VLOOKUP('Données projet'!$B$11,Paramètres!$A$1:$I$89,5,0)</f>
        <v>224.6524799999998</v>
      </c>
      <c r="BF74" s="14">
        <f t="shared" si="91"/>
        <v>55.124844378503333</v>
      </c>
      <c r="BG74" s="22">
        <f t="shared" si="61"/>
        <v>487.27883995922622</v>
      </c>
      <c r="BH74" s="60">
        <f t="shared" si="62"/>
        <v>780.61217329255953</v>
      </c>
      <c r="BI74" s="60">
        <f ca="1">AVERAGE(OFFSET($BH$3,0,0,'Données projet'!$E$11+1,1))-AVERAGE(OFFSET($H$3,0,0,'Données projet'!$E$11+1,1))</f>
        <v>344.63665697794022</v>
      </c>
      <c r="BJ74" s="60">
        <f t="shared" si="92"/>
        <v>376.72762011188041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309.59999999999997</v>
      </c>
      <c r="BZ74" s="14">
        <f>BY74*VLOOKUP('Données projet'!$B$12,Paramètres!$A$1:$I$89,3,0)*VLOOKUP('Données projet'!$B$12,Paramètres!$A$1:$I$89,5,0)</f>
        <v>280.12607999999994</v>
      </c>
      <c r="CA74" s="14">
        <f t="shared" si="93"/>
        <v>66.993652511337999</v>
      </c>
      <c r="CB74" s="22">
        <f t="shared" si="64"/>
        <v>604.56686745724687</v>
      </c>
      <c r="CC74" s="60">
        <f t="shared" si="65"/>
        <v>897.90020079058013</v>
      </c>
      <c r="CD74" s="60">
        <f ca="1">AVERAGE(OFFSET($CC$3,0,0,'Données projet'!$E$12+1,1))-AVERAGE(OFFSET($H$3,0,0,'Données projet'!$E$12+1,1))</f>
        <v>529.25712986118265</v>
      </c>
      <c r="CE74" s="60">
        <f t="shared" si="94"/>
        <v>278.21741231699929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309.59999999999997</v>
      </c>
      <c r="CU74" s="18">
        <f>CT74*VLOOKUP('Données projet'!$B$13,Paramètres!$A$1:$I$89,3,0)*VLOOKUP('Données projet'!$B$13,Paramètres!$A$1:$I$89,5,0)</f>
        <v>260.80704000000003</v>
      </c>
      <c r="CV74" s="14">
        <f t="shared" si="95"/>
        <v>62.89437522937974</v>
      </c>
      <c r="CW74" s="22">
        <f t="shared" si="67"/>
        <v>563.77996485783649</v>
      </c>
      <c r="CX74" s="60">
        <f t="shared" si="68"/>
        <v>857.11329819116986</v>
      </c>
      <c r="CY74" s="60">
        <f ca="1">AVERAGE(OFFSET($CX$3,0,0,'Données projet'!$E$13+1,1))-AVERAGE(OFFSET($H$3,0,0,'Données projet'!$E$13+1,1))</f>
        <v>495.77338291316386</v>
      </c>
      <c r="CZ74" s="60">
        <f t="shared" si="96"/>
        <v>261.95434270986397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4.5999999999999996</v>
      </c>
      <c r="DO74" s="13">
        <f>IF('Données projet'!$A$166&gt;35,DO73+DN74-DW73,IF(A74&lt;'Données projet'!$A$166,$DL$205^A74,IF(A74='Données projet'!$A$166,'Données projet'!$B$166,DO73+DN74-DW73)))</f>
        <v>222.60000000000019</v>
      </c>
      <c r="DP74" s="18">
        <f>DO74*VLOOKUP('Données projet'!$B$14,Paramètres!$A$1:$I$89,3,0)*VLOOKUP('Données projet'!$B$14,Paramètres!$A$1:$I$89,5,0)</f>
        <v>145.84752000000012</v>
      </c>
      <c r="DQ74" s="14">
        <f t="shared" si="97"/>
        <v>37.633383344887093</v>
      </c>
      <c r="DR74" s="22">
        <f t="shared" si="70"/>
        <v>319.56257332567856</v>
      </c>
      <c r="DS74" s="60">
        <f t="shared" si="71"/>
        <v>612.89590665901187</v>
      </c>
      <c r="DT74" s="60">
        <f ca="1">AVERAGE(OFFSET($DS$3,0,0,'Données projet'!$E$14+1,1))-AVERAGE(OFFSET($H$3,0,0,'Données projet'!$E$14+1,1))</f>
        <v>275.11574966125522</v>
      </c>
      <c r="DU74" s="60">
        <f t="shared" si="98"/>
        <v>299.21520121860345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4.4000000000000004</v>
      </c>
      <c r="N75" s="14">
        <f>IF('Données projet'!$A$36&gt;35,N74+M75-V74,IF(A75&lt;'Données projet'!$A$36,$K$205^A75,IF(A75='Données projet'!$A$36,'Données projet'!$B$36,N74+M75-V74)))</f>
        <v>227.79999999999998</v>
      </c>
      <c r="O75" s="14">
        <f>N75*VLOOKUP('Données projet'!$B$9,Paramètres!$A$1:$I$89,3,0)*VLOOKUP('Données projet'!$B$9,Paramètres!$A$1:$I$89,5,0)</f>
        <v>199.00608</v>
      </c>
      <c r="P75" s="14">
        <f t="shared" si="87"/>
        <v>49.525670897515027</v>
      </c>
      <c r="Q75" s="22">
        <f t="shared" si="54"/>
        <v>432.85946614650533</v>
      </c>
      <c r="R75" s="60">
        <f t="shared" si="55"/>
        <v>726.19279947983864</v>
      </c>
      <c r="S75" s="60">
        <f ca="1">AVERAGE(OFFSET($R$3,0,0,'Données projet'!$E$9+1,1))-AVERAGE(OFFSET($H$3,0,0,'Données projet'!$E$9+1,1))</f>
        <v>369.34989412920129</v>
      </c>
      <c r="T75" s="60">
        <f t="shared" si="88"/>
        <v>371.26234252426553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4.4000000000000004</v>
      </c>
      <c r="AI75" s="14">
        <f>IF('Données projet'!$A$62&gt;35,AI74+AH75-AQ74,IF(A75&lt;'Données projet'!$A$62,$AF$205^A75,IF(A75='Données projet'!$A$62,'Données projet'!$B$62,AI74+AH75-AQ74)))</f>
        <v>310.79999999999973</v>
      </c>
      <c r="AJ75" s="14">
        <f>AI75*VLOOKUP('Données projet'!$B$10,Paramètres!$A$1:$I$89,3,0)*VLOOKUP('Données projet'!$B$10,Paramètres!$A$1:$I$89,5,0)</f>
        <v>247.2724799999998</v>
      </c>
      <c r="AK75" s="14">
        <f t="shared" si="89"/>
        <v>60.00151112391876</v>
      </c>
      <c r="AL75" s="22">
        <f t="shared" si="58"/>
        <v>535.16886787415808</v>
      </c>
      <c r="AM75" s="60">
        <f t="shared" si="59"/>
        <v>828.50220120749145</v>
      </c>
      <c r="AN75" s="60">
        <f ca="1">AVERAGE(OFFSET($AM$3,0,0,'Données projet'!$E$10+1,1))-AVERAGE(OFFSET($H$3,0,0,'Données projet'!$E$10+1,1))</f>
        <v>370.79299728190904</v>
      </c>
      <c r="AO75" s="60">
        <f t="shared" si="90"/>
        <v>404.95703400805775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4.4000000000000004</v>
      </c>
      <c r="BD75" s="13">
        <f>IF('Données projet'!$A$88&gt;35,BD74+BC75-BL74,IF(A75&lt;'Données projet'!$A$88,$BA$205^A75,IF(A75='Données projet'!$A$88,'Données projet'!$B$88,BD74+BC75-BL74)))</f>
        <v>310.79999999999973</v>
      </c>
      <c r="BE75" s="14">
        <f>BD75*VLOOKUP('Données projet'!$B$11,Paramètres!$A$1:$I$89,3,0)*VLOOKUP('Données projet'!$B$11,Paramètres!$A$1:$I$89,5,0)</f>
        <v>227.87855999999977</v>
      </c>
      <c r="BF75" s="14">
        <f t="shared" si="91"/>
        <v>55.823729514114589</v>
      </c>
      <c r="BG75" s="22">
        <f t="shared" si="61"/>
        <v>494.11482090374903</v>
      </c>
      <c r="BH75" s="60">
        <f t="shared" si="62"/>
        <v>787.44815423708235</v>
      </c>
      <c r="BI75" s="60">
        <f ca="1">AVERAGE(OFFSET($BH$3,0,0,'Données projet'!$E$11+1,1))-AVERAGE(OFFSET($H$3,0,0,'Données projet'!$E$11+1,1))</f>
        <v>344.63665697794022</v>
      </c>
      <c r="BJ75" s="60">
        <f t="shared" si="92"/>
        <v>376.72762011188041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317.2</v>
      </c>
      <c r="BZ75" s="14">
        <f>BY75*VLOOKUP('Données projet'!$B$12,Paramètres!$A$1:$I$89,3,0)*VLOOKUP('Données projet'!$B$12,Paramètres!$A$1:$I$89,5,0)</f>
        <v>287.00255999999996</v>
      </c>
      <c r="CA75" s="14">
        <f t="shared" si="93"/>
        <v>68.444716936118553</v>
      </c>
      <c r="CB75" s="22">
        <f t="shared" si="64"/>
        <v>619.07067399707296</v>
      </c>
      <c r="CC75" s="60">
        <f t="shared" si="65"/>
        <v>912.40400733040633</v>
      </c>
      <c r="CD75" s="60">
        <f ca="1">AVERAGE(OFFSET($CC$3,0,0,'Données projet'!$E$12+1,1))-AVERAGE(OFFSET($H$3,0,0,'Données projet'!$E$12+1,1))</f>
        <v>529.25712986118265</v>
      </c>
      <c r="CE75" s="60">
        <f t="shared" si="94"/>
        <v>278.21741231699929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317.2</v>
      </c>
      <c r="CU75" s="18">
        <f>CT75*VLOOKUP('Données projet'!$B$13,Paramètres!$A$1:$I$89,3,0)*VLOOKUP('Données projet'!$B$13,Paramètres!$A$1:$I$89,5,0)</f>
        <v>267.20928000000004</v>
      </c>
      <c r="CV75" s="14">
        <f t="shared" si="95"/>
        <v>64.256650415058076</v>
      </c>
      <c r="CW75" s="22">
        <f t="shared" si="67"/>
        <v>577.3031621395595</v>
      </c>
      <c r="CX75" s="60">
        <f t="shared" si="68"/>
        <v>870.63649547289288</v>
      </c>
      <c r="CY75" s="60">
        <f ca="1">AVERAGE(OFFSET($CX$3,0,0,'Données projet'!$E$13+1,1))-AVERAGE(OFFSET($H$3,0,0,'Données projet'!$E$13+1,1))</f>
        <v>495.77338291316386</v>
      </c>
      <c r="CZ75" s="60">
        <f t="shared" si="96"/>
        <v>261.95434270986397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4.5999999999999996</v>
      </c>
      <c r="DO75" s="13">
        <f>IF('Données projet'!$A$166&gt;35,DO74+DN75-DW74,IF(A75&lt;'Données projet'!$A$166,$DL$205^A75,IF(A75='Données projet'!$A$166,'Données projet'!$B$166,DO74+DN75-DW74)))</f>
        <v>227.20000000000019</v>
      </c>
      <c r="DP75" s="18">
        <f>DO75*VLOOKUP('Données projet'!$B$14,Paramètres!$A$1:$I$89,3,0)*VLOOKUP('Données projet'!$B$14,Paramètres!$A$1:$I$89,5,0)</f>
        <v>148.86144000000013</v>
      </c>
      <c r="DQ75" s="14">
        <f t="shared" si="97"/>
        <v>38.319729148991954</v>
      </c>
      <c r="DR75" s="22">
        <f t="shared" si="70"/>
        <v>326.0072029344945</v>
      </c>
      <c r="DS75" s="60">
        <f t="shared" si="71"/>
        <v>619.34053626782782</v>
      </c>
      <c r="DT75" s="60">
        <f ca="1">AVERAGE(OFFSET($DS$3,0,0,'Données projet'!$E$14+1,1))-AVERAGE(OFFSET($H$3,0,0,'Données projet'!$E$14+1,1))</f>
        <v>275.11574966125522</v>
      </c>
      <c r="DU75" s="60">
        <f t="shared" si="98"/>
        <v>299.21520121860345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4.4000000000000004</v>
      </c>
      <c r="N76" s="14">
        <f>IF('Données projet'!$A$36&gt;35,N75+M76-V75,IF(A76&lt;'Données projet'!$A$36,$K$205^A76,IF(A76='Données projet'!$A$36,'Données projet'!$B$36,N75+M76-V75)))</f>
        <v>232.2</v>
      </c>
      <c r="O76" s="14">
        <f>N76*VLOOKUP('Données projet'!$B$9,Paramètres!$A$1:$I$89,3,0)*VLOOKUP('Données projet'!$B$9,Paramètres!$A$1:$I$89,5,0)</f>
        <v>202.84992000000003</v>
      </c>
      <c r="P76" s="14">
        <f t="shared" si="87"/>
        <v>50.369977187686075</v>
      </c>
      <c r="Q76" s="22">
        <f t="shared" si="54"/>
        <v>441.02465426855332</v>
      </c>
      <c r="R76" s="60">
        <f t="shared" si="55"/>
        <v>734.35798760188663</v>
      </c>
      <c r="S76" s="60">
        <f ca="1">AVERAGE(OFFSET($R$3,0,0,'Données projet'!$E$9+1,1))-AVERAGE(OFFSET($H$3,0,0,'Données projet'!$E$9+1,1))</f>
        <v>369.34989412920129</v>
      </c>
      <c r="T76" s="60">
        <f t="shared" si="88"/>
        <v>371.26234252426553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4.4000000000000004</v>
      </c>
      <c r="AI76" s="14">
        <f>IF('Données projet'!$A$62&gt;35,AI75+AH76-AQ75,IF(A76&lt;'Données projet'!$A$62,$AF$205^A76,IF(A76='Données projet'!$A$62,'Données projet'!$B$62,AI75+AH76-AQ75)))</f>
        <v>315.1999999999997</v>
      </c>
      <c r="AJ76" s="14">
        <f>AI76*VLOOKUP('Données projet'!$B$10,Paramètres!$A$1:$I$89,3,0)*VLOOKUP('Données projet'!$B$10,Paramètres!$A$1:$I$89,5,0)</f>
        <v>250.77311999999975</v>
      </c>
      <c r="AK76" s="14">
        <f t="shared" si="89"/>
        <v>60.75146310218134</v>
      </c>
      <c r="AL76" s="22">
        <f t="shared" si="58"/>
        <v>542.57198223629882</v>
      </c>
      <c r="AM76" s="60">
        <f t="shared" si="59"/>
        <v>835.90531556963219</v>
      </c>
      <c r="AN76" s="60">
        <f ca="1">AVERAGE(OFFSET($AM$3,0,0,'Données projet'!$E$10+1,1))-AVERAGE(OFFSET($H$3,0,0,'Données projet'!$E$10+1,1))</f>
        <v>370.79299728190904</v>
      </c>
      <c r="AO76" s="60">
        <f t="shared" si="90"/>
        <v>404.95703400805775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4.4000000000000004</v>
      </c>
      <c r="BD76" s="13">
        <f>IF('Données projet'!$A$88&gt;35,BD75+BC76-BL75,IF(A76&lt;'Données projet'!$A$88,$BA$205^A76,IF(A76='Données projet'!$A$88,'Données projet'!$B$88,BD75+BC76-BL75)))</f>
        <v>315.1999999999997</v>
      </c>
      <c r="BE76" s="14">
        <f>BD76*VLOOKUP('Données projet'!$B$11,Paramètres!$A$1:$I$89,3,0)*VLOOKUP('Données projet'!$B$11,Paramètres!$A$1:$I$89,5,0)</f>
        <v>231.10463999999979</v>
      </c>
      <c r="BF76" s="14">
        <f t="shared" si="91"/>
        <v>56.521463881114883</v>
      </c>
      <c r="BG76" s="22">
        <f t="shared" si="61"/>
        <v>500.94879759294128</v>
      </c>
      <c r="BH76" s="60">
        <f t="shared" si="62"/>
        <v>794.28213092627459</v>
      </c>
      <c r="BI76" s="60">
        <f ca="1">AVERAGE(OFFSET($BH$3,0,0,'Données projet'!$E$11+1,1))-AVERAGE(OFFSET($H$3,0,0,'Données projet'!$E$11+1,1))</f>
        <v>344.63665697794022</v>
      </c>
      <c r="BJ76" s="60">
        <f t="shared" si="92"/>
        <v>376.72762011188041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324.8</v>
      </c>
      <c r="BZ76" s="14">
        <f>BY76*VLOOKUP('Données projet'!$B$12,Paramètres!$A$1:$I$89,3,0)*VLOOKUP('Données projet'!$B$12,Paramètres!$A$1:$I$89,5,0)</f>
        <v>293.87903999999997</v>
      </c>
      <c r="CA76" s="14">
        <f t="shared" si="93"/>
        <v>69.891739712361669</v>
      </c>
      <c r="CB76" s="22">
        <f t="shared" si="64"/>
        <v>633.56744133236327</v>
      </c>
      <c r="CC76" s="60">
        <f t="shared" si="65"/>
        <v>926.90077466569664</v>
      </c>
      <c r="CD76" s="60">
        <f ca="1">AVERAGE(OFFSET($CC$3,0,0,'Données projet'!$E$12+1,1))-AVERAGE(OFFSET($H$3,0,0,'Données projet'!$E$12+1,1))</f>
        <v>529.25712986118265</v>
      </c>
      <c r="CE76" s="60">
        <f t="shared" si="94"/>
        <v>278.21741231699929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324.8</v>
      </c>
      <c r="CU76" s="18">
        <f>CT76*VLOOKUP('Données projet'!$B$13,Paramètres!$A$1:$I$89,3,0)*VLOOKUP('Données projet'!$B$13,Paramètres!$A$1:$I$89,5,0)</f>
        <v>273.61152000000004</v>
      </c>
      <c r="CV76" s="14">
        <f t="shared" si="95"/>
        <v>65.615131256792893</v>
      </c>
      <c r="CW76" s="22">
        <f t="shared" si="67"/>
        <v>590.81975093891435</v>
      </c>
      <c r="CX76" s="60">
        <f t="shared" si="68"/>
        <v>884.15308427224772</v>
      </c>
      <c r="CY76" s="60">
        <f ca="1">AVERAGE(OFFSET($CX$3,0,0,'Données projet'!$E$13+1,1))-AVERAGE(OFFSET($H$3,0,0,'Données projet'!$E$13+1,1))</f>
        <v>495.77338291316386</v>
      </c>
      <c r="CZ76" s="60">
        <f t="shared" si="96"/>
        <v>261.95434270986397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4.5999999999999996</v>
      </c>
      <c r="DO76" s="13">
        <f>IF('Données projet'!$A$166&gt;35,DO75+DN76-DW75,IF(A76&lt;'Données projet'!$A$166,$DL$205^A76,IF(A76='Données projet'!$A$166,'Données projet'!$B$166,DO75+DN76-DW75)))</f>
        <v>231.80000000000018</v>
      </c>
      <c r="DP76" s="18">
        <f>DO76*VLOOKUP('Données projet'!$B$14,Paramètres!$A$1:$I$89,3,0)*VLOOKUP('Données projet'!$B$14,Paramètres!$A$1:$I$89,5,0)</f>
        <v>151.87536000000014</v>
      </c>
      <c r="DQ76" s="14">
        <f t="shared" si="97"/>
        <v>39.004459236504793</v>
      </c>
      <c r="DR76" s="22">
        <f t="shared" si="70"/>
        <v>332.44901850357945</v>
      </c>
      <c r="DS76" s="60">
        <f t="shared" si="71"/>
        <v>625.78235183691277</v>
      </c>
      <c r="DT76" s="60">
        <f ca="1">AVERAGE(OFFSET($DS$3,0,0,'Données projet'!$E$14+1,1))-AVERAGE(OFFSET($H$3,0,0,'Données projet'!$E$14+1,1))</f>
        <v>275.11574966125522</v>
      </c>
      <c r="DU76" s="60">
        <f t="shared" si="98"/>
        <v>299.21520121860345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4.4000000000000004</v>
      </c>
      <c r="N77" s="14">
        <f>IF('Données projet'!$A$36&gt;35,N76+M77-V76,IF(A77&lt;'Données projet'!$A$36,$K$205^A77,IF(A77='Données projet'!$A$36,'Données projet'!$B$36,N76+M77-V76)))</f>
        <v>236.6</v>
      </c>
      <c r="O77" s="14">
        <f>N77*VLOOKUP('Données projet'!$B$9,Paramètres!$A$1:$I$89,3,0)*VLOOKUP('Données projet'!$B$9,Paramètres!$A$1:$I$89,5,0)</f>
        <v>206.69376000000003</v>
      </c>
      <c r="P77" s="14">
        <f t="shared" si="87"/>
        <v>51.212423138937325</v>
      </c>
      <c r="Q77" s="22">
        <f t="shared" si="54"/>
        <v>449.18660230031583</v>
      </c>
      <c r="R77" s="60">
        <f t="shared" si="55"/>
        <v>742.51993563364908</v>
      </c>
      <c r="S77" s="60">
        <f ca="1">AVERAGE(OFFSET($R$3,0,0,'Données projet'!$E$9+1,1))-AVERAGE(OFFSET($H$3,0,0,'Données projet'!$E$9+1,1))</f>
        <v>369.34989412920129</v>
      </c>
      <c r="T77" s="60">
        <f t="shared" si="88"/>
        <v>371.26234252426553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4.4000000000000004</v>
      </c>
      <c r="AI77" s="14">
        <f>IF('Données projet'!$A$62&gt;35,AI76+AH77-AQ76,IF(A77&lt;'Données projet'!$A$62,$AF$205^A77,IF(A77='Données projet'!$A$62,'Données projet'!$B$62,AI76+AH77-AQ76)))</f>
        <v>319.59999999999968</v>
      </c>
      <c r="AJ77" s="14">
        <f>AI77*VLOOKUP('Données projet'!$B$10,Paramètres!$A$1:$I$89,3,0)*VLOOKUP('Données projet'!$B$10,Paramètres!$A$1:$I$89,5,0)</f>
        <v>254.27375999999975</v>
      </c>
      <c r="AK77" s="14">
        <f t="shared" si="89"/>
        <v>61.500197451316261</v>
      </c>
      <c r="AL77" s="22">
        <f t="shared" si="58"/>
        <v>549.97297589437528</v>
      </c>
      <c r="AM77" s="60">
        <f t="shared" si="59"/>
        <v>843.30630922770865</v>
      </c>
      <c r="AN77" s="60">
        <f ca="1">AVERAGE(OFFSET($AM$3,0,0,'Données projet'!$E$10+1,1))-AVERAGE(OFFSET($H$3,0,0,'Données projet'!$E$10+1,1))</f>
        <v>370.79299728190904</v>
      </c>
      <c r="AO77" s="60">
        <f t="shared" si="90"/>
        <v>404.95703400805775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4.4000000000000004</v>
      </c>
      <c r="BD77" s="13">
        <f>IF('Données projet'!$A$88&gt;35,BD76+BC77-BL76,IF(A77&lt;'Données projet'!$A$88,$BA$205^A77,IF(A77='Données projet'!$A$88,'Données projet'!$B$88,BD76+BC77-BL76)))</f>
        <v>319.59999999999968</v>
      </c>
      <c r="BE77" s="14">
        <f>BD77*VLOOKUP('Données projet'!$B$11,Paramètres!$A$1:$I$89,3,0)*VLOOKUP('Données projet'!$B$11,Paramètres!$A$1:$I$89,5,0)</f>
        <v>234.33071999999976</v>
      </c>
      <c r="BF77" s="14">
        <f t="shared" si="91"/>
        <v>57.218065399995126</v>
      </c>
      <c r="BG77" s="22">
        <f t="shared" si="61"/>
        <v>507.78080123832439</v>
      </c>
      <c r="BH77" s="60">
        <f t="shared" si="62"/>
        <v>801.1141345716577</v>
      </c>
      <c r="BI77" s="60">
        <f ca="1">AVERAGE(OFFSET($BH$3,0,0,'Données projet'!$E$11+1,1))-AVERAGE(OFFSET($H$3,0,0,'Données projet'!$E$11+1,1))</f>
        <v>344.63665697794022</v>
      </c>
      <c r="BJ77" s="60">
        <f t="shared" si="92"/>
        <v>376.72762011188041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332.40000000000003</v>
      </c>
      <c r="BZ77" s="14">
        <f>BY77*VLOOKUP('Données projet'!$B$12,Paramètres!$A$1:$I$89,3,0)*VLOOKUP('Données projet'!$B$12,Paramètres!$A$1:$I$89,5,0)</f>
        <v>300.75551999999999</v>
      </c>
      <c r="CA77" s="14">
        <f t="shared" si="93"/>
        <v>71.334826294482014</v>
      </c>
      <c r="CB77" s="22">
        <f t="shared" si="64"/>
        <v>648.05735312955619</v>
      </c>
      <c r="CC77" s="60">
        <f t="shared" si="65"/>
        <v>941.39068646288956</v>
      </c>
      <c r="CD77" s="60">
        <f ca="1">AVERAGE(OFFSET($CC$3,0,0,'Données projet'!$E$12+1,1))-AVERAGE(OFFSET($H$3,0,0,'Données projet'!$E$12+1,1))</f>
        <v>529.25712986118265</v>
      </c>
      <c r="CE77" s="60">
        <f t="shared" si="94"/>
        <v>278.21741231699929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332.40000000000003</v>
      </c>
      <c r="CU77" s="18">
        <f>CT77*VLOOKUP('Données projet'!$B$13,Paramètres!$A$1:$I$89,3,0)*VLOOKUP('Données projet'!$B$13,Paramètres!$A$1:$I$89,5,0)</f>
        <v>280.01376000000005</v>
      </c>
      <c r="CV77" s="14">
        <f t="shared" si="95"/>
        <v>66.969916756344503</v>
      </c>
      <c r="CW77" s="22">
        <f t="shared" si="67"/>
        <v>604.32990368396679</v>
      </c>
      <c r="CX77" s="60">
        <f t="shared" si="68"/>
        <v>897.66323701730016</v>
      </c>
      <c r="CY77" s="60">
        <f ca="1">AVERAGE(OFFSET($CX$3,0,0,'Données projet'!$E$13+1,1))-AVERAGE(OFFSET($H$3,0,0,'Données projet'!$E$13+1,1))</f>
        <v>495.77338291316386</v>
      </c>
      <c r="CZ77" s="60">
        <f t="shared" si="96"/>
        <v>261.95434270986397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4.5999999999999996</v>
      </c>
      <c r="DO77" s="13">
        <f>IF('Données projet'!$A$166&gt;35,DO76+DN77-DW76,IF(A77&lt;'Données projet'!$A$166,$DL$205^A77,IF(A77='Données projet'!$A$166,'Données projet'!$B$166,DO76+DN77-DW76)))</f>
        <v>236.40000000000018</v>
      </c>
      <c r="DP77" s="18">
        <f>DO77*VLOOKUP('Données projet'!$B$14,Paramètres!$A$1:$I$89,3,0)*VLOOKUP('Données projet'!$B$14,Paramètres!$A$1:$I$89,5,0)</f>
        <v>154.8892800000001</v>
      </c>
      <c r="DQ77" s="14">
        <f t="shared" si="97"/>
        <v>39.687609366432291</v>
      </c>
      <c r="DR77" s="22">
        <f t="shared" si="70"/>
        <v>338.88808231320309</v>
      </c>
      <c r="DS77" s="60">
        <f t="shared" si="71"/>
        <v>632.22141564653634</v>
      </c>
      <c r="DT77" s="60">
        <f ca="1">AVERAGE(OFFSET($DS$3,0,0,'Données projet'!$E$14+1,1))-AVERAGE(OFFSET($H$3,0,0,'Données projet'!$E$14+1,1))</f>
        <v>275.11574966125522</v>
      </c>
      <c r="DU77" s="60">
        <f t="shared" si="98"/>
        <v>299.21520121860345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241</v>
      </c>
      <c r="L78" s="13">
        <f>VLOOKUP(A78,'Données projet'!$A$35:$I$55,9,0)</f>
        <v>4.4000000000000004</v>
      </c>
      <c r="M78" s="13">
        <f t="array" ref="M78">INDEX(L:L,MIN(IF(ISNUMBER(L78:L274),ROW(L78:L274),"")))</f>
        <v>4.4000000000000004</v>
      </c>
      <c r="N78" s="14">
        <f>IF('Données projet'!$A$36&gt;35,N77+M78-V77,IF(A78&lt;'Données projet'!$A$36,$K$205^A78,IF(A78='Données projet'!$A$36,'Données projet'!$B$36,N77+M78-V77)))</f>
        <v>241</v>
      </c>
      <c r="O78" s="14">
        <f>N78*VLOOKUP('Données projet'!$B$9,Paramètres!$A$1:$I$89,3,0)*VLOOKUP('Données projet'!$B$9,Paramètres!$A$1:$I$89,5,0)</f>
        <v>210.53760000000003</v>
      </c>
      <c r="P78" s="14">
        <f t="shared" si="87"/>
        <v>52.053047337322276</v>
      </c>
      <c r="Q78" s="22">
        <f t="shared" si="54"/>
        <v>457.34537744583628</v>
      </c>
      <c r="R78" s="60">
        <f t="shared" si="55"/>
        <v>750.67871077916959</v>
      </c>
      <c r="S78" s="60">
        <f ca="1">AVERAGE(OFFSET($R$3,0,0,'Données projet'!$E$9+1,1))-AVERAGE(OFFSET($H$3,0,0,'Données projet'!$E$9+1,1))</f>
        <v>369.34989412920129</v>
      </c>
      <c r="T78" s="60">
        <f t="shared" si="88"/>
        <v>371.26234252426553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324</v>
      </c>
      <c r="AG78" s="13">
        <f>VLOOKUP(A78,'Données projet'!$A$61:$I$81,9,0)</f>
        <v>4.4000000000000004</v>
      </c>
      <c r="AH78" s="13">
        <f t="array" ref="AH78">INDEX(AG:AG,MIN(IF(ISNUMBER(AG78:AG274),ROW(AG78:AG274),"")))</f>
        <v>4.4000000000000004</v>
      </c>
      <c r="AI78" s="14">
        <f>IF('Données projet'!$A$62&gt;35,AI77+AH78-AQ77,IF(A78&lt;'Données projet'!$A$62,$AF$205^A78,IF(A78='Données projet'!$A$62,'Données projet'!$B$62,AI77+AH78-AQ77)))</f>
        <v>323.99999999999966</v>
      </c>
      <c r="AJ78" s="14">
        <f>AI78*VLOOKUP('Données projet'!$B$10,Paramètres!$A$1:$I$89,3,0)*VLOOKUP('Données projet'!$B$10,Paramètres!$A$1:$I$89,5,0)</f>
        <v>257.77439999999973</v>
      </c>
      <c r="AK78" s="14">
        <f t="shared" si="89"/>
        <v>62.247732872134243</v>
      </c>
      <c r="AL78" s="22">
        <f t="shared" si="58"/>
        <v>557.37188141896661</v>
      </c>
      <c r="AM78" s="60">
        <f t="shared" si="59"/>
        <v>850.70521475229998</v>
      </c>
      <c r="AN78" s="60">
        <f ca="1">AVERAGE(OFFSET($AM$3,0,0,'Données projet'!$E$10+1,1))-AVERAGE(OFFSET($H$3,0,0,'Données projet'!$E$10+1,1))</f>
        <v>370.79299728190904</v>
      </c>
      <c r="AO78" s="60">
        <f t="shared" si="90"/>
        <v>404.95703400805775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324</v>
      </c>
      <c r="BB78" s="13">
        <f>VLOOKUP(A78,'Données projet'!$A$87:$I$107,9,0)</f>
        <v>4.4000000000000004</v>
      </c>
      <c r="BC78" s="13">
        <f t="array" ref="BC78">INDEX(BB:BB,MIN(IF(ISNUMBER(BB78:BB274),ROW(BB78:BB274),"")))</f>
        <v>4.4000000000000004</v>
      </c>
      <c r="BD78" s="13">
        <f>IF('Données projet'!$A$88&gt;35,BD77+BC78-BL77,IF(A78&lt;'Données projet'!$A$88,$BA$205^A78,IF(A78='Données projet'!$A$88,'Données projet'!$B$88,BD77+BC78-BL77)))</f>
        <v>323.99999999999966</v>
      </c>
      <c r="BE78" s="14">
        <f>BD78*VLOOKUP('Données projet'!$B$11,Paramètres!$A$1:$I$89,3,0)*VLOOKUP('Données projet'!$B$11,Paramètres!$A$1:$I$89,5,0)</f>
        <v>237.55679999999975</v>
      </c>
      <c r="BF78" s="14">
        <f t="shared" si="91"/>
        <v>57.913551469467258</v>
      </c>
      <c r="BG78" s="22">
        <f t="shared" si="61"/>
        <v>514.61086214265504</v>
      </c>
      <c r="BH78" s="60">
        <f t="shared" si="62"/>
        <v>807.94419547598841</v>
      </c>
      <c r="BI78" s="60">
        <f ca="1">AVERAGE(OFFSET($BH$3,0,0,'Données projet'!$E$11+1,1))-AVERAGE(OFFSET($H$3,0,0,'Données projet'!$E$11+1,1))</f>
        <v>344.63665697794022</v>
      </c>
      <c r="BJ78" s="60">
        <f t="shared" si="92"/>
        <v>376.72762011188041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340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340.00000000000006</v>
      </c>
      <c r="BZ78" s="14">
        <f>BY78*VLOOKUP('Données projet'!$B$12,Paramètres!$A$1:$I$89,3,0)*VLOOKUP('Données projet'!$B$12,Paramètres!$A$1:$I$89,5,0)</f>
        <v>307.63200000000006</v>
      </c>
      <c r="CA78" s="14">
        <f t="shared" si="93"/>
        <v>72.774077039465567</v>
      </c>
      <c r="CB78" s="22">
        <f t="shared" si="64"/>
        <v>662.54058417706926</v>
      </c>
      <c r="CC78" s="60">
        <f t="shared" si="65"/>
        <v>955.87391751040263</v>
      </c>
      <c r="CD78" s="60">
        <f ca="1">AVERAGE(OFFSET($CC$3,0,0,'Données projet'!$E$12+1,1))-AVERAGE(OFFSET($H$3,0,0,'Données projet'!$E$12+1,1))</f>
        <v>529.25712986118265</v>
      </c>
      <c r="CE78" s="60">
        <f t="shared" si="94"/>
        <v>278.21741231699929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56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340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340.00000000000006</v>
      </c>
      <c r="CU78" s="18">
        <f>CT78*VLOOKUP('Données projet'!$B$13,Paramètres!$A$1:$I$89,3,0)*VLOOKUP('Données projet'!$B$13,Paramètres!$A$1:$I$89,5,0)</f>
        <v>286.41600000000011</v>
      </c>
      <c r="CV78" s="14">
        <f t="shared" si="95"/>
        <v>68.321101129951245</v>
      </c>
      <c r="CW78" s="22">
        <f t="shared" si="67"/>
        <v>617.83378446799861</v>
      </c>
      <c r="CX78" s="60">
        <f t="shared" si="68"/>
        <v>911.16711780133187</v>
      </c>
      <c r="CY78" s="60">
        <f ca="1">AVERAGE(OFFSET($CX$3,0,0,'Données projet'!$E$13+1,1))-AVERAGE(OFFSET($H$3,0,0,'Données projet'!$E$13+1,1))</f>
        <v>495.77338291316386</v>
      </c>
      <c r="CZ78" s="60">
        <f t="shared" si="96"/>
        <v>261.95434270986397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56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241</v>
      </c>
      <c r="DM78" s="13">
        <f>VLOOKUP(A78,'Données projet'!$A$165:$I$185,9,0)</f>
        <v>4.5999999999999996</v>
      </c>
      <c r="DN78" s="13">
        <f t="array" ref="DN78">INDEX(DM:DM,MIN(IF(ISNUMBER(DM78:DM274),ROW(DM78:DM274),"")))</f>
        <v>4.5999999999999996</v>
      </c>
      <c r="DO78" s="13">
        <f>IF('Données projet'!$A$166&gt;35,DO77+DN78-DW77,IF(A78&lt;'Données projet'!$A$166,$DL$205^A78,IF(A78='Données projet'!$A$166,'Données projet'!$B$166,DO77+DN78-DW77)))</f>
        <v>241.00000000000017</v>
      </c>
      <c r="DP78" s="18">
        <f>DO78*VLOOKUP('Données projet'!$B$14,Paramètres!$A$1:$I$89,3,0)*VLOOKUP('Données projet'!$B$14,Paramètres!$A$1:$I$89,5,0)</f>
        <v>157.90320000000011</v>
      </c>
      <c r="DQ78" s="14">
        <f t="shared" si="97"/>
        <v>40.369213826539486</v>
      </c>
      <c r="DR78" s="22">
        <f t="shared" si="70"/>
        <v>345.32445408122311</v>
      </c>
      <c r="DS78" s="60">
        <f t="shared" si="71"/>
        <v>638.65778741455642</v>
      </c>
      <c r="DT78" s="60">
        <f ca="1">AVERAGE(OFFSET($DS$3,0,0,'Données projet'!$E$14+1,1))-AVERAGE(OFFSET($H$3,0,0,'Données projet'!$E$14+1,1))</f>
        <v>275.11574966125522</v>
      </c>
      <c r="DU78" s="60">
        <f t="shared" si="98"/>
        <v>299.21520121860345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</v>
      </c>
      <c r="N79" s="14">
        <f>IF('Données projet'!$A$36&gt;35,N78+M79-V78,IF(A79&lt;'Données projet'!$A$36,$K$205^A79,IF(A79='Données projet'!$A$36,'Données projet'!$B$36,N78+M79-V78)))</f>
        <v>245</v>
      </c>
      <c r="O79" s="14">
        <f>N79*VLOOKUP('Données projet'!$B$9,Paramètres!$A$1:$I$89,3,0)*VLOOKUP('Données projet'!$B$9,Paramètres!$A$1:$I$89,5,0)</f>
        <v>214.03200000000004</v>
      </c>
      <c r="P79" s="14">
        <f t="shared" si="87"/>
        <v>52.815701536972242</v>
      </c>
      <c r="Q79" s="22">
        <f t="shared" si="54"/>
        <v>464.75974684356009</v>
      </c>
      <c r="R79" s="60">
        <f t="shared" si="55"/>
        <v>758.09308017689341</v>
      </c>
      <c r="S79" s="60">
        <f ca="1">AVERAGE(OFFSET($R$3,0,0,'Données projet'!$E$9+1,1))-AVERAGE(OFFSET($H$3,0,0,'Données projet'!$E$9+1,1))</f>
        <v>369.34989412920129</v>
      </c>
      <c r="T79" s="60">
        <f t="shared" si="88"/>
        <v>371.26234252426553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327.59999999999968</v>
      </c>
      <c r="AJ79" s="14">
        <f>AI79*VLOOKUP('Données projet'!$B$10,Paramètres!$A$1:$I$89,3,0)*VLOOKUP('Données projet'!$B$10,Paramètres!$A$1:$I$89,5,0)</f>
        <v>260.63855999999976</v>
      </c>
      <c r="AK79" s="14">
        <f t="shared" si="89"/>
        <v>62.858473704931782</v>
      </c>
      <c r="AL79" s="22">
        <f t="shared" si="58"/>
        <v>563.4240003694224</v>
      </c>
      <c r="AM79" s="60">
        <f t="shared" si="59"/>
        <v>856.75733370275566</v>
      </c>
      <c r="AN79" s="60">
        <f ca="1">AVERAGE(OFFSET($AM$3,0,0,'Données projet'!$E$10+1,1))-AVERAGE(OFFSET($H$3,0,0,'Données projet'!$E$10+1,1))</f>
        <v>370.79299728190904</v>
      </c>
      <c r="AO79" s="60">
        <f t="shared" si="90"/>
        <v>404.95703400805775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327.59999999999968</v>
      </c>
      <c r="BE79" s="14">
        <f>BD79*VLOOKUP('Données projet'!$B$11,Paramètres!$A$1:$I$89,3,0)*VLOOKUP('Données projet'!$B$11,Paramètres!$A$1:$I$89,5,0)</f>
        <v>240.19631999999976</v>
      </c>
      <c r="BF79" s="14">
        <f t="shared" si="91"/>
        <v>58.481767676270877</v>
      </c>
      <c r="BG79" s="22">
        <f t="shared" si="61"/>
        <v>520.19766936950464</v>
      </c>
      <c r="BH79" s="60">
        <f t="shared" si="62"/>
        <v>813.5310027028379</v>
      </c>
      <c r="BI79" s="60">
        <f ca="1">AVERAGE(OFFSET($BH$3,0,0,'Données projet'!$E$11+1,1))-AVERAGE(OFFSET($H$3,0,0,'Données projet'!$E$11+1,1))</f>
        <v>344.63665697794022</v>
      </c>
      <c r="BJ79" s="60">
        <f t="shared" si="92"/>
        <v>376.72762011188041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263.47776000000005</v>
      </c>
      <c r="CA79" s="14">
        <f t="shared" si="93"/>
        <v>63.46312159763346</v>
      </c>
      <c r="CB79" s="22">
        <f t="shared" si="64"/>
        <v>569.42203544921165</v>
      </c>
      <c r="CC79" s="60">
        <f t="shared" si="65"/>
        <v>862.75536878254502</v>
      </c>
      <c r="CD79" s="60">
        <f ca="1">AVERAGE(OFFSET($CC$3,0,0,'Données projet'!$E$12+1,1))-AVERAGE(OFFSET($H$3,0,0,'Données projet'!$E$12+1,1))</f>
        <v>529.25712986118265</v>
      </c>
      <c r="CE79" s="60">
        <f t="shared" si="94"/>
        <v>278.21741231699929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245.30688000000009</v>
      </c>
      <c r="CV79" s="14">
        <f t="shared" si="95"/>
        <v>59.579874112906374</v>
      </c>
      <c r="CW79" s="22">
        <f t="shared" si="67"/>
        <v>531.01109674664542</v>
      </c>
      <c r="CX79" s="60">
        <f t="shared" si="68"/>
        <v>824.34443007997879</v>
      </c>
      <c r="CY79" s="60">
        <f ca="1">AVERAGE(OFFSET($CX$3,0,0,'Données projet'!$E$13+1,1))-AVERAGE(OFFSET($H$3,0,0,'Données projet'!$E$13+1,1))</f>
        <v>495.77338291316386</v>
      </c>
      <c r="CZ79" s="60">
        <f t="shared" si="96"/>
        <v>261.95434270986397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4.2</v>
      </c>
      <c r="DO79" s="13">
        <f>IF('Données projet'!$A$166&gt;35,DO78+DN79-DW78,IF(A79&lt;'Données projet'!$A$166,$DL$205^A79,IF(A79='Données projet'!$A$166,'Données projet'!$B$166,DO78+DN79-DW78)))</f>
        <v>245.20000000000016</v>
      </c>
      <c r="DP79" s="18">
        <f>DO79*VLOOKUP('Données projet'!$B$14,Paramètres!$A$1:$I$89,3,0)*VLOOKUP('Données projet'!$B$14,Paramètres!$A$1:$I$89,5,0)</f>
        <v>160.6550400000001</v>
      </c>
      <c r="DQ79" s="14">
        <f t="shared" si="97"/>
        <v>40.990226357066646</v>
      </c>
      <c r="DR79" s="22">
        <f t="shared" si="70"/>
        <v>351.19883890522459</v>
      </c>
      <c r="DS79" s="60">
        <f t="shared" si="71"/>
        <v>644.53217223855791</v>
      </c>
      <c r="DT79" s="60">
        <f ca="1">AVERAGE(OFFSET($DS$3,0,0,'Données projet'!$E$14+1,1))-AVERAGE(OFFSET($H$3,0,0,'Données projet'!$E$14+1,1))</f>
        <v>275.11574966125522</v>
      </c>
      <c r="DU79" s="60">
        <f t="shared" si="98"/>
        <v>299.21520121860345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</v>
      </c>
      <c r="N80" s="14">
        <f>IF('Données projet'!$A$36&gt;35,N79+M80-V79,IF(A80&lt;'Données projet'!$A$36,$K$205^A80,IF(A80='Données projet'!$A$36,'Données projet'!$B$36,N79+M80-V79)))</f>
        <v>249</v>
      </c>
      <c r="O80" s="14">
        <f>N80*VLOOKUP('Données projet'!$B$9,Paramètres!$A$1:$I$89,3,0)*VLOOKUP('Données projet'!$B$9,Paramètres!$A$1:$I$89,5,0)</f>
        <v>217.52640000000005</v>
      </c>
      <c r="P80" s="14">
        <f t="shared" si="87"/>
        <v>53.576907690651254</v>
      </c>
      <c r="Q80" s="22">
        <f t="shared" si="54"/>
        <v>472.17159422788433</v>
      </c>
      <c r="R80" s="60">
        <f t="shared" si="55"/>
        <v>765.50492756121764</v>
      </c>
      <c r="S80" s="60">
        <f ca="1">AVERAGE(OFFSET($R$3,0,0,'Données projet'!$E$9+1,1))-AVERAGE(OFFSET($H$3,0,0,'Données projet'!$E$9+1,1))</f>
        <v>369.34989412920129</v>
      </c>
      <c r="T80" s="60">
        <f t="shared" si="88"/>
        <v>371.26234252426553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331.1999999999997</v>
      </c>
      <c r="AJ80" s="14">
        <f>AI80*VLOOKUP('Données projet'!$B$10,Paramètres!$A$1:$I$89,3,0)*VLOOKUP('Données projet'!$B$10,Paramètres!$A$1:$I$89,5,0)</f>
        <v>263.50271999999978</v>
      </c>
      <c r="AK80" s="14">
        <f t="shared" si="89"/>
        <v>63.468433809179686</v>
      </c>
      <c r="AL80" s="22">
        <f t="shared" si="58"/>
        <v>569.47475955098753</v>
      </c>
      <c r="AM80" s="60">
        <f t="shared" si="59"/>
        <v>862.80809288432079</v>
      </c>
      <c r="AN80" s="60">
        <f ca="1">AVERAGE(OFFSET($AM$3,0,0,'Données projet'!$E$10+1,1))-AVERAGE(OFFSET($H$3,0,0,'Données projet'!$E$10+1,1))</f>
        <v>370.79299728190904</v>
      </c>
      <c r="AO80" s="60">
        <f t="shared" si="90"/>
        <v>404.95703400805775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331.1999999999997</v>
      </c>
      <c r="BE80" s="14">
        <f>BD80*VLOOKUP('Données projet'!$B$11,Paramètres!$A$1:$I$89,3,0)*VLOOKUP('Données projet'!$B$11,Paramètres!$A$1:$I$89,5,0)</f>
        <v>242.83583999999976</v>
      </c>
      <c r="BF80" s="14">
        <f t="shared" si="91"/>
        <v>59.049257515045326</v>
      </c>
      <c r="BG80" s="22">
        <f t="shared" si="61"/>
        <v>525.78321150537022</v>
      </c>
      <c r="BH80" s="60">
        <f t="shared" si="62"/>
        <v>819.11654483870348</v>
      </c>
      <c r="BI80" s="60">
        <f ca="1">AVERAGE(OFFSET($BH$3,0,0,'Données projet'!$E$11+1,1))-AVERAGE(OFFSET($H$3,0,0,'Données projet'!$E$11+1,1))</f>
        <v>344.63665697794022</v>
      </c>
      <c r="BJ80" s="60">
        <f t="shared" si="92"/>
        <v>376.72762011188041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269.99232000000001</v>
      </c>
      <c r="CA80" s="14">
        <f t="shared" si="93"/>
        <v>64.847639395310296</v>
      </c>
      <c r="CB80" s="22">
        <f t="shared" si="64"/>
        <v>583.17959594683214</v>
      </c>
      <c r="CC80" s="60">
        <f t="shared" si="65"/>
        <v>876.51292928016551</v>
      </c>
      <c r="CD80" s="60">
        <f ca="1">AVERAGE(OFFSET($CC$3,0,0,'Données projet'!$E$12+1,1))-AVERAGE(OFFSET($H$3,0,0,'Données projet'!$E$12+1,1))</f>
        <v>529.25712986118265</v>
      </c>
      <c r="CE80" s="60">
        <f t="shared" si="94"/>
        <v>278.21741231699929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251.37216000000004</v>
      </c>
      <c r="CV80" s="14">
        <f t="shared" si="95"/>
        <v>60.879674595707343</v>
      </c>
      <c r="CW80" s="22">
        <f t="shared" si="67"/>
        <v>543.83861192085692</v>
      </c>
      <c r="CX80" s="60">
        <f t="shared" si="68"/>
        <v>837.17194525419018</v>
      </c>
      <c r="CY80" s="60">
        <f ca="1">AVERAGE(OFFSET($CX$3,0,0,'Données projet'!$E$13+1,1))-AVERAGE(OFFSET($H$3,0,0,'Données projet'!$E$13+1,1))</f>
        <v>495.77338291316386</v>
      </c>
      <c r="CZ80" s="60">
        <f t="shared" si="96"/>
        <v>261.95434270986397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4.2</v>
      </c>
      <c r="DO80" s="13">
        <f>IF('Données projet'!$A$166&gt;35,DO79+DN80-DW79,IF(A80&lt;'Données projet'!$A$166,$DL$205^A80,IF(A80='Données projet'!$A$166,'Données projet'!$B$166,DO79+DN80-DW79)))</f>
        <v>249.40000000000015</v>
      </c>
      <c r="DP80" s="18">
        <f>DO80*VLOOKUP('Données projet'!$B$14,Paramètres!$A$1:$I$89,3,0)*VLOOKUP('Données projet'!$B$14,Paramètres!$A$1:$I$89,5,0)</f>
        <v>163.40688000000011</v>
      </c>
      <c r="DQ80" s="14">
        <f t="shared" si="97"/>
        <v>41.610001881769833</v>
      </c>
      <c r="DR80" s="22">
        <f t="shared" si="70"/>
        <v>357.07106927741597</v>
      </c>
      <c r="DS80" s="60">
        <f t="shared" si="71"/>
        <v>650.40440261074923</v>
      </c>
      <c r="DT80" s="60">
        <f ca="1">AVERAGE(OFFSET($DS$3,0,0,'Données projet'!$E$14+1,1))-AVERAGE(OFFSET($H$3,0,0,'Données projet'!$E$14+1,1))</f>
        <v>275.11574966125522</v>
      </c>
      <c r="DU80" s="60">
        <f t="shared" si="98"/>
        <v>299.21520121860345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</v>
      </c>
      <c r="N81" s="14">
        <f>IF('Données projet'!$A$36&gt;35,N80+M81-V80,IF(A81&lt;'Données projet'!$A$36,$K$205^A81,IF(A81='Données projet'!$A$36,'Données projet'!$B$36,N80+M81-V80)))</f>
        <v>253</v>
      </c>
      <c r="O81" s="14">
        <f>N81*VLOOKUP('Données projet'!$B$9,Paramètres!$A$1:$I$89,3,0)*VLOOKUP('Données projet'!$B$9,Paramètres!$A$1:$I$89,5,0)</f>
        <v>221.02080000000001</v>
      </c>
      <c r="P81" s="14">
        <f t="shared" si="87"/>
        <v>54.336691745796898</v>
      </c>
      <c r="Q81" s="22">
        <f t="shared" si="54"/>
        <v>479.58096479059623</v>
      </c>
      <c r="R81" s="60">
        <f t="shared" si="55"/>
        <v>772.91429812392948</v>
      </c>
      <c r="S81" s="60">
        <f ca="1">AVERAGE(OFFSET($R$3,0,0,'Données projet'!$E$9+1,1))-AVERAGE(OFFSET($H$3,0,0,'Données projet'!$E$9+1,1))</f>
        <v>369.34989412920129</v>
      </c>
      <c r="T81" s="60">
        <f t="shared" si="88"/>
        <v>371.26234252426553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334.79999999999973</v>
      </c>
      <c r="AJ81" s="14">
        <f>AI81*VLOOKUP('Données projet'!$B$10,Paramètres!$A$1:$I$89,3,0)*VLOOKUP('Données projet'!$B$10,Paramètres!$A$1:$I$89,5,0)</f>
        <v>266.36687999999981</v>
      </c>
      <c r="AK81" s="14">
        <f t="shared" si="89"/>
        <v>64.077622653233107</v>
      </c>
      <c r="AL81" s="22">
        <f t="shared" si="58"/>
        <v>575.52417545438061</v>
      </c>
      <c r="AM81" s="60">
        <f t="shared" si="59"/>
        <v>868.85750878771387</v>
      </c>
      <c r="AN81" s="60">
        <f ca="1">AVERAGE(OFFSET($AM$3,0,0,'Données projet'!$E$10+1,1))-AVERAGE(OFFSET($H$3,0,0,'Données projet'!$E$10+1,1))</f>
        <v>370.79299728190904</v>
      </c>
      <c r="AO81" s="60">
        <f t="shared" si="90"/>
        <v>404.95703400805775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334.79999999999973</v>
      </c>
      <c r="BE81" s="14">
        <f>BD81*VLOOKUP('Données projet'!$B$11,Paramètres!$A$1:$I$89,3,0)*VLOOKUP('Données projet'!$B$11,Paramètres!$A$1:$I$89,5,0)</f>
        <v>245.47535999999977</v>
      </c>
      <c r="BF81" s="14">
        <f t="shared" si="91"/>
        <v>59.616029794883701</v>
      </c>
      <c r="BG81" s="22">
        <f t="shared" si="61"/>
        <v>531.36750389275528</v>
      </c>
      <c r="BH81" s="60">
        <f t="shared" si="62"/>
        <v>824.70083722608865</v>
      </c>
      <c r="BI81" s="60">
        <f ca="1">AVERAGE(OFFSET($BH$3,0,0,'Données projet'!$E$11+1,1))-AVERAGE(OFFSET($H$3,0,0,'Données projet'!$E$11+1,1))</f>
        <v>344.63665697794022</v>
      </c>
      <c r="BJ81" s="60">
        <f t="shared" si="92"/>
        <v>376.72762011188041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276.50687999999997</v>
      </c>
      <c r="CA81" s="14">
        <f t="shared" si="93"/>
        <v>66.228273722513677</v>
      </c>
      <c r="CB81" s="22">
        <f t="shared" si="64"/>
        <v>596.93039273337797</v>
      </c>
      <c r="CC81" s="60">
        <f t="shared" si="65"/>
        <v>890.26372606671134</v>
      </c>
      <c r="CD81" s="60">
        <f ca="1">AVERAGE(OFFSET($CC$3,0,0,'Données projet'!$E$12+1,1))-AVERAGE(OFFSET($H$3,0,0,'Données projet'!$E$12+1,1))</f>
        <v>529.25712986118265</v>
      </c>
      <c r="CE81" s="60">
        <f t="shared" si="94"/>
        <v>278.21741231699929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257.43744000000004</v>
      </c>
      <c r="CV81" s="14">
        <f t="shared" si="95"/>
        <v>62.175829233865038</v>
      </c>
      <c r="CW81" s="22">
        <f t="shared" si="67"/>
        <v>556.65977724898164</v>
      </c>
      <c r="CX81" s="60">
        <f t="shared" si="68"/>
        <v>849.99311058231501</v>
      </c>
      <c r="CY81" s="60">
        <f ca="1">AVERAGE(OFFSET($CX$3,0,0,'Données projet'!$E$13+1,1))-AVERAGE(OFFSET($H$3,0,0,'Données projet'!$E$13+1,1))</f>
        <v>495.77338291316386</v>
      </c>
      <c r="CZ81" s="60">
        <f t="shared" si="96"/>
        <v>261.95434270986397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4.2</v>
      </c>
      <c r="DO81" s="13">
        <f>IF('Données projet'!$A$166&gt;35,DO80+DN81-DW80,IF(A81&lt;'Données projet'!$A$166,$DL$205^A81,IF(A81='Données projet'!$A$166,'Données projet'!$B$166,DO80+DN81-DW80)))</f>
        <v>253.60000000000014</v>
      </c>
      <c r="DP81" s="18">
        <f>DO81*VLOOKUP('Données projet'!$B$14,Paramètres!$A$1:$I$89,3,0)*VLOOKUP('Données projet'!$B$14,Paramètres!$A$1:$I$89,5,0)</f>
        <v>166.1587200000001</v>
      </c>
      <c r="DQ81" s="14">
        <f t="shared" si="97"/>
        <v>42.228563636586422</v>
      </c>
      <c r="DR81" s="22">
        <f t="shared" si="70"/>
        <v>362.94118566705487</v>
      </c>
      <c r="DS81" s="60">
        <f t="shared" si="71"/>
        <v>656.27451900038818</v>
      </c>
      <c r="DT81" s="60">
        <f ca="1">AVERAGE(OFFSET($DS$3,0,0,'Données projet'!$E$14+1,1))-AVERAGE(OFFSET($H$3,0,0,'Données projet'!$E$14+1,1))</f>
        <v>275.11574966125522</v>
      </c>
      <c r="DU81" s="60">
        <f t="shared" si="98"/>
        <v>299.21520121860345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</v>
      </c>
      <c r="N82" s="14">
        <f>IF('Données projet'!$A$36&gt;35,N81+M82-V81,IF(A82&lt;'Données projet'!$A$36,$K$205^A82,IF(A82='Données projet'!$A$36,'Données projet'!$B$36,N81+M82-V81)))</f>
        <v>257</v>
      </c>
      <c r="O82" s="14">
        <f>N82*VLOOKUP('Données projet'!$B$9,Paramètres!$A$1:$I$89,3,0)*VLOOKUP('Données projet'!$B$9,Paramètres!$A$1:$I$89,5,0)</f>
        <v>224.51520000000002</v>
      </c>
      <c r="P82" s="14">
        <f t="shared" si="87"/>
        <v>55.095078782313543</v>
      </c>
      <c r="Q82" s="22">
        <f t="shared" si="54"/>
        <v>486.98790221252949</v>
      </c>
      <c r="R82" s="60">
        <f t="shared" si="55"/>
        <v>780.32123554586281</v>
      </c>
      <c r="S82" s="60">
        <f ca="1">AVERAGE(OFFSET($R$3,0,0,'Données projet'!$E$9+1,1))-AVERAGE(OFFSET($H$3,0,0,'Données projet'!$E$9+1,1))</f>
        <v>369.34989412920129</v>
      </c>
      <c r="T82" s="60">
        <f t="shared" si="88"/>
        <v>371.26234252426553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338.39999999999975</v>
      </c>
      <c r="AJ82" s="14">
        <f>AI82*VLOOKUP('Données projet'!$B$10,Paramètres!$A$1:$I$89,3,0)*VLOOKUP('Données projet'!$B$10,Paramètres!$A$1:$I$89,5,0)</f>
        <v>269.23103999999984</v>
      </c>
      <c r="AK82" s="14">
        <f t="shared" si="89"/>
        <v>64.686049490098227</v>
      </c>
      <c r="AL82" s="22">
        <f t="shared" si="58"/>
        <v>581.57226419525409</v>
      </c>
      <c r="AM82" s="60">
        <f t="shared" si="59"/>
        <v>874.90559752858735</v>
      </c>
      <c r="AN82" s="60">
        <f ca="1">AVERAGE(OFFSET($AM$3,0,0,'Données projet'!$E$10+1,1))-AVERAGE(OFFSET($H$3,0,0,'Données projet'!$E$10+1,1))</f>
        <v>370.79299728190904</v>
      </c>
      <c r="AO82" s="60">
        <f t="shared" si="90"/>
        <v>404.95703400805775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338.39999999999975</v>
      </c>
      <c r="BE82" s="14">
        <f>BD82*VLOOKUP('Données projet'!$B$11,Paramètres!$A$1:$I$89,3,0)*VLOOKUP('Données projet'!$B$11,Paramètres!$A$1:$I$89,5,0)</f>
        <v>248.1148799999998</v>
      </c>
      <c r="BF82" s="14">
        <f t="shared" si="91"/>
        <v>60.182093124524592</v>
      </c>
      <c r="BG82" s="22">
        <f t="shared" si="61"/>
        <v>536.95056152521329</v>
      </c>
      <c r="BH82" s="60">
        <f t="shared" si="62"/>
        <v>830.28389485854655</v>
      </c>
      <c r="BI82" s="60">
        <f ca="1">AVERAGE(OFFSET($BH$3,0,0,'Données projet'!$E$11+1,1))-AVERAGE(OFFSET($H$3,0,0,'Données projet'!$E$11+1,1))</f>
        <v>344.63665697794022</v>
      </c>
      <c r="BJ82" s="60">
        <f t="shared" si="92"/>
        <v>376.72762011188041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283.02144000000004</v>
      </c>
      <c r="CA82" s="14">
        <f t="shared" si="93"/>
        <v>67.605126603830598</v>
      </c>
      <c r="CB82" s="22">
        <f t="shared" si="64"/>
        <v>610.67460350167164</v>
      </c>
      <c r="CC82" s="60">
        <f t="shared" si="65"/>
        <v>904.00793683500501</v>
      </c>
      <c r="CD82" s="60">
        <f ca="1">AVERAGE(OFFSET($CC$3,0,0,'Données projet'!$E$12+1,1))-AVERAGE(OFFSET($H$3,0,0,'Données projet'!$E$12+1,1))</f>
        <v>529.25712986118265</v>
      </c>
      <c r="CE82" s="60">
        <f t="shared" si="94"/>
        <v>278.21741231699929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263.50272000000001</v>
      </c>
      <c r="CV82" s="14">
        <f t="shared" si="95"/>
        <v>63.468433809179743</v>
      </c>
      <c r="CW82" s="22">
        <f t="shared" si="67"/>
        <v>569.4747595509881</v>
      </c>
      <c r="CX82" s="60">
        <f t="shared" si="68"/>
        <v>862.80809288432147</v>
      </c>
      <c r="CY82" s="60">
        <f ca="1">AVERAGE(OFFSET($CX$3,0,0,'Données projet'!$E$13+1,1))-AVERAGE(OFFSET($H$3,0,0,'Données projet'!$E$13+1,1))</f>
        <v>495.77338291316386</v>
      </c>
      <c r="CZ82" s="60">
        <f t="shared" si="96"/>
        <v>261.95434270986397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4.2</v>
      </c>
      <c r="DO82" s="13">
        <f>IF('Données projet'!$A$166&gt;35,DO81+DN82-DW81,IF(A82&lt;'Données projet'!$A$166,$DL$205^A82,IF(A82='Données projet'!$A$166,'Données projet'!$B$166,DO81+DN82-DW81)))</f>
        <v>257.80000000000013</v>
      </c>
      <c r="DP82" s="18">
        <f>DO82*VLOOKUP('Données projet'!$B$14,Paramètres!$A$1:$I$89,3,0)*VLOOKUP('Données projet'!$B$14,Paramètres!$A$1:$I$89,5,0)</f>
        <v>168.91056000000009</v>
      </c>
      <c r="DQ82" s="14">
        <f t="shared" si="97"/>
        <v>42.845934043689041</v>
      </c>
      <c r="DR82" s="22">
        <f t="shared" si="70"/>
        <v>368.80922712609191</v>
      </c>
      <c r="DS82" s="60">
        <f t="shared" si="71"/>
        <v>662.14256045942523</v>
      </c>
      <c r="DT82" s="60">
        <f ca="1">AVERAGE(OFFSET($DS$3,0,0,'Données projet'!$E$14+1,1))-AVERAGE(OFFSET($H$3,0,0,'Données projet'!$E$14+1,1))</f>
        <v>275.11574966125522</v>
      </c>
      <c r="DU82" s="60">
        <f t="shared" si="98"/>
        <v>299.21520121860345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4</v>
      </c>
      <c r="M83" s="13">
        <f t="array" ref="M83">INDEX(L:L,MIN(IF(ISNUMBER(L83:L279),ROW(L83:L279),"")))</f>
        <v>4</v>
      </c>
      <c r="N83" s="14">
        <f>IF('Données projet'!$A$36&gt;35,N82+M83-V82,IF(A83&lt;'Données projet'!$A$36,$K$205^A83,IF(A83='Données projet'!$A$36,'Données projet'!$B$36,N82+M83-V82)))</f>
        <v>261</v>
      </c>
      <c r="O83" s="14">
        <f>N83*VLOOKUP('Données projet'!$B$9,Paramètres!$A$1:$I$89,3,0)*VLOOKUP('Données projet'!$B$9,Paramètres!$A$1:$I$89,5,0)</f>
        <v>228.00960000000003</v>
      </c>
      <c r="P83" s="14">
        <f t="shared" si="87"/>
        <v>55.852093054619829</v>
      </c>
      <c r="Q83" s="22">
        <f t="shared" si="54"/>
        <v>494.39244873679627</v>
      </c>
      <c r="R83" s="60">
        <f t="shared" si="55"/>
        <v>787.72578207012953</v>
      </c>
      <c r="S83" s="60">
        <f ca="1">AVERAGE(OFFSET($R$3,0,0,'Données projet'!$E$9+1,1))-AVERAGE(OFFSET($H$3,0,0,'Données projet'!$E$9+1,1))</f>
        <v>369.34989412920129</v>
      </c>
      <c r="T83" s="60">
        <f t="shared" si="88"/>
        <v>371.26234252426553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31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342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341.99999999999977</v>
      </c>
      <c r="AJ83" s="14">
        <f>AI83*VLOOKUP('Données projet'!$B$10,Paramètres!$A$1:$I$89,3,0)*VLOOKUP('Données projet'!$B$10,Paramètres!$A$1:$I$89,5,0)</f>
        <v>272.09519999999981</v>
      </c>
      <c r="AK83" s="14">
        <f t="shared" si="89"/>
        <v>65.293723364568379</v>
      </c>
      <c r="AL83" s="22">
        <f t="shared" si="58"/>
        <v>587.61904152662294</v>
      </c>
      <c r="AM83" s="60">
        <f t="shared" si="59"/>
        <v>880.95237485995631</v>
      </c>
      <c r="AN83" s="60">
        <f ca="1">AVERAGE(OFFSET($AM$3,0,0,'Données projet'!$E$10+1,1))-AVERAGE(OFFSET($H$3,0,0,'Données projet'!$E$10+1,1))</f>
        <v>370.79299728190904</v>
      </c>
      <c r="AO83" s="60">
        <f t="shared" si="90"/>
        <v>404.95703400805775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342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341.99999999999977</v>
      </c>
      <c r="BE83" s="14">
        <f>BD83*VLOOKUP('Données projet'!$B$11,Paramètres!$A$1:$I$89,3,0)*VLOOKUP('Données projet'!$B$11,Paramètres!$A$1:$I$89,5,0)</f>
        <v>250.75439999999983</v>
      </c>
      <c r="BF83" s="14">
        <f t="shared" si="91"/>
        <v>60.747455918990831</v>
      </c>
      <c r="BG83" s="22">
        <f t="shared" si="61"/>
        <v>542.53239905890871</v>
      </c>
      <c r="BH83" s="60">
        <f t="shared" si="62"/>
        <v>835.86573239224208</v>
      </c>
      <c r="BI83" s="60">
        <f ca="1">AVERAGE(OFFSET($BH$3,0,0,'Données projet'!$E$11+1,1))-AVERAGE(OFFSET($H$3,0,0,'Données projet'!$E$11+1,1))</f>
        <v>344.63665697794022</v>
      </c>
      <c r="BJ83" s="60">
        <f t="shared" si="92"/>
        <v>376.72762011188041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289.536</v>
      </c>
      <c r="CA83" s="14">
        <f t="shared" si="93"/>
        <v>68.97829509904436</v>
      </c>
      <c r="CB83" s="22">
        <f t="shared" si="64"/>
        <v>624.41239729750225</v>
      </c>
      <c r="CC83" s="60">
        <f t="shared" si="65"/>
        <v>917.74573063083562</v>
      </c>
      <c r="CD83" s="60">
        <f ca="1">AVERAGE(OFFSET($CC$3,0,0,'Données projet'!$E$12+1,1))-AVERAGE(OFFSET($H$3,0,0,'Données projet'!$E$12+1,1))</f>
        <v>529.25712986118265</v>
      </c>
      <c r="CE83" s="60">
        <f t="shared" si="94"/>
        <v>278.21741231699929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269.56800000000004</v>
      </c>
      <c r="CV83" s="14">
        <f t="shared" si="95"/>
        <v>64.757579442439862</v>
      </c>
      <c r="CW83" s="22">
        <f t="shared" si="67"/>
        <v>582.28371752891621</v>
      </c>
      <c r="CX83" s="60">
        <f t="shared" si="68"/>
        <v>875.61705086224947</v>
      </c>
      <c r="CY83" s="60">
        <f ca="1">AVERAGE(OFFSET($CX$3,0,0,'Données projet'!$E$13+1,1))-AVERAGE(OFFSET($H$3,0,0,'Données projet'!$E$13+1,1))</f>
        <v>495.77338291316386</v>
      </c>
      <c r="CZ83" s="60">
        <f t="shared" si="96"/>
        <v>261.95434270986397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262</v>
      </c>
      <c r="DM83" s="13">
        <f>VLOOKUP(A83,'Données projet'!$A$165:$I$185,9,0)</f>
        <v>4.2</v>
      </c>
      <c r="DN83" s="13">
        <f t="array" ref="DN83">INDEX(DM:DM,MIN(IF(ISNUMBER(DM83:DM279),ROW(DM83:DM279),"")))</f>
        <v>4.2</v>
      </c>
      <c r="DO83" s="13">
        <f>IF('Données projet'!$A$166&gt;35,DO82+DN83-DW82,IF(A83&lt;'Données projet'!$A$166,$DL$205^A83,IF(A83='Données projet'!$A$166,'Données projet'!$B$166,DO82+DN83-DW82)))</f>
        <v>262.00000000000011</v>
      </c>
      <c r="DP83" s="18">
        <f>DO83*VLOOKUP('Données projet'!$B$14,Paramètres!$A$1:$I$89,3,0)*VLOOKUP('Données projet'!$B$14,Paramètres!$A$1:$I$89,5,0)</f>
        <v>171.66240000000008</v>
      </c>
      <c r="DQ83" s="14">
        <f t="shared" si="97"/>
        <v>43.462134752770041</v>
      </c>
      <c r="DR83" s="22">
        <f t="shared" si="70"/>
        <v>374.67523136107457</v>
      </c>
      <c r="DS83" s="60">
        <f t="shared" si="71"/>
        <v>668.00856469440782</v>
      </c>
      <c r="DT83" s="60">
        <f ca="1">AVERAGE(OFFSET($DS$3,0,0,'Données projet'!$E$14+1,1))-AVERAGE(OFFSET($H$3,0,0,'Données projet'!$E$14+1,1))</f>
        <v>275.11574966125522</v>
      </c>
      <c r="DU83" s="60">
        <f t="shared" si="98"/>
        <v>299.21520121860345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34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3.6</v>
      </c>
      <c r="N84" s="14">
        <f>IF('Données projet'!$A$36&gt;35,N83+M84-V83,IF(A84&lt;'Données projet'!$A$36,$K$205^A84,IF(A84='Données projet'!$A$36,'Données projet'!$B$36,N83+M84-V83)))</f>
        <v>233.60000000000002</v>
      </c>
      <c r="O84" s="14">
        <f>N84*VLOOKUP('Données projet'!$B$9,Paramètres!$A$1:$I$89,3,0)*VLOOKUP('Données projet'!$B$9,Paramètres!$A$1:$I$89,5,0)</f>
        <v>204.07296000000005</v>
      </c>
      <c r="P84" s="14">
        <f t="shared" si="87"/>
        <v>50.638228095278635</v>
      </c>
      <c r="Q84" s="22">
        <f t="shared" si="54"/>
        <v>443.62198593261041</v>
      </c>
      <c r="R84" s="60">
        <f t="shared" si="55"/>
        <v>736.95531926594367</v>
      </c>
      <c r="S84" s="60">
        <f ca="1">AVERAGE(OFFSET($R$3,0,0,'Données projet'!$E$9+1,1))-AVERAGE(OFFSET($H$3,0,0,'Données projet'!$E$9+1,1))</f>
        <v>369.34989412920129</v>
      </c>
      <c r="T84" s="60">
        <f t="shared" si="88"/>
        <v>371.26234252426553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-1.8089849618263545E-13</v>
      </c>
      <c r="AK84" s="14" t="e">
        <f t="shared" si="89"/>
        <v>#NUM!</v>
      </c>
      <c r="AL84" s="22" t="e">
        <f t="shared" si="58"/>
        <v>#NUM!</v>
      </c>
      <c r="AM84" s="60" t="e">
        <f t="shared" si="59"/>
        <v>#NUM!</v>
      </c>
      <c r="AN84" s="60">
        <f ca="1">AVERAGE(OFFSET($AM$3,0,0,'Données projet'!$E$10+1,1))-AVERAGE(OFFSET($H$3,0,0,'Données projet'!$E$10+1,1))</f>
        <v>370.79299728190904</v>
      </c>
      <c r="AO84" s="60">
        <f t="shared" si="90"/>
        <v>404.95703400805775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-1.6671037883497774E-13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344.63665697794022</v>
      </c>
      <c r="BJ84" s="60">
        <f t="shared" si="92"/>
        <v>376.72762011188041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6.6</v>
      </c>
      <c r="BY84" s="13">
        <f>IF('Données projet'!$A$114&gt;35,BY83+BX84-CG83,IF(A84&lt;'Données projet'!$A$114,$BV$205^A84,IF(A84='Données projet'!$A$114,'Données projet'!$B$114,BY83+BX84-CG83)))</f>
        <v>326.60000000000002</v>
      </c>
      <c r="BZ84" s="14">
        <f>BY84*VLOOKUP('Données projet'!$B$12,Paramètres!$A$1:$I$89,3,0)*VLOOKUP('Données projet'!$B$12,Paramètres!$A$1:$I$89,5,0)</f>
        <v>295.50767999999999</v>
      </c>
      <c r="CA84" s="14">
        <f t="shared" si="93"/>
        <v>70.233875285761272</v>
      </c>
      <c r="CB84" s="22">
        <f t="shared" si="64"/>
        <v>636.99987545603415</v>
      </c>
      <c r="CC84" s="60">
        <f t="shared" si="65"/>
        <v>930.33320878936752</v>
      </c>
      <c r="CD84" s="60">
        <f ca="1">AVERAGE(OFFSET($CC$3,0,0,'Données projet'!$E$12+1,1))-AVERAGE(OFFSET($H$3,0,0,'Données projet'!$E$12+1,1))</f>
        <v>529.25712986118265</v>
      </c>
      <c r="CE84" s="60">
        <f t="shared" si="94"/>
        <v>278.21741231699929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6.6</v>
      </c>
      <c r="CT84" s="13">
        <f>IF('Données projet'!$A$140&gt;35,CT83+CS84-DB83,IF(A84&lt;'Données projet'!$A$140,$CQ$205^A84,IF(A84='Données projet'!$A$140,'Données projet'!$B$140,CT83+CS84-DB83)))</f>
        <v>326.60000000000002</v>
      </c>
      <c r="CU84" s="18">
        <f>CT84*VLOOKUP('Données projet'!$B$13,Paramètres!$A$1:$I$89,3,0)*VLOOKUP('Données projet'!$B$13,Paramètres!$A$1:$I$89,5,0)</f>
        <v>275.12784000000005</v>
      </c>
      <c r="CV84" s="14">
        <f t="shared" si="95"/>
        <v>65.936331882912981</v>
      </c>
      <c r="CW84" s="22">
        <f t="shared" si="67"/>
        <v>594.0200993627401</v>
      </c>
      <c r="CX84" s="60">
        <f t="shared" si="68"/>
        <v>887.35343269607347</v>
      </c>
      <c r="CY84" s="60">
        <f ca="1">AVERAGE(OFFSET($CX$3,0,0,'Données projet'!$E$13+1,1))-AVERAGE(OFFSET($H$3,0,0,'Données projet'!$E$13+1,1))</f>
        <v>495.77338291316386</v>
      </c>
      <c r="CZ84" s="60">
        <f t="shared" si="96"/>
        <v>261.95434270986397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3.8</v>
      </c>
      <c r="DO84" s="13">
        <f>IF('Données projet'!$A$166&gt;35,DO83+DN84-DW83,IF(A84&lt;'Données projet'!$A$166,$DL$205^A84,IF(A84='Données projet'!$A$166,'Données projet'!$B$166,DO83+DN84-DW83)))</f>
        <v>231.80000000000013</v>
      </c>
      <c r="DP84" s="18">
        <f>DO84*VLOOKUP('Données projet'!$B$14,Paramètres!$A$1:$I$89,3,0)*VLOOKUP('Données projet'!$B$14,Paramètres!$A$1:$I$89,5,0)</f>
        <v>151.87536000000009</v>
      </c>
      <c r="DQ84" s="14">
        <f t="shared" si="97"/>
        <v>39.004459236504758</v>
      </c>
      <c r="DR84" s="22">
        <f t="shared" si="70"/>
        <v>332.44901850357923</v>
      </c>
      <c r="DS84" s="60">
        <f t="shared" si="71"/>
        <v>625.78235183691254</v>
      </c>
      <c r="DT84" s="60">
        <f ca="1">AVERAGE(OFFSET($DS$3,0,0,'Données projet'!$E$14+1,1))-AVERAGE(OFFSET($H$3,0,0,'Données projet'!$E$14+1,1))</f>
        <v>275.11574966125522</v>
      </c>
      <c r="DU84" s="60">
        <f t="shared" si="98"/>
        <v>299.21520121860345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3.6</v>
      </c>
      <c r="N85" s="14">
        <f>IF('Données projet'!$A$36&gt;35,N84+M85-V84,IF(A85&lt;'Données projet'!$A$36,$K$205^A85,IF(A85='Données projet'!$A$36,'Données projet'!$B$36,N84+M85-V84)))</f>
        <v>237.20000000000002</v>
      </c>
      <c r="O85" s="14">
        <f>N85*VLOOKUP('Données projet'!$B$9,Paramètres!$A$1:$I$89,3,0)*VLOOKUP('Données projet'!$B$9,Paramètres!$A$1:$I$89,5,0)</f>
        <v>207.21792000000005</v>
      </c>
      <c r="P85" s="14">
        <f t="shared" si="87"/>
        <v>51.327160141561521</v>
      </c>
      <c r="Q85" s="22">
        <f t="shared" si="54"/>
        <v>450.29934791321972</v>
      </c>
      <c r="R85" s="60">
        <f t="shared" si="55"/>
        <v>743.63268124655303</v>
      </c>
      <c r="S85" s="60">
        <f ca="1">AVERAGE(OFFSET($R$3,0,0,'Données projet'!$E$9+1,1))-AVERAGE(OFFSET($H$3,0,0,'Données projet'!$E$9+1,1))</f>
        <v>369.34989412920129</v>
      </c>
      <c r="T85" s="60">
        <f t="shared" si="88"/>
        <v>371.26234252426553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-1.8089849618263545E-13</v>
      </c>
      <c r="AK85" s="14" t="e">
        <f t="shared" si="89"/>
        <v>#NUM!</v>
      </c>
      <c r="AL85" s="22" t="e">
        <f t="shared" si="58"/>
        <v>#NUM!</v>
      </c>
      <c r="AM85" s="60" t="e">
        <f t="shared" si="59"/>
        <v>#NUM!</v>
      </c>
      <c r="AN85" s="60">
        <f ca="1">AVERAGE(OFFSET($AM$3,0,0,'Données projet'!$E$10+1,1))-AVERAGE(OFFSET($H$3,0,0,'Données projet'!$E$10+1,1))</f>
        <v>370.79299728190904</v>
      </c>
      <c r="AO85" s="60">
        <f t="shared" si="90"/>
        <v>404.95703400805775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-1.6671037883497774E-13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344.63665697794022</v>
      </c>
      <c r="BJ85" s="60">
        <f t="shared" si="92"/>
        <v>376.72762011188041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6.6</v>
      </c>
      <c r="BY85" s="13">
        <f>IF('Données projet'!$A$114&gt;35,BY84+BX85-CG84,IF(A85&lt;'Données projet'!$A$114,$BV$205^A85,IF(A85='Données projet'!$A$114,'Données projet'!$B$114,BY84+BX85-CG84)))</f>
        <v>333.20000000000005</v>
      </c>
      <c r="BZ85" s="14">
        <f>BY85*VLOOKUP('Données projet'!$B$12,Paramètres!$A$1:$I$89,3,0)*VLOOKUP('Données projet'!$B$12,Paramètres!$A$1:$I$89,5,0)</f>
        <v>301.47935999999999</v>
      </c>
      <c r="CA85" s="14">
        <f t="shared" si="93"/>
        <v>71.486505311225272</v>
      </c>
      <c r="CB85" s="22">
        <f t="shared" si="64"/>
        <v>649.58221541705063</v>
      </c>
      <c r="CC85" s="60">
        <f t="shared" si="65"/>
        <v>942.915548750384</v>
      </c>
      <c r="CD85" s="60">
        <f ca="1">AVERAGE(OFFSET($CC$3,0,0,'Données projet'!$E$12+1,1))-AVERAGE(OFFSET($H$3,0,0,'Données projet'!$E$12+1,1))</f>
        <v>529.25712986118265</v>
      </c>
      <c r="CE85" s="60">
        <f t="shared" si="94"/>
        <v>278.21741231699929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6.6</v>
      </c>
      <c r="CT85" s="13">
        <f>IF('Données projet'!$A$140&gt;35,CT84+CS85-DB84,IF(A85&lt;'Données projet'!$A$140,$CQ$205^A85,IF(A85='Données projet'!$A$140,'Données projet'!$B$140,CT84+CS85-DB84)))</f>
        <v>333.20000000000005</v>
      </c>
      <c r="CU85" s="18">
        <f>CT85*VLOOKUP('Données projet'!$B$13,Paramètres!$A$1:$I$89,3,0)*VLOOKUP('Données projet'!$B$13,Paramètres!$A$1:$I$89,5,0)</f>
        <v>280.68768000000006</v>
      </c>
      <c r="CV85" s="14">
        <f t="shared" si="95"/>
        <v>67.11231467966806</v>
      </c>
      <c r="CW85" s="22">
        <f t="shared" si="67"/>
        <v>605.75165740042189</v>
      </c>
      <c r="CX85" s="60">
        <f t="shared" si="68"/>
        <v>899.08499073375515</v>
      </c>
      <c r="CY85" s="60">
        <f ca="1">AVERAGE(OFFSET($CX$3,0,0,'Données projet'!$E$13+1,1))-AVERAGE(OFFSET($H$3,0,0,'Données projet'!$E$13+1,1))</f>
        <v>495.77338291316386</v>
      </c>
      <c r="CZ85" s="60">
        <f t="shared" si="96"/>
        <v>261.95434270986397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3.8</v>
      </c>
      <c r="DO85" s="13">
        <f>IF('Données projet'!$A$166&gt;35,DO84+DN85-DW84,IF(A85&lt;'Données projet'!$A$166,$DL$205^A85,IF(A85='Données projet'!$A$166,'Données projet'!$B$166,DO84+DN85-DW84)))</f>
        <v>235.60000000000014</v>
      </c>
      <c r="DP85" s="18">
        <f>DO85*VLOOKUP('Données projet'!$B$14,Paramètres!$A$1:$I$89,3,0)*VLOOKUP('Données projet'!$B$14,Paramètres!$A$1:$I$89,5,0)</f>
        <v>154.3651200000001</v>
      </c>
      <c r="DQ85" s="14">
        <f t="shared" si="97"/>
        <v>39.568912624848309</v>
      </c>
      <c r="DR85" s="22">
        <f t="shared" si="70"/>
        <v>337.7684401549443</v>
      </c>
      <c r="DS85" s="60">
        <f t="shared" si="71"/>
        <v>631.10177348827756</v>
      </c>
      <c r="DT85" s="60">
        <f ca="1">AVERAGE(OFFSET($DS$3,0,0,'Données projet'!$E$14+1,1))-AVERAGE(OFFSET($H$3,0,0,'Données projet'!$E$14+1,1))</f>
        <v>275.11574966125522</v>
      </c>
      <c r="DU85" s="60">
        <f t="shared" si="98"/>
        <v>299.21520121860345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3.6</v>
      </c>
      <c r="N86" s="14">
        <f>IF('Données projet'!$A$36&gt;35,N85+M86-V85,IF(A86&lt;'Données projet'!$A$36,$K$205^A86,IF(A86='Données projet'!$A$36,'Données projet'!$B$36,N85+M86-V85)))</f>
        <v>240.8</v>
      </c>
      <c r="O86" s="14">
        <f>N86*VLOOKUP('Données projet'!$B$9,Paramètres!$A$1:$I$89,3,0)*VLOOKUP('Données projet'!$B$9,Paramètres!$A$1:$I$89,5,0)</f>
        <v>210.36288000000002</v>
      </c>
      <c r="P86" s="14">
        <f t="shared" si="87"/>
        <v>52.014876138342963</v>
      </c>
      <c r="Q86" s="22">
        <f t="shared" si="54"/>
        <v>456.97459194094728</v>
      </c>
      <c r="R86" s="60">
        <f t="shared" si="55"/>
        <v>750.30792527428059</v>
      </c>
      <c r="S86" s="60">
        <f ca="1">AVERAGE(OFFSET($R$3,0,0,'Données projet'!$E$9+1,1))-AVERAGE(OFFSET($H$3,0,0,'Données projet'!$E$9+1,1))</f>
        <v>369.34989412920129</v>
      </c>
      <c r="T86" s="60">
        <f t="shared" si="88"/>
        <v>371.26234252426553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-1.8089849618263545E-13</v>
      </c>
      <c r="AK86" s="14" t="e">
        <f t="shared" si="89"/>
        <v>#NUM!</v>
      </c>
      <c r="AL86" s="22" t="e">
        <f t="shared" si="58"/>
        <v>#NUM!</v>
      </c>
      <c r="AM86" s="60" t="e">
        <f t="shared" si="59"/>
        <v>#NUM!</v>
      </c>
      <c r="AN86" s="60">
        <f ca="1">AVERAGE(OFFSET($AM$3,0,0,'Données projet'!$E$10+1,1))-AVERAGE(OFFSET($H$3,0,0,'Données projet'!$E$10+1,1))</f>
        <v>370.79299728190904</v>
      </c>
      <c r="AO86" s="60">
        <f t="shared" si="90"/>
        <v>404.95703400805775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-1.6671037883497774E-13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344.63665697794022</v>
      </c>
      <c r="BJ86" s="60">
        <f t="shared" si="92"/>
        <v>376.72762011188041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6.6</v>
      </c>
      <c r="BY86" s="13">
        <f>IF('Données projet'!$A$114&gt;35,BY85+BX86-CG85,IF(A86&lt;'Données projet'!$A$114,$BV$205^A86,IF(A86='Données projet'!$A$114,'Données projet'!$B$114,BY85+BX86-CG85)))</f>
        <v>339.80000000000007</v>
      </c>
      <c r="BZ86" s="14">
        <f>BY86*VLOOKUP('Données projet'!$B$12,Paramètres!$A$1:$I$89,3,0)*VLOOKUP('Données projet'!$B$12,Paramètres!$A$1:$I$89,5,0)</f>
        <v>307.45104000000003</v>
      </c>
      <c r="CA86" s="14">
        <f t="shared" si="93"/>
        <v>72.736250347470119</v>
      </c>
      <c r="CB86" s="22">
        <f t="shared" si="64"/>
        <v>662.15953068851047</v>
      </c>
      <c r="CC86" s="60">
        <f t="shared" si="65"/>
        <v>955.49286402184384</v>
      </c>
      <c r="CD86" s="60">
        <f ca="1">AVERAGE(OFFSET($CC$3,0,0,'Données projet'!$E$12+1,1))-AVERAGE(OFFSET($H$3,0,0,'Données projet'!$E$12+1,1))</f>
        <v>529.25712986118265</v>
      </c>
      <c r="CE86" s="60">
        <f t="shared" si="94"/>
        <v>278.21741231699929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6.6</v>
      </c>
      <c r="CT86" s="13">
        <f>IF('Données projet'!$A$140&gt;35,CT85+CS86-DB85,IF(A86&lt;'Données projet'!$A$140,$CQ$205^A86,IF(A86='Données projet'!$A$140,'Données projet'!$B$140,CT85+CS86-DB85)))</f>
        <v>339.80000000000007</v>
      </c>
      <c r="CU86" s="18">
        <f>CT86*VLOOKUP('Données projet'!$B$13,Paramètres!$A$1:$I$89,3,0)*VLOOKUP('Données projet'!$B$13,Paramètres!$A$1:$I$89,5,0)</f>
        <v>286.24752000000007</v>
      </c>
      <c r="CV86" s="14">
        <f t="shared" si="95"/>
        <v>68.285589016924646</v>
      </c>
      <c r="CW86" s="22">
        <f t="shared" si="67"/>
        <v>617.47849820447721</v>
      </c>
      <c r="CX86" s="60">
        <f t="shared" si="68"/>
        <v>910.81183153781058</v>
      </c>
      <c r="CY86" s="60">
        <f ca="1">AVERAGE(OFFSET($CX$3,0,0,'Données projet'!$E$13+1,1))-AVERAGE(OFFSET($H$3,0,0,'Données projet'!$E$13+1,1))</f>
        <v>495.77338291316386</v>
      </c>
      <c r="CZ86" s="60">
        <f t="shared" si="96"/>
        <v>261.95434270986397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3.8</v>
      </c>
      <c r="DO86" s="13">
        <f>IF('Données projet'!$A$166&gt;35,DO85+DN86-DW85,IF(A86&lt;'Données projet'!$A$166,$DL$205^A86,IF(A86='Données projet'!$A$166,'Données projet'!$B$166,DO85+DN86-DW85)))</f>
        <v>239.40000000000015</v>
      </c>
      <c r="DP86" s="18">
        <f>DO86*VLOOKUP('Données projet'!$B$14,Paramètres!$A$1:$I$89,3,0)*VLOOKUP('Données projet'!$B$14,Paramètres!$A$1:$I$89,5,0)</f>
        <v>156.85488000000009</v>
      </c>
      <c r="DQ86" s="14">
        <f t="shared" si="97"/>
        <v>40.132307243083858</v>
      </c>
      <c r="DR86" s="22">
        <f t="shared" si="70"/>
        <v>343.08601778170447</v>
      </c>
      <c r="DS86" s="60">
        <f t="shared" si="71"/>
        <v>636.41935111503778</v>
      </c>
      <c r="DT86" s="60">
        <f ca="1">AVERAGE(OFFSET($DS$3,0,0,'Données projet'!$E$14+1,1))-AVERAGE(OFFSET($H$3,0,0,'Données projet'!$E$14+1,1))</f>
        <v>275.11574966125522</v>
      </c>
      <c r="DU86" s="60">
        <f t="shared" si="98"/>
        <v>299.21520121860345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3.6</v>
      </c>
      <c r="N87" s="14">
        <f>IF('Données projet'!$A$36&gt;35,N86+M87-V86,IF(A87&lt;'Données projet'!$A$36,$K$205^A87,IF(A87='Données projet'!$A$36,'Données projet'!$B$36,N86+M87-V86)))</f>
        <v>244.4</v>
      </c>
      <c r="O87" s="14">
        <f>N87*VLOOKUP('Données projet'!$B$9,Paramètres!$A$1:$I$89,3,0)*VLOOKUP('Données projet'!$B$9,Paramètres!$A$1:$I$89,5,0)</f>
        <v>213.50784000000002</v>
      </c>
      <c r="P87" s="14">
        <f t="shared" si="87"/>
        <v>52.701396365805124</v>
      </c>
      <c r="Q87" s="22">
        <f t="shared" si="54"/>
        <v>463.6477533371106</v>
      </c>
      <c r="R87" s="60">
        <f t="shared" si="55"/>
        <v>756.98108667044391</v>
      </c>
      <c r="S87" s="60">
        <f ca="1">AVERAGE(OFFSET($R$3,0,0,'Données projet'!$E$9+1,1))-AVERAGE(OFFSET($H$3,0,0,'Données projet'!$E$9+1,1))</f>
        <v>369.34989412920129</v>
      </c>
      <c r="T87" s="60">
        <f t="shared" si="88"/>
        <v>371.26234252426553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-1.8089849618263545E-13</v>
      </c>
      <c r="AK87" s="14" t="e">
        <f t="shared" si="89"/>
        <v>#NUM!</v>
      </c>
      <c r="AL87" s="22" t="e">
        <f t="shared" si="58"/>
        <v>#NUM!</v>
      </c>
      <c r="AM87" s="60" t="e">
        <f t="shared" si="59"/>
        <v>#NUM!</v>
      </c>
      <c r="AN87" s="60">
        <f ca="1">AVERAGE(OFFSET($AM$3,0,0,'Données projet'!$E$10+1,1))-AVERAGE(OFFSET($H$3,0,0,'Données projet'!$E$10+1,1))</f>
        <v>370.79299728190904</v>
      </c>
      <c r="AO87" s="60">
        <f t="shared" si="90"/>
        <v>404.95703400805775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-1.6671037883497774E-13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344.63665697794022</v>
      </c>
      <c r="BJ87" s="60">
        <f t="shared" si="92"/>
        <v>376.72762011188041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6.6</v>
      </c>
      <c r="BY87" s="13">
        <f>IF('Données projet'!$A$114&gt;35,BY86+BX87-CG86,IF(A87&lt;'Données projet'!$A$114,$BV$205^A87,IF(A87='Données projet'!$A$114,'Données projet'!$B$114,BY86+BX87-CG86)))</f>
        <v>346.40000000000009</v>
      </c>
      <c r="BZ87" s="14">
        <f>BY87*VLOOKUP('Données projet'!$B$12,Paramètres!$A$1:$I$89,3,0)*VLOOKUP('Données projet'!$B$12,Paramètres!$A$1:$I$89,5,0)</f>
        <v>313.42272000000008</v>
      </c>
      <c r="CA87" s="14">
        <f t="shared" si="93"/>
        <v>73.983172890008831</v>
      </c>
      <c r="CB87" s="22">
        <f t="shared" si="64"/>
        <v>674.73193011676551</v>
      </c>
      <c r="CC87" s="60">
        <f t="shared" si="65"/>
        <v>968.06526345009888</v>
      </c>
      <c r="CD87" s="60">
        <f ca="1">AVERAGE(OFFSET($CC$3,0,0,'Données projet'!$E$12+1,1))-AVERAGE(OFFSET($H$3,0,0,'Données projet'!$E$12+1,1))</f>
        <v>529.25712986118265</v>
      </c>
      <c r="CE87" s="60">
        <f t="shared" si="94"/>
        <v>278.21741231699929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6.6</v>
      </c>
      <c r="CT87" s="13">
        <f>IF('Données projet'!$A$140&gt;35,CT86+CS87-DB86,IF(A87&lt;'Données projet'!$A$140,$CQ$205^A87,IF(A87='Données projet'!$A$140,'Données projet'!$B$140,CT86+CS87-DB86)))</f>
        <v>346.40000000000009</v>
      </c>
      <c r="CU87" s="18">
        <f>CT87*VLOOKUP('Données projet'!$B$13,Paramètres!$A$1:$I$89,3,0)*VLOOKUP('Données projet'!$B$13,Paramètres!$A$1:$I$89,5,0)</f>
        <v>291.80736000000013</v>
      </c>
      <c r="CV87" s="14">
        <f t="shared" si="95"/>
        <v>69.456213566155327</v>
      </c>
      <c r="CW87" s="22">
        <f t="shared" si="67"/>
        <v>629.200723961054</v>
      </c>
      <c r="CX87" s="60">
        <f t="shared" si="68"/>
        <v>922.53405729438737</v>
      </c>
      <c r="CY87" s="60">
        <f ca="1">AVERAGE(OFFSET($CX$3,0,0,'Données projet'!$E$13+1,1))-AVERAGE(OFFSET($H$3,0,0,'Données projet'!$E$13+1,1))</f>
        <v>495.77338291316386</v>
      </c>
      <c r="CZ87" s="60">
        <f t="shared" si="96"/>
        <v>261.95434270986397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3.8</v>
      </c>
      <c r="DO87" s="13">
        <f>IF('Données projet'!$A$166&gt;35,DO86+DN87-DW86,IF(A87&lt;'Données projet'!$A$166,$DL$205^A87,IF(A87='Données projet'!$A$166,'Données projet'!$B$166,DO86+DN87-DW86)))</f>
        <v>243.20000000000016</v>
      </c>
      <c r="DP87" s="18">
        <f>DO87*VLOOKUP('Données projet'!$B$14,Paramètres!$A$1:$I$89,3,0)*VLOOKUP('Données projet'!$B$14,Paramètres!$A$1:$I$89,5,0)</f>
        <v>159.34464000000011</v>
      </c>
      <c r="DQ87" s="14">
        <f t="shared" si="97"/>
        <v>40.694661837553809</v>
      </c>
      <c r="DR87" s="22">
        <f t="shared" si="70"/>
        <v>348.40178403373972</v>
      </c>
      <c r="DS87" s="60">
        <f t="shared" si="71"/>
        <v>641.73511736707303</v>
      </c>
      <c r="DT87" s="60">
        <f ca="1">AVERAGE(OFFSET($DS$3,0,0,'Données projet'!$E$14+1,1))-AVERAGE(OFFSET($H$3,0,0,'Données projet'!$E$14+1,1))</f>
        <v>275.11574966125522</v>
      </c>
      <c r="DU87" s="60">
        <f t="shared" si="98"/>
        <v>299.21520121860345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248</v>
      </c>
      <c r="L88" s="13">
        <f>VLOOKUP(A88,'Données projet'!$A$35:$I$55,9,0)</f>
        <v>3.6</v>
      </c>
      <c r="M88" s="13">
        <f t="array" ref="M88">INDEX(L:L,MIN(IF(ISNUMBER(L88:L284),ROW(L88:L284),"")))</f>
        <v>3.6</v>
      </c>
      <c r="N88" s="14">
        <f>IF('Données projet'!$A$36&gt;35,N87+M88-V87,IF(A88&lt;'Données projet'!$A$36,$K$205^A88,IF(A88='Données projet'!$A$36,'Données projet'!$B$36,N87+M88-V87)))</f>
        <v>248</v>
      </c>
      <c r="O88" s="14">
        <f>N88*VLOOKUP('Données projet'!$B$9,Paramètres!$A$1:$I$89,3,0)*VLOOKUP('Données projet'!$B$9,Paramètres!$A$1:$I$89,5,0)</f>
        <v>216.65280000000004</v>
      </c>
      <c r="P88" s="14">
        <f t="shared" si="87"/>
        <v>53.38674047237982</v>
      </c>
      <c r="Q88" s="22">
        <f t="shared" si="54"/>
        <v>470.3188663227283</v>
      </c>
      <c r="R88" s="60">
        <f t="shared" si="55"/>
        <v>763.65219965606161</v>
      </c>
      <c r="S88" s="60">
        <f ca="1">AVERAGE(OFFSET($R$3,0,0,'Données projet'!$E$9+1,1))-AVERAGE(OFFSET($H$3,0,0,'Données projet'!$E$9+1,1))</f>
        <v>369.34989412920129</v>
      </c>
      <c r="T88" s="60">
        <f t="shared" si="88"/>
        <v>371.26234252426553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-1.8089849618263545E-13</v>
      </c>
      <c r="AK88" s="14" t="e">
        <f t="shared" si="89"/>
        <v>#NUM!</v>
      </c>
      <c r="AL88" s="22" t="e">
        <f t="shared" si="58"/>
        <v>#NUM!</v>
      </c>
      <c r="AM88" s="60" t="e">
        <f t="shared" si="59"/>
        <v>#NUM!</v>
      </c>
      <c r="AN88" s="60">
        <f ca="1">AVERAGE(OFFSET($AM$3,0,0,'Données projet'!$E$10+1,1))-AVERAGE(OFFSET($H$3,0,0,'Données projet'!$E$10+1,1))</f>
        <v>370.79299728190904</v>
      </c>
      <c r="AO88" s="60">
        <f t="shared" si="90"/>
        <v>404.95703400805775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-1.6671037883497774E-13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344.63665697794022</v>
      </c>
      <c r="BJ88" s="60">
        <f t="shared" si="92"/>
        <v>376.72762011188041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6.6</v>
      </c>
      <c r="BY88" s="13">
        <f>IF('Données projet'!$A$114&gt;35,BY87+BX88-CG87,IF(A88&lt;'Données projet'!$A$114,$BV$205^A88,IF(A88='Données projet'!$A$114,'Données projet'!$B$114,BY87+BX88-CG87)))</f>
        <v>353.00000000000011</v>
      </c>
      <c r="BZ88" s="14">
        <f>BY88*VLOOKUP('Données projet'!$B$12,Paramètres!$A$1:$I$89,3,0)*VLOOKUP('Données projet'!$B$12,Paramètres!$A$1:$I$89,5,0)</f>
        <v>319.39440000000013</v>
      </c>
      <c r="CA88" s="14">
        <f t="shared" si="93"/>
        <v>75.227332916620099</v>
      </c>
      <c r="CB88" s="22">
        <f t="shared" si="64"/>
        <v>687.29951816311348</v>
      </c>
      <c r="CC88" s="60">
        <f t="shared" si="65"/>
        <v>980.63285149644685</v>
      </c>
      <c r="CD88" s="60">
        <f ca="1">AVERAGE(OFFSET($CC$3,0,0,'Données projet'!$E$12+1,1))-AVERAGE(OFFSET($H$3,0,0,'Données projet'!$E$12+1,1))</f>
        <v>529.25712986118265</v>
      </c>
      <c r="CE88" s="60">
        <f t="shared" si="94"/>
        <v>278.21741231699929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6.6</v>
      </c>
      <c r="CT88" s="13">
        <f>IF('Données projet'!$A$140&gt;35,CT87+CS88-DB87,IF(A88&lt;'Données projet'!$A$140,$CQ$205^A88,IF(A88='Données projet'!$A$140,'Données projet'!$B$140,CT87+CS88-DB87)))</f>
        <v>353.00000000000011</v>
      </c>
      <c r="CU88" s="18">
        <f>CT88*VLOOKUP('Données projet'!$B$13,Paramètres!$A$1:$I$89,3,0)*VLOOKUP('Données projet'!$B$13,Paramètres!$A$1:$I$89,5,0)</f>
        <v>297.36720000000008</v>
      </c>
      <c r="CV88" s="14">
        <f t="shared" si="95"/>
        <v>70.624244635156032</v>
      </c>
      <c r="CW88" s="22">
        <f t="shared" si="67"/>
        <v>640.91843273956351</v>
      </c>
      <c r="CX88" s="60">
        <f t="shared" si="68"/>
        <v>934.25176607289677</v>
      </c>
      <c r="CY88" s="60">
        <f ca="1">AVERAGE(OFFSET($CX$3,0,0,'Données projet'!$E$13+1,1))-AVERAGE(OFFSET($H$3,0,0,'Données projet'!$E$13+1,1))</f>
        <v>495.77338291316386</v>
      </c>
      <c r="CZ88" s="60">
        <f t="shared" si="96"/>
        <v>261.95434270986397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247</v>
      </c>
      <c r="DM88" s="13">
        <f>VLOOKUP(A88,'Données projet'!$A$165:$I$185,9,0)</f>
        <v>3.8</v>
      </c>
      <c r="DN88" s="13">
        <f t="array" ref="DN88">INDEX(DM:DM,MIN(IF(ISNUMBER(DM88:DM284),ROW(DM88:DM284),"")))</f>
        <v>3.8</v>
      </c>
      <c r="DO88" s="13">
        <f>IF('Données projet'!$A$166&gt;35,DO87+DN88-DW87,IF(A88&lt;'Données projet'!$A$166,$DL$205^A88,IF(A88='Données projet'!$A$166,'Données projet'!$B$166,DO87+DN88-DW87)))</f>
        <v>247.00000000000017</v>
      </c>
      <c r="DP88" s="18">
        <f>DO88*VLOOKUP('Données projet'!$B$14,Paramètres!$A$1:$I$89,3,0)*VLOOKUP('Données projet'!$B$14,Paramètres!$A$1:$I$89,5,0)</f>
        <v>161.8344000000001</v>
      </c>
      <c r="DQ88" s="14">
        <f t="shared" si="97"/>
        <v>41.255994535170515</v>
      </c>
      <c r="DR88" s="22">
        <f t="shared" si="70"/>
        <v>353.71577048208883</v>
      </c>
      <c r="DS88" s="60">
        <f t="shared" si="71"/>
        <v>647.04910381542209</v>
      </c>
      <c r="DT88" s="60">
        <f ca="1">AVERAGE(OFFSET($DS$3,0,0,'Données projet'!$E$14+1,1))-AVERAGE(OFFSET($H$3,0,0,'Données projet'!$E$14+1,1))</f>
        <v>275.11574966125522</v>
      </c>
      <c r="DU88" s="60">
        <f t="shared" si="98"/>
        <v>299.21520121860345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</v>
      </c>
      <c r="N89" s="14">
        <f>IF('Données projet'!$A$36&gt;35,N88+M89-V88,IF(A89&lt;'Données projet'!$A$36,$K$205^A89,IF(A89='Données projet'!$A$36,'Données projet'!$B$36,N88+M89-V88)))</f>
        <v>251</v>
      </c>
      <c r="O89" s="14">
        <f>N89*VLOOKUP('Données projet'!$B$9,Paramètres!$A$1:$I$89,3,0)*VLOOKUP('Données projet'!$B$9,Paramètres!$A$1:$I$89,5,0)</f>
        <v>219.27360000000002</v>
      </c>
      <c r="P89" s="14">
        <f t="shared" si="87"/>
        <v>53.956975893220125</v>
      </c>
      <c r="Q89" s="22">
        <f t="shared" si="54"/>
        <v>475.8765863473584</v>
      </c>
      <c r="R89" s="60">
        <f t="shared" si="55"/>
        <v>769.20991968069166</v>
      </c>
      <c r="S89" s="60">
        <f ca="1">AVERAGE(OFFSET($R$3,0,0,'Données projet'!$E$9+1,1))-AVERAGE(OFFSET($H$3,0,0,'Données projet'!$E$9+1,1))</f>
        <v>369.34989412920129</v>
      </c>
      <c r="T89" s="60">
        <f t="shared" si="88"/>
        <v>371.26234252426553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-1.8089849618263545E-13</v>
      </c>
      <c r="AK89" s="14" t="e">
        <f t="shared" si="89"/>
        <v>#NUM!</v>
      </c>
      <c r="AL89" s="22" t="e">
        <f t="shared" si="58"/>
        <v>#NUM!</v>
      </c>
      <c r="AM89" s="60" t="e">
        <f t="shared" si="59"/>
        <v>#NUM!</v>
      </c>
      <c r="AN89" s="60">
        <f ca="1">AVERAGE(OFFSET($AM$3,0,0,'Données projet'!$E$10+1,1))-AVERAGE(OFFSET($H$3,0,0,'Données projet'!$E$10+1,1))</f>
        <v>370.79299728190904</v>
      </c>
      <c r="AO89" s="60">
        <f t="shared" si="90"/>
        <v>404.95703400805775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-1.6671037883497774E-13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344.63665697794022</v>
      </c>
      <c r="BJ89" s="60">
        <f t="shared" si="92"/>
        <v>376.72762011188041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6.6</v>
      </c>
      <c r="BY89" s="13">
        <f>IF('Données projet'!$A$114&gt;35,BY88+BX89-CG88,IF(A89&lt;'Données projet'!$A$114,$BV$205^A89,IF(A89='Données projet'!$A$114,'Données projet'!$B$114,BY88+BX89-CG88)))</f>
        <v>359.60000000000014</v>
      </c>
      <c r="BZ89" s="14">
        <f>BY89*VLOOKUP('Données projet'!$B$12,Paramètres!$A$1:$I$89,3,0)*VLOOKUP('Données projet'!$B$12,Paramètres!$A$1:$I$89,5,0)</f>
        <v>325.36608000000012</v>
      </c>
      <c r="CA89" s="14">
        <f t="shared" si="93"/>
        <v>76.468788033923758</v>
      </c>
      <c r="CB89" s="22">
        <f t="shared" si="64"/>
        <v>699.86239515908403</v>
      </c>
      <c r="CC89" s="60">
        <f t="shared" si="65"/>
        <v>993.1957284924174</v>
      </c>
      <c r="CD89" s="60">
        <f ca="1">AVERAGE(OFFSET($CC$3,0,0,'Données projet'!$E$12+1,1))-AVERAGE(OFFSET($H$3,0,0,'Données projet'!$E$12+1,1))</f>
        <v>529.25712986118265</v>
      </c>
      <c r="CE89" s="60">
        <f t="shared" si="94"/>
        <v>278.21741231699929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6.6</v>
      </c>
      <c r="CT89" s="13">
        <f>IF('Données projet'!$A$140&gt;35,CT88+CS89-DB88,IF(A89&lt;'Données projet'!$A$140,$CQ$205^A89,IF(A89='Données projet'!$A$140,'Données projet'!$B$140,CT88+CS89-DB88)))</f>
        <v>359.60000000000014</v>
      </c>
      <c r="CU89" s="18">
        <f>CT89*VLOOKUP('Données projet'!$B$13,Paramètres!$A$1:$I$89,3,0)*VLOOKUP('Données projet'!$B$13,Paramètres!$A$1:$I$89,5,0)</f>
        <v>302.92704000000015</v>
      </c>
      <c r="CV89" s="14">
        <f t="shared" si="95"/>
        <v>71.789736305653022</v>
      </c>
      <c r="CW89" s="22">
        <f t="shared" si="67"/>
        <v>652.63171873234603</v>
      </c>
      <c r="CX89" s="60">
        <f t="shared" si="68"/>
        <v>945.9650520656794</v>
      </c>
      <c r="CY89" s="60">
        <f ca="1">AVERAGE(OFFSET($CX$3,0,0,'Données projet'!$E$13+1,1))-AVERAGE(OFFSET($H$3,0,0,'Données projet'!$E$13+1,1))</f>
        <v>495.77338291316386</v>
      </c>
      <c r="CZ89" s="60">
        <f t="shared" si="96"/>
        <v>261.95434270986397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3.6</v>
      </c>
      <c r="DO89" s="13">
        <f>IF('Données projet'!$A$166&gt;35,DO88+DN89-DW88,IF(A89&lt;'Données projet'!$A$166,$DL$205^A89,IF(A89='Données projet'!$A$166,'Données projet'!$B$166,DO88+DN89-DW88)))</f>
        <v>250.60000000000016</v>
      </c>
      <c r="DP89" s="18">
        <f>DO89*VLOOKUP('Données projet'!$B$14,Paramètres!$A$1:$I$89,3,0)*VLOOKUP('Données projet'!$B$14,Paramètres!$A$1:$I$89,5,0)</f>
        <v>164.19312000000011</v>
      </c>
      <c r="DQ89" s="14">
        <f t="shared" si="97"/>
        <v>41.786856670339013</v>
      </c>
      <c r="DR89" s="22">
        <f t="shared" si="70"/>
        <v>358.74845936750722</v>
      </c>
      <c r="DS89" s="60">
        <f t="shared" si="71"/>
        <v>652.08179270084054</v>
      </c>
      <c r="DT89" s="60">
        <f ca="1">AVERAGE(OFFSET($DS$3,0,0,'Données projet'!$E$14+1,1))-AVERAGE(OFFSET($H$3,0,0,'Données projet'!$E$14+1,1))</f>
        <v>275.11574966125522</v>
      </c>
      <c r="DU89" s="60">
        <f t="shared" si="98"/>
        <v>299.21520121860345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</v>
      </c>
      <c r="N90" s="14">
        <f>IF('Données projet'!$A$36&gt;35,N89+M90-V89,IF(A90&lt;'Données projet'!$A$36,$K$205^A90,IF(A90='Données projet'!$A$36,'Données projet'!$B$36,N89+M90-V89)))</f>
        <v>254</v>
      </c>
      <c r="O90" s="14">
        <f>N90*VLOOKUP('Données projet'!$B$9,Paramètres!$A$1:$I$89,3,0)*VLOOKUP('Données projet'!$B$9,Paramètres!$A$1:$I$89,5,0)</f>
        <v>221.89440000000002</v>
      </c>
      <c r="P90" s="14">
        <f t="shared" si="87"/>
        <v>54.526418514188897</v>
      </c>
      <c r="Q90" s="22">
        <f t="shared" si="54"/>
        <v>481.43292557887906</v>
      </c>
      <c r="R90" s="60">
        <f t="shared" si="55"/>
        <v>774.76625891221238</v>
      </c>
      <c r="S90" s="60">
        <f ca="1">AVERAGE(OFFSET($R$3,0,0,'Données projet'!$E$9+1,1))-AVERAGE(OFFSET($H$3,0,0,'Données projet'!$E$9+1,1))</f>
        <v>369.34989412920129</v>
      </c>
      <c r="T90" s="60">
        <f t="shared" si="88"/>
        <v>371.26234252426553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-1.8089849618263545E-13</v>
      </c>
      <c r="AK90" s="14" t="e">
        <f t="shared" si="89"/>
        <v>#NUM!</v>
      </c>
      <c r="AL90" s="22" t="e">
        <f t="shared" si="58"/>
        <v>#NUM!</v>
      </c>
      <c r="AM90" s="60" t="e">
        <f t="shared" si="59"/>
        <v>#NUM!</v>
      </c>
      <c r="AN90" s="60">
        <f ca="1">AVERAGE(OFFSET($AM$3,0,0,'Données projet'!$E$10+1,1))-AVERAGE(OFFSET($H$3,0,0,'Données projet'!$E$10+1,1))</f>
        <v>370.79299728190904</v>
      </c>
      <c r="AO90" s="60">
        <f t="shared" si="90"/>
        <v>404.95703400805775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-1.6671037883497774E-13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344.63665697794022</v>
      </c>
      <c r="BJ90" s="60">
        <f t="shared" si="92"/>
        <v>376.72762011188041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6.6</v>
      </c>
      <c r="BY90" s="13">
        <f>IF('Données projet'!$A$114&gt;35,BY89+BX90-CG89,IF(A90&lt;'Données projet'!$A$114,$BV$205^A90,IF(A90='Données projet'!$A$114,'Données projet'!$B$114,BY89+BX90-CG89)))</f>
        <v>366.20000000000016</v>
      </c>
      <c r="BZ90" s="14">
        <f>BY90*VLOOKUP('Données projet'!$B$12,Paramètres!$A$1:$I$89,3,0)*VLOOKUP('Données projet'!$B$12,Paramètres!$A$1:$I$89,5,0)</f>
        <v>331.33776000000012</v>
      </c>
      <c r="CA90" s="14">
        <f t="shared" si="93"/>
        <v>77.707593612890619</v>
      </c>
      <c r="CB90" s="22">
        <f t="shared" si="64"/>
        <v>712.42065754245129</v>
      </c>
      <c r="CC90" s="60">
        <f t="shared" si="65"/>
        <v>1005.7539908757847</v>
      </c>
      <c r="CD90" s="60">
        <f ca="1">AVERAGE(OFFSET($CC$3,0,0,'Données projet'!$E$12+1,1))-AVERAGE(OFFSET($H$3,0,0,'Données projet'!$E$12+1,1))</f>
        <v>529.25712986118265</v>
      </c>
      <c r="CE90" s="60">
        <f t="shared" si="94"/>
        <v>278.21741231699929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6.6</v>
      </c>
      <c r="CT90" s="13">
        <f>IF('Données projet'!$A$140&gt;35,CT89+CS90-DB89,IF(A90&lt;'Données projet'!$A$140,$CQ$205^A90,IF(A90='Données projet'!$A$140,'Données projet'!$B$140,CT89+CS90-DB89)))</f>
        <v>366.20000000000016</v>
      </c>
      <c r="CU90" s="18">
        <f>CT90*VLOOKUP('Données projet'!$B$13,Paramètres!$A$1:$I$89,3,0)*VLOOKUP('Données projet'!$B$13,Paramètres!$A$1:$I$89,5,0)</f>
        <v>308.48688000000016</v>
      </c>
      <c r="CV90" s="14">
        <f t="shared" si="95"/>
        <v>72.952740560520368</v>
      </c>
      <c r="CW90" s="22">
        <f t="shared" si="67"/>
        <v>664.34067247624</v>
      </c>
      <c r="CX90" s="60">
        <f t="shared" si="68"/>
        <v>957.67400580957337</v>
      </c>
      <c r="CY90" s="60">
        <f ca="1">AVERAGE(OFFSET($CX$3,0,0,'Données projet'!$E$13+1,1))-AVERAGE(OFFSET($H$3,0,0,'Données projet'!$E$13+1,1))</f>
        <v>495.77338291316386</v>
      </c>
      <c r="CZ90" s="60">
        <f t="shared" si="96"/>
        <v>261.95434270986397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3.6</v>
      </c>
      <c r="DO90" s="13">
        <f>IF('Données projet'!$A$166&gt;35,DO89+DN90-DW89,IF(A90&lt;'Données projet'!$A$166,$DL$205^A90,IF(A90='Données projet'!$A$166,'Données projet'!$B$166,DO89+DN90-DW89)))</f>
        <v>254.20000000000016</v>
      </c>
      <c r="DP90" s="18">
        <f>DO90*VLOOKUP('Données projet'!$B$14,Paramètres!$A$1:$I$89,3,0)*VLOOKUP('Données projet'!$B$14,Paramètres!$A$1:$I$89,5,0)</f>
        <v>166.55184000000011</v>
      </c>
      <c r="DQ90" s="14">
        <f t="shared" si="97"/>
        <v>42.316831835556208</v>
      </c>
      <c r="DR90" s="22">
        <f t="shared" si="70"/>
        <v>363.77960344692724</v>
      </c>
      <c r="DS90" s="60">
        <f t="shared" si="71"/>
        <v>657.1129367802605</v>
      </c>
      <c r="DT90" s="60">
        <f ca="1">AVERAGE(OFFSET($DS$3,0,0,'Données projet'!$E$14+1,1))-AVERAGE(OFFSET($H$3,0,0,'Données projet'!$E$14+1,1))</f>
        <v>275.11574966125522</v>
      </c>
      <c r="DU90" s="60">
        <f t="shared" si="98"/>
        <v>299.21520121860345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</v>
      </c>
      <c r="N91" s="14">
        <f>IF('Données projet'!$A$36&gt;35,N90+M91-V90,IF(A91&lt;'Données projet'!$A$36,$K$205^A91,IF(A91='Données projet'!$A$36,'Données projet'!$B$36,N90+M91-V90)))</f>
        <v>257</v>
      </c>
      <c r="O91" s="14">
        <f>N91*VLOOKUP('Données projet'!$B$9,Paramètres!$A$1:$I$89,3,0)*VLOOKUP('Données projet'!$B$9,Paramètres!$A$1:$I$89,5,0)</f>
        <v>224.51520000000002</v>
      </c>
      <c r="P91" s="14">
        <f t="shared" si="87"/>
        <v>55.095078782313543</v>
      </c>
      <c r="Q91" s="22">
        <f t="shared" si="54"/>
        <v>486.98790221252949</v>
      </c>
      <c r="R91" s="60">
        <f t="shared" si="55"/>
        <v>780.32123554586281</v>
      </c>
      <c r="S91" s="60">
        <f ca="1">AVERAGE(OFFSET($R$3,0,0,'Données projet'!$E$9+1,1))-AVERAGE(OFFSET($H$3,0,0,'Données projet'!$E$9+1,1))</f>
        <v>369.34989412920129</v>
      </c>
      <c r="T91" s="60">
        <f t="shared" si="88"/>
        <v>371.26234252426553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-1.8089849618263545E-13</v>
      </c>
      <c r="AK91" s="14" t="e">
        <f t="shared" si="89"/>
        <v>#NUM!</v>
      </c>
      <c r="AL91" s="22" t="e">
        <f t="shared" si="58"/>
        <v>#NUM!</v>
      </c>
      <c r="AM91" s="60" t="e">
        <f t="shared" si="59"/>
        <v>#NUM!</v>
      </c>
      <c r="AN91" s="60">
        <f ca="1">AVERAGE(OFFSET($AM$3,0,0,'Données projet'!$E$10+1,1))-AVERAGE(OFFSET($H$3,0,0,'Données projet'!$E$10+1,1))</f>
        <v>370.79299728190904</v>
      </c>
      <c r="AO91" s="60">
        <f t="shared" si="90"/>
        <v>404.95703400805775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-1.6671037883497774E-13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344.63665697794022</v>
      </c>
      <c r="BJ91" s="60">
        <f t="shared" si="92"/>
        <v>376.72762011188041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6.6</v>
      </c>
      <c r="BY91" s="13">
        <f>IF('Données projet'!$A$114&gt;35,BY90+BX91-CG90,IF(A91&lt;'Données projet'!$A$114,$BV$205^A91,IF(A91='Données projet'!$A$114,'Données projet'!$B$114,BY90+BX91-CG90)))</f>
        <v>372.80000000000018</v>
      </c>
      <c r="BZ91" s="14">
        <f>BY91*VLOOKUP('Données projet'!$B$12,Paramètres!$A$1:$I$89,3,0)*VLOOKUP('Données projet'!$B$12,Paramètres!$A$1:$I$89,5,0)</f>
        <v>337.30944000000017</v>
      </c>
      <c r="CA91" s="14">
        <f t="shared" si="93"/>
        <v>78.943802914307284</v>
      </c>
      <c r="CB91" s="22">
        <f t="shared" si="64"/>
        <v>724.97439807575211</v>
      </c>
      <c r="CC91" s="60">
        <f t="shared" si="65"/>
        <v>1018.3077314090854</v>
      </c>
      <c r="CD91" s="60">
        <f ca="1">AVERAGE(OFFSET($CC$3,0,0,'Données projet'!$E$12+1,1))-AVERAGE(OFFSET($H$3,0,0,'Données projet'!$E$12+1,1))</f>
        <v>529.25712986118265</v>
      </c>
      <c r="CE91" s="60">
        <f t="shared" si="94"/>
        <v>278.21741231699929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6.6</v>
      </c>
      <c r="CT91" s="13">
        <f>IF('Données projet'!$A$140&gt;35,CT90+CS91-DB90,IF(A91&lt;'Données projet'!$A$140,$CQ$205^A91,IF(A91='Données projet'!$A$140,'Données projet'!$B$140,CT90+CS91-DB90)))</f>
        <v>372.80000000000018</v>
      </c>
      <c r="CU91" s="18">
        <f>CT91*VLOOKUP('Données projet'!$B$13,Paramètres!$A$1:$I$89,3,0)*VLOOKUP('Données projet'!$B$13,Paramètres!$A$1:$I$89,5,0)</f>
        <v>314.04672000000022</v>
      </c>
      <c r="CV91" s="14">
        <f t="shared" si="95"/>
        <v>74.113307401568349</v>
      </c>
      <c r="CW91" s="22">
        <f t="shared" si="67"/>
        <v>676.0453810577319</v>
      </c>
      <c r="CX91" s="60">
        <f t="shared" si="68"/>
        <v>969.37871439106516</v>
      </c>
      <c r="CY91" s="60">
        <f ca="1">AVERAGE(OFFSET($CX$3,0,0,'Données projet'!$E$13+1,1))-AVERAGE(OFFSET($H$3,0,0,'Données projet'!$E$13+1,1))</f>
        <v>495.77338291316386</v>
      </c>
      <c r="CZ91" s="60">
        <f t="shared" si="96"/>
        <v>261.95434270986397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3.6</v>
      </c>
      <c r="DO91" s="13">
        <f>IF('Données projet'!$A$166&gt;35,DO90+DN91-DW90,IF(A91&lt;'Données projet'!$A$166,$DL$205^A91,IF(A91='Données projet'!$A$166,'Données projet'!$B$166,DO90+DN91-DW90)))</f>
        <v>257.80000000000018</v>
      </c>
      <c r="DP91" s="18">
        <f>DO91*VLOOKUP('Données projet'!$B$14,Paramètres!$A$1:$I$89,3,0)*VLOOKUP('Données projet'!$B$14,Paramètres!$A$1:$I$89,5,0)</f>
        <v>168.91056000000012</v>
      </c>
      <c r="DQ91" s="14">
        <f t="shared" si="97"/>
        <v>42.845934043689084</v>
      </c>
      <c r="DR91" s="22">
        <f t="shared" si="70"/>
        <v>368.80922712609203</v>
      </c>
      <c r="DS91" s="60">
        <f t="shared" si="71"/>
        <v>662.14256045942534</v>
      </c>
      <c r="DT91" s="60">
        <f ca="1">AVERAGE(OFFSET($DS$3,0,0,'Données projet'!$E$14+1,1))-AVERAGE(OFFSET($H$3,0,0,'Données projet'!$E$14+1,1))</f>
        <v>275.11574966125522</v>
      </c>
      <c r="DU91" s="60">
        <f t="shared" si="98"/>
        <v>299.21520121860345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</v>
      </c>
      <c r="N92" s="14">
        <f>IF('Données projet'!$A$36&gt;35,N91+M92-V91,IF(A92&lt;'Données projet'!$A$36,$K$205^A92,IF(A92='Données projet'!$A$36,'Données projet'!$B$36,N91+M92-V91)))</f>
        <v>260</v>
      </c>
      <c r="O92" s="14">
        <f>N92*VLOOKUP('Données projet'!$B$9,Paramètres!$A$1:$I$89,3,0)*VLOOKUP('Données projet'!$B$9,Paramètres!$A$1:$I$89,5,0)</f>
        <v>227.13600000000005</v>
      </c>
      <c r="P92" s="14">
        <f t="shared" si="87"/>
        <v>55.662966886685133</v>
      </c>
      <c r="Q92" s="22">
        <f t="shared" si="54"/>
        <v>492.54153399430999</v>
      </c>
      <c r="R92" s="60">
        <f t="shared" si="55"/>
        <v>785.8748673276433</v>
      </c>
      <c r="S92" s="60">
        <f ca="1">AVERAGE(OFFSET($R$3,0,0,'Données projet'!$E$9+1,1))-AVERAGE(OFFSET($H$3,0,0,'Données projet'!$E$9+1,1))</f>
        <v>369.34989412920129</v>
      </c>
      <c r="T92" s="60">
        <f t="shared" si="88"/>
        <v>371.26234252426553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-1.8089849618263545E-13</v>
      </c>
      <c r="AK92" s="14" t="e">
        <f t="shared" si="89"/>
        <v>#NUM!</v>
      </c>
      <c r="AL92" s="22" t="e">
        <f t="shared" si="58"/>
        <v>#NUM!</v>
      </c>
      <c r="AM92" s="60" t="e">
        <f t="shared" si="59"/>
        <v>#NUM!</v>
      </c>
      <c r="AN92" s="60">
        <f ca="1">AVERAGE(OFFSET($AM$3,0,0,'Données projet'!$E$10+1,1))-AVERAGE(OFFSET($H$3,0,0,'Données projet'!$E$10+1,1))</f>
        <v>370.79299728190904</v>
      </c>
      <c r="AO92" s="60">
        <f t="shared" si="90"/>
        <v>404.95703400805775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-1.6671037883497774E-13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344.63665697794022</v>
      </c>
      <c r="BJ92" s="60">
        <f t="shared" si="92"/>
        <v>376.72762011188041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6.6</v>
      </c>
      <c r="BY92" s="13">
        <f>IF('Données projet'!$A$114&gt;35,BY91+BX92-CG91,IF(A92&lt;'Données projet'!$A$114,$BV$205^A92,IF(A92='Données projet'!$A$114,'Données projet'!$B$114,BY91+BX92-CG91)))</f>
        <v>379.4000000000002</v>
      </c>
      <c r="BZ92" s="14">
        <f>BY92*VLOOKUP('Données projet'!$B$12,Paramètres!$A$1:$I$89,3,0)*VLOOKUP('Données projet'!$B$12,Paramètres!$A$1:$I$89,5,0)</f>
        <v>343.28112000000016</v>
      </c>
      <c r="CA92" s="14">
        <f t="shared" si="93"/>
        <v>80.17746720510398</v>
      </c>
      <c r="CB92" s="22">
        <f t="shared" si="64"/>
        <v>737.52370604888972</v>
      </c>
      <c r="CC92" s="60">
        <f t="shared" si="65"/>
        <v>1030.8570393822231</v>
      </c>
      <c r="CD92" s="60">
        <f ca="1">AVERAGE(OFFSET($CC$3,0,0,'Données projet'!$E$12+1,1))-AVERAGE(OFFSET($H$3,0,0,'Données projet'!$E$12+1,1))</f>
        <v>529.25712986118265</v>
      </c>
      <c r="CE92" s="60">
        <f t="shared" si="94"/>
        <v>278.21741231699929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6.6</v>
      </c>
      <c r="CT92" s="13">
        <f>IF('Données projet'!$A$140&gt;35,CT91+CS92-DB91,IF(A92&lt;'Données projet'!$A$140,$CQ$205^A92,IF(A92='Données projet'!$A$140,'Données projet'!$B$140,CT91+CS92-DB91)))</f>
        <v>379.4000000000002</v>
      </c>
      <c r="CU92" s="18">
        <f>CT92*VLOOKUP('Données projet'!$B$13,Paramètres!$A$1:$I$89,3,0)*VLOOKUP('Données projet'!$B$13,Paramètres!$A$1:$I$89,5,0)</f>
        <v>319.60656000000017</v>
      </c>
      <c r="CV92" s="14">
        <f t="shared" si="95"/>
        <v>75.271484958752922</v>
      </c>
      <c r="CW92" s="22">
        <f t="shared" si="67"/>
        <v>687.74592830316158</v>
      </c>
      <c r="CX92" s="60">
        <f t="shared" si="68"/>
        <v>981.07926163649495</v>
      </c>
      <c r="CY92" s="60">
        <f ca="1">AVERAGE(OFFSET($CX$3,0,0,'Données projet'!$E$13+1,1))-AVERAGE(OFFSET($H$3,0,0,'Données projet'!$E$13+1,1))</f>
        <v>495.77338291316386</v>
      </c>
      <c r="CZ92" s="60">
        <f t="shared" si="96"/>
        <v>261.95434270986397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3.6</v>
      </c>
      <c r="DO92" s="13">
        <f>IF('Données projet'!$A$166&gt;35,DO91+DN92-DW91,IF(A92&lt;'Données projet'!$A$166,$DL$205^A92,IF(A92='Données projet'!$A$166,'Données projet'!$B$166,DO91+DN92-DW91)))</f>
        <v>261.4000000000002</v>
      </c>
      <c r="DP92" s="18">
        <f>DO92*VLOOKUP('Données projet'!$B$14,Paramètres!$A$1:$I$89,3,0)*VLOOKUP('Données projet'!$B$14,Paramètres!$A$1:$I$89,5,0)</f>
        <v>171.26928000000012</v>
      </c>
      <c r="DQ92" s="14">
        <f t="shared" si="97"/>
        <v>43.374176893763611</v>
      </c>
      <c r="DR92" s="22">
        <f t="shared" si="70"/>
        <v>373.83735408997183</v>
      </c>
      <c r="DS92" s="60">
        <f t="shared" si="71"/>
        <v>667.17068742330514</v>
      </c>
      <c r="DT92" s="60">
        <f ca="1">AVERAGE(OFFSET($DS$3,0,0,'Données projet'!$E$14+1,1))-AVERAGE(OFFSET($H$3,0,0,'Données projet'!$E$14+1,1))</f>
        <v>275.11574966125522</v>
      </c>
      <c r="DU92" s="60">
        <f t="shared" si="98"/>
        <v>299.21520121860345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263</v>
      </c>
      <c r="L93" s="13">
        <f>VLOOKUP(A93,'Données projet'!$A$35:$I$55,9,0)</f>
        <v>3</v>
      </c>
      <c r="M93" s="13">
        <f t="array" ref="M93">INDEX(L:L,MIN(IF(ISNUMBER(L93:L289),ROW(L93:L289),"")))</f>
        <v>3</v>
      </c>
      <c r="N93" s="14">
        <f>IF('Données projet'!$A$36&gt;35,N92+M93-V92,IF(A93&lt;'Données projet'!$A$36,$K$205^A93,IF(A93='Données projet'!$A$36,'Données projet'!$B$36,N92+M93-V92)))</f>
        <v>263</v>
      </c>
      <c r="O93" s="14">
        <f>N93*VLOOKUP('Données projet'!$B$9,Paramètres!$A$1:$I$89,3,0)*VLOOKUP('Données projet'!$B$9,Paramètres!$A$1:$I$89,5,0)</f>
        <v>229.7568</v>
      </c>
      <c r="P93" s="14">
        <f t="shared" si="87"/>
        <v>56.23009276772752</v>
      </c>
      <c r="Q93" s="22">
        <f t="shared" si="54"/>
        <v>498.09383823712534</v>
      </c>
      <c r="R93" s="60">
        <f t="shared" si="55"/>
        <v>791.42717157045865</v>
      </c>
      <c r="S93" s="60">
        <f ca="1">AVERAGE(OFFSET($R$3,0,0,'Données projet'!$E$9+1,1))-AVERAGE(OFFSET($H$3,0,0,'Données projet'!$E$9+1,1))</f>
        <v>369.34989412920129</v>
      </c>
      <c r="T93" s="60">
        <f t="shared" si="88"/>
        <v>371.26234252426553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26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-1.8089849618263545E-13</v>
      </c>
      <c r="AK93" s="14" t="e">
        <f t="shared" si="89"/>
        <v>#NUM!</v>
      </c>
      <c r="AL93" s="22" t="e">
        <f t="shared" si="58"/>
        <v>#NUM!</v>
      </c>
      <c r="AM93" s="60" t="e">
        <f t="shared" si="59"/>
        <v>#NUM!</v>
      </c>
      <c r="AN93" s="60">
        <f ca="1">AVERAGE(OFFSET($AM$3,0,0,'Données projet'!$E$10+1,1))-AVERAGE(OFFSET($H$3,0,0,'Données projet'!$E$10+1,1))</f>
        <v>370.79299728190904</v>
      </c>
      <c r="AO93" s="60">
        <f t="shared" si="90"/>
        <v>404.95703400805775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-1.6671037883497774E-13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344.63665697794022</v>
      </c>
      <c r="BJ93" s="60">
        <f t="shared" si="92"/>
        <v>376.72762011188041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386</v>
      </c>
      <c r="BW93" s="13">
        <f>VLOOKUP(A93,'Données projet'!$A$113:$I$133,9,0)</f>
        <v>6.6</v>
      </c>
      <c r="BX93" s="13">
        <f t="array" ref="BX93">INDEX(BW:BW,MIN(IF(ISNUMBER(BW93:BW289),ROW(BW93:BW289),"")))</f>
        <v>6.6</v>
      </c>
      <c r="BY93" s="13">
        <f>IF('Données projet'!$A$114&gt;35,BY92+BX93-CG92,IF(A93&lt;'Données projet'!$A$114,$BV$205^A93,IF(A93='Données projet'!$A$114,'Données projet'!$B$114,BY92+BX93-CG92)))</f>
        <v>386.00000000000023</v>
      </c>
      <c r="BZ93" s="14">
        <f>BY93*VLOOKUP('Données projet'!$B$12,Paramètres!$A$1:$I$89,3,0)*VLOOKUP('Données projet'!$B$12,Paramètres!$A$1:$I$89,5,0)</f>
        <v>349.25280000000021</v>
      </c>
      <c r="CA93" s="14">
        <f t="shared" si="93"/>
        <v>81.408635866358992</v>
      </c>
      <c r="CB93" s="22">
        <f t="shared" si="64"/>
        <v>750.06866746724211</v>
      </c>
      <c r="CC93" s="60">
        <f t="shared" si="65"/>
        <v>1043.4020008005755</v>
      </c>
      <c r="CD93" s="60">
        <f ca="1">AVERAGE(OFFSET($CC$3,0,0,'Données projet'!$E$12+1,1))-AVERAGE(OFFSET($H$3,0,0,'Données projet'!$E$12+1,1))</f>
        <v>529.25712986118265</v>
      </c>
      <c r="CE93" s="60">
        <f t="shared" si="94"/>
        <v>278.21741231699929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84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386</v>
      </c>
      <c r="CR93" s="13">
        <f>VLOOKUP(A93,'Données projet'!$A$139:$I$159,9,0)</f>
        <v>6.6</v>
      </c>
      <c r="CS93" s="13">
        <f t="array" ref="CS93">INDEX(CR:CR,MIN(IF(ISNUMBER(CR93:CR289),ROW(CR93:CR289),"")))</f>
        <v>6.6</v>
      </c>
      <c r="CT93" s="13">
        <f>IF('Données projet'!$A$140&gt;35,CT92+CS93-DB92,IF(A93&lt;'Données projet'!$A$140,$CQ$205^A93,IF(A93='Données projet'!$A$140,'Données projet'!$B$140,CT92+CS93-DB92)))</f>
        <v>386.00000000000023</v>
      </c>
      <c r="CU93" s="18">
        <f>CT93*VLOOKUP('Données projet'!$B$13,Paramètres!$A$1:$I$89,3,0)*VLOOKUP('Données projet'!$B$13,Paramètres!$A$1:$I$89,5,0)</f>
        <v>325.16640000000024</v>
      </c>
      <c r="CV93" s="14">
        <f t="shared" si="95"/>
        <v>76.427319591571546</v>
      </c>
      <c r="CW93" s="22">
        <f t="shared" si="67"/>
        <v>699.44239495532099</v>
      </c>
      <c r="CX93" s="60">
        <f t="shared" si="68"/>
        <v>992.77572828865436</v>
      </c>
      <c r="CY93" s="60">
        <f ca="1">AVERAGE(OFFSET($CX$3,0,0,'Données projet'!$E$13+1,1))-AVERAGE(OFFSET($H$3,0,0,'Données projet'!$E$13+1,1))</f>
        <v>495.77338291316386</v>
      </c>
      <c r="CZ93" s="60">
        <f t="shared" si="96"/>
        <v>261.95434270986397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84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265</v>
      </c>
      <c r="DM93" s="13">
        <f>VLOOKUP(A93,'Données projet'!$A$165:$I$185,9,0)</f>
        <v>3.6</v>
      </c>
      <c r="DN93" s="13">
        <f t="array" ref="DN93">INDEX(DM:DM,MIN(IF(ISNUMBER(DM93:DM289),ROW(DM93:DM289),"")))</f>
        <v>3.6</v>
      </c>
      <c r="DO93" s="13">
        <f>IF('Données projet'!$A$166&gt;35,DO92+DN93-DW92,IF(A93&lt;'Données projet'!$A$166,$DL$205^A93,IF(A93='Données projet'!$A$166,'Données projet'!$B$166,DO92+DN93-DW92)))</f>
        <v>265.00000000000023</v>
      </c>
      <c r="DP93" s="18">
        <f>DO93*VLOOKUP('Données projet'!$B$14,Paramètres!$A$1:$I$89,3,0)*VLOOKUP('Données projet'!$B$14,Paramètres!$A$1:$I$89,5,0)</f>
        <v>173.62800000000016</v>
      </c>
      <c r="DQ93" s="14">
        <f t="shared" si="97"/>
        <v>43.901573588714498</v>
      </c>
      <c r="DR93" s="22">
        <f t="shared" si="70"/>
        <v>378.86400733367799</v>
      </c>
      <c r="DS93" s="60">
        <f t="shared" si="71"/>
        <v>672.1973406670113</v>
      </c>
      <c r="DT93" s="60">
        <f ca="1">AVERAGE(OFFSET($DS$3,0,0,'Données projet'!$E$14+1,1))-AVERAGE(OFFSET($H$3,0,0,'Données projet'!$E$14+1,1))</f>
        <v>275.11574966125522</v>
      </c>
      <c r="DU93" s="60">
        <f t="shared" si="98"/>
        <v>299.21520121860345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265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</v>
      </c>
      <c r="N94" s="14">
        <f>IF('Données projet'!$A$36&gt;35,N93+M94-V93,IF(A94&lt;'Données projet'!$A$36,$K$205^A94,IF(A94='Données projet'!$A$36,'Données projet'!$B$36,N93+M94-V93)))</f>
        <v>240</v>
      </c>
      <c r="O94" s="14">
        <f>N94*VLOOKUP('Données projet'!$B$9,Paramètres!$A$1:$I$89,3,0)*VLOOKUP('Données projet'!$B$9,Paramètres!$A$1:$I$89,5,0)</f>
        <v>209.66400000000002</v>
      </c>
      <c r="P94" s="14">
        <f t="shared" si="87"/>
        <v>51.862154403304537</v>
      </c>
      <c r="Q94" s="22">
        <f t="shared" si="54"/>
        <v>455.49138558575538</v>
      </c>
      <c r="R94" s="60">
        <f t="shared" si="55"/>
        <v>748.8247189190887</v>
      </c>
      <c r="S94" s="60">
        <f ca="1">AVERAGE(OFFSET($R$3,0,0,'Données projet'!$E$9+1,1))-AVERAGE(OFFSET($H$3,0,0,'Données projet'!$E$9+1,1))</f>
        <v>369.34989412920129</v>
      </c>
      <c r="T94" s="60">
        <f t="shared" si="88"/>
        <v>371.26234252426553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-1.8089849618263545E-13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370.79299728190904</v>
      </c>
      <c r="AO94" s="60">
        <f t="shared" si="90"/>
        <v>404.95703400805775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-1.6671037883497774E-13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344.63665697794022</v>
      </c>
      <c r="BJ94" s="60">
        <f t="shared" si="92"/>
        <v>376.72762011188041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5.9</v>
      </c>
      <c r="BY94" s="13">
        <f>IF('Données projet'!$A$114&gt;35,BY93+BX94-CG93,IF(A94&lt;'Données projet'!$A$114,$BV$205^A94,IF(A94='Données projet'!$A$114,'Données projet'!$B$114,BY93+BX94-CG93)))</f>
        <v>307.9000000000002</v>
      </c>
      <c r="BZ94" s="14">
        <f>BY94*VLOOKUP('Données projet'!$B$12,Paramètres!$A$1:$I$89,3,0)*VLOOKUP('Données projet'!$B$12,Paramètres!$A$1:$I$89,5,0)</f>
        <v>278.58792000000017</v>
      </c>
      <c r="CA94" s="14">
        <f t="shared" si="93"/>
        <v>66.668508032294284</v>
      </c>
      <c r="CB94" s="22">
        <f t="shared" si="64"/>
        <v>601.32161215624615</v>
      </c>
      <c r="CC94" s="60">
        <f t="shared" si="65"/>
        <v>894.6549454895794</v>
      </c>
      <c r="CD94" s="60">
        <f ca="1">AVERAGE(OFFSET($CC$3,0,0,'Données projet'!$E$12+1,1))-AVERAGE(OFFSET($H$3,0,0,'Données projet'!$E$12+1,1))</f>
        <v>529.25712986118265</v>
      </c>
      <c r="CE94" s="60">
        <f t="shared" si="94"/>
        <v>278.21741231699929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5.9</v>
      </c>
      <c r="CT94" s="13">
        <f>IF('Données projet'!$A$140&gt;35,CT93+CS94-DB93,IF(A94&lt;'Données projet'!$A$140,$CQ$205^A94,IF(A94='Données projet'!$A$140,'Données projet'!$B$140,CT93+CS94-DB93)))</f>
        <v>307.9000000000002</v>
      </c>
      <c r="CU94" s="18">
        <f>CT94*VLOOKUP('Données projet'!$B$13,Paramètres!$A$1:$I$89,3,0)*VLOOKUP('Données projet'!$B$13,Paramètres!$A$1:$I$89,5,0)</f>
        <v>259.37496000000021</v>
      </c>
      <c r="CV94" s="14">
        <f t="shared" si="95"/>
        <v>62.589126028863618</v>
      </c>
      <c r="CW94" s="22">
        <f t="shared" si="67"/>
        <v>560.75411650027115</v>
      </c>
      <c r="CX94" s="60">
        <f t="shared" si="68"/>
        <v>854.08744983360452</v>
      </c>
      <c r="CY94" s="60">
        <f ca="1">AVERAGE(OFFSET($CX$3,0,0,'Données projet'!$E$13+1,1))-AVERAGE(OFFSET($H$3,0,0,'Données projet'!$E$13+1,1))</f>
        <v>495.77338291316386</v>
      </c>
      <c r="CZ94" s="60">
        <f t="shared" si="96"/>
        <v>261.95434270986397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2.2737367544323206E-13</v>
      </c>
      <c r="DP94" s="18">
        <f>DO94*VLOOKUP('Données projet'!$B$14,Paramètres!$A$1:$I$89,3,0)*VLOOKUP('Données projet'!$B$14,Paramètres!$A$1:$I$89,5,0)</f>
        <v>1.4897523215040565E-13</v>
      </c>
      <c r="DQ94" s="14">
        <f t="shared" si="97"/>
        <v>2.136562777003313E-12</v>
      </c>
      <c r="DR94" s="22">
        <f t="shared" si="70"/>
        <v>3.9806453659427267E-12</v>
      </c>
      <c r="DS94" s="60">
        <f t="shared" si="71"/>
        <v>293.33333333333729</v>
      </c>
      <c r="DT94" s="60">
        <f ca="1">AVERAGE(OFFSET($DS$3,0,0,'Données projet'!$E$14+1,1))-AVERAGE(OFFSET($H$3,0,0,'Données projet'!$E$14+1,1))</f>
        <v>275.11574966125522</v>
      </c>
      <c r="DU94" s="60">
        <f t="shared" si="98"/>
        <v>299.21520121860345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</v>
      </c>
      <c r="N95" s="14">
        <f>IF('Données projet'!$A$36&gt;35,N94+M95-V94,IF(A95&lt;'Données projet'!$A$36,$K$205^A95,IF(A95='Données projet'!$A$36,'Données projet'!$B$36,N94+M95-V94)))</f>
        <v>243</v>
      </c>
      <c r="O95" s="14">
        <f>N95*VLOOKUP('Données projet'!$B$9,Paramètres!$A$1:$I$89,3,0)*VLOOKUP('Données projet'!$B$9,Paramètres!$A$1:$I$89,5,0)</f>
        <v>212.28480000000002</v>
      </c>
      <c r="P95" s="14">
        <f t="shared" si="87"/>
        <v>52.434557099704193</v>
      </c>
      <c r="Q95" s="22">
        <f t="shared" si="54"/>
        <v>461.05288028198476</v>
      </c>
      <c r="R95" s="60">
        <f t="shared" si="55"/>
        <v>754.38621361531807</v>
      </c>
      <c r="S95" s="60">
        <f ca="1">AVERAGE(OFFSET($R$3,0,0,'Données projet'!$E$9+1,1))-AVERAGE(OFFSET($H$3,0,0,'Données projet'!$E$9+1,1))</f>
        <v>369.34989412920129</v>
      </c>
      <c r="T95" s="60">
        <f t="shared" si="88"/>
        <v>371.26234252426553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-1.8089849618263545E-13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370.79299728190904</v>
      </c>
      <c r="AO95" s="60">
        <f t="shared" si="90"/>
        <v>404.95703400805775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-1.6671037883497774E-13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344.63665697794022</v>
      </c>
      <c r="BJ95" s="60">
        <f t="shared" si="92"/>
        <v>376.72762011188041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5.9</v>
      </c>
      <c r="BY95" s="13">
        <f>IF('Données projet'!$A$114&gt;35,BY94+BX95-CG94,IF(A95&lt;'Données projet'!$A$114,$BV$205^A95,IF(A95='Données projet'!$A$114,'Données projet'!$B$114,BY94+BX95-CG94)))</f>
        <v>313.80000000000018</v>
      </c>
      <c r="BZ95" s="14">
        <f>BY95*VLOOKUP('Données projet'!$B$12,Paramètres!$A$1:$I$89,3,0)*VLOOKUP('Données projet'!$B$12,Paramètres!$A$1:$I$89,5,0)</f>
        <v>283.92624000000018</v>
      </c>
      <c r="CA95" s="14">
        <f t="shared" si="93"/>
        <v>67.796062628528361</v>
      </c>
      <c r="CB95" s="22">
        <f t="shared" si="64"/>
        <v>612.58301041135394</v>
      </c>
      <c r="CC95" s="60">
        <f t="shared" si="65"/>
        <v>905.91634374468731</v>
      </c>
      <c r="CD95" s="60">
        <f ca="1">AVERAGE(OFFSET($CC$3,0,0,'Données projet'!$E$12+1,1))-AVERAGE(OFFSET($H$3,0,0,'Données projet'!$E$12+1,1))</f>
        <v>529.25712986118265</v>
      </c>
      <c r="CE95" s="60">
        <f t="shared" si="94"/>
        <v>278.21741231699929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5.9</v>
      </c>
      <c r="CT95" s="13">
        <f>IF('Données projet'!$A$140&gt;35,CT94+CS95-DB94,IF(A95&lt;'Données projet'!$A$140,$CQ$205^A95,IF(A95='Données projet'!$A$140,'Données projet'!$B$140,CT94+CS95-DB94)))</f>
        <v>313.80000000000018</v>
      </c>
      <c r="CU95" s="18">
        <f>CT95*VLOOKUP('Données projet'!$B$13,Paramètres!$A$1:$I$89,3,0)*VLOOKUP('Données projet'!$B$13,Paramètres!$A$1:$I$89,5,0)</f>
        <v>264.34512000000018</v>
      </c>
      <c r="CV95" s="14">
        <f t="shared" si="95"/>
        <v>63.64768664182855</v>
      </c>
      <c r="CW95" s="22">
        <f t="shared" si="67"/>
        <v>571.25413823451834</v>
      </c>
      <c r="CX95" s="60">
        <f t="shared" si="68"/>
        <v>864.58747156785171</v>
      </c>
      <c r="CY95" s="60">
        <f ca="1">AVERAGE(OFFSET($CX$3,0,0,'Données projet'!$E$13+1,1))-AVERAGE(OFFSET($H$3,0,0,'Données projet'!$E$13+1,1))</f>
        <v>495.77338291316386</v>
      </c>
      <c r="CZ95" s="60">
        <f t="shared" si="96"/>
        <v>261.95434270986397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2.2737367544323206E-13</v>
      </c>
      <c r="DP95" s="18">
        <f>DO95*VLOOKUP('Données projet'!$B$14,Paramètres!$A$1:$I$89,3,0)*VLOOKUP('Données projet'!$B$14,Paramètres!$A$1:$I$89,5,0)</f>
        <v>1.4897523215040565E-13</v>
      </c>
      <c r="DQ95" s="14">
        <f t="shared" si="97"/>
        <v>2.136562777003313E-12</v>
      </c>
      <c r="DR95" s="22">
        <f t="shared" si="70"/>
        <v>3.9806453659427267E-12</v>
      </c>
      <c r="DS95" s="60">
        <f t="shared" si="71"/>
        <v>293.33333333333729</v>
      </c>
      <c r="DT95" s="60">
        <f ca="1">AVERAGE(OFFSET($DS$3,0,0,'Données projet'!$E$14+1,1))-AVERAGE(OFFSET($H$3,0,0,'Données projet'!$E$14+1,1))</f>
        <v>275.11574966125522</v>
      </c>
      <c r="DU95" s="60">
        <f t="shared" si="98"/>
        <v>299.21520121860345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</v>
      </c>
      <c r="N96" s="14">
        <f>IF('Données projet'!$A$36&gt;35,N95+M96-V95,IF(A96&lt;'Données projet'!$A$36,$K$205^A96,IF(A96='Données projet'!$A$36,'Données projet'!$B$36,N95+M96-V95)))</f>
        <v>246</v>
      </c>
      <c r="O96" s="14">
        <f>N96*VLOOKUP('Données projet'!$B$9,Paramètres!$A$1:$I$89,3,0)*VLOOKUP('Données projet'!$B$9,Paramètres!$A$1:$I$89,5,0)</f>
        <v>214.90560000000005</v>
      </c>
      <c r="P96" s="14">
        <f t="shared" si="87"/>
        <v>53.006137800892326</v>
      </c>
      <c r="Q96" s="22">
        <f t="shared" si="54"/>
        <v>466.61294333655422</v>
      </c>
      <c r="R96" s="60">
        <f t="shared" si="55"/>
        <v>759.94627666988754</v>
      </c>
      <c r="S96" s="60">
        <f ca="1">AVERAGE(OFFSET($R$3,0,0,'Données projet'!$E$9+1,1))-AVERAGE(OFFSET($H$3,0,0,'Données projet'!$E$9+1,1))</f>
        <v>369.34989412920129</v>
      </c>
      <c r="T96" s="60">
        <f t="shared" si="88"/>
        <v>371.26234252426553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-1.8089849618263545E-13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370.79299728190904</v>
      </c>
      <c r="AO96" s="60">
        <f t="shared" si="90"/>
        <v>404.95703400805775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-1.6671037883497774E-13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344.63665697794022</v>
      </c>
      <c r="BJ96" s="60">
        <f t="shared" si="92"/>
        <v>376.72762011188041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5.9</v>
      </c>
      <c r="BY96" s="13">
        <f>IF('Données projet'!$A$114&gt;35,BY95+BX96-CG95,IF(A96&lt;'Données projet'!$A$114,$BV$205^A96,IF(A96='Données projet'!$A$114,'Données projet'!$B$114,BY95+BX96-CG95)))</f>
        <v>319.70000000000016</v>
      </c>
      <c r="BZ96" s="14">
        <f>BY96*VLOOKUP('Données projet'!$B$12,Paramètres!$A$1:$I$89,3,0)*VLOOKUP('Données projet'!$B$12,Paramètres!$A$1:$I$89,5,0)</f>
        <v>289.26456000000013</v>
      </c>
      <c r="CA96" s="14">
        <f t="shared" si="93"/>
        <v>68.921152085057912</v>
      </c>
      <c r="CB96" s="22">
        <f t="shared" si="64"/>
        <v>623.84011521480943</v>
      </c>
      <c r="CC96" s="60">
        <f t="shared" si="65"/>
        <v>917.17344854814269</v>
      </c>
      <c r="CD96" s="60">
        <f ca="1">AVERAGE(OFFSET($CC$3,0,0,'Données projet'!$E$12+1,1))-AVERAGE(OFFSET($H$3,0,0,'Données projet'!$E$12+1,1))</f>
        <v>529.25712986118265</v>
      </c>
      <c r="CE96" s="60">
        <f t="shared" si="94"/>
        <v>278.21741231699929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5.9</v>
      </c>
      <c r="CT96" s="13">
        <f>IF('Données projet'!$A$140&gt;35,CT95+CS96-DB95,IF(A96&lt;'Données projet'!$A$140,$CQ$205^A96,IF(A96='Données projet'!$A$140,'Données projet'!$B$140,CT95+CS96-DB95)))</f>
        <v>319.70000000000016</v>
      </c>
      <c r="CU96" s="18">
        <f>CT96*VLOOKUP('Données projet'!$B$13,Paramètres!$A$1:$I$89,3,0)*VLOOKUP('Données projet'!$B$13,Paramètres!$A$1:$I$89,5,0)</f>
        <v>269.31528000000014</v>
      </c>
      <c r="CV96" s="14">
        <f t="shared" si="95"/>
        <v>64.703932954620839</v>
      </c>
      <c r="CW96" s="22">
        <f t="shared" si="67"/>
        <v>581.75012922929818</v>
      </c>
      <c r="CX96" s="60">
        <f t="shared" si="68"/>
        <v>875.08346256263144</v>
      </c>
      <c r="CY96" s="60">
        <f ca="1">AVERAGE(OFFSET($CX$3,0,0,'Données projet'!$E$13+1,1))-AVERAGE(OFFSET($H$3,0,0,'Données projet'!$E$13+1,1))</f>
        <v>495.77338291316386</v>
      </c>
      <c r="CZ96" s="60">
        <f t="shared" si="96"/>
        <v>261.95434270986397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2.2737367544323206E-13</v>
      </c>
      <c r="DP96" s="18">
        <f>DO96*VLOOKUP('Données projet'!$B$14,Paramètres!$A$1:$I$89,3,0)*VLOOKUP('Données projet'!$B$14,Paramètres!$A$1:$I$89,5,0)</f>
        <v>1.4897523215040565E-13</v>
      </c>
      <c r="DQ96" s="14">
        <f t="shared" si="97"/>
        <v>2.136562777003313E-12</v>
      </c>
      <c r="DR96" s="22">
        <f t="shared" si="70"/>
        <v>3.9806453659427267E-12</v>
      </c>
      <c r="DS96" s="60">
        <f t="shared" si="71"/>
        <v>293.33333333333729</v>
      </c>
      <c r="DT96" s="60">
        <f ca="1">AVERAGE(OFFSET($DS$3,0,0,'Données projet'!$E$14+1,1))-AVERAGE(OFFSET($H$3,0,0,'Données projet'!$E$14+1,1))</f>
        <v>275.11574966125522</v>
      </c>
      <c r="DU96" s="60">
        <f t="shared" si="98"/>
        <v>299.21520121860345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</v>
      </c>
      <c r="N97" s="14">
        <f>IF('Données projet'!$A$36&gt;35,N96+M97-V96,IF(A97&lt;'Données projet'!$A$36,$K$205^A97,IF(A97='Données projet'!$A$36,'Données projet'!$B$36,N96+M97-V96)))</f>
        <v>249</v>
      </c>
      <c r="O97" s="14">
        <f>N97*VLOOKUP('Données projet'!$B$9,Paramètres!$A$1:$I$89,3,0)*VLOOKUP('Données projet'!$B$9,Paramètres!$A$1:$I$89,5,0)</f>
        <v>217.52640000000005</v>
      </c>
      <c r="P97" s="14">
        <f t="shared" si="87"/>
        <v>53.576907690651254</v>
      </c>
      <c r="Q97" s="22">
        <f t="shared" si="54"/>
        <v>472.17159422788433</v>
      </c>
      <c r="R97" s="60">
        <f t="shared" si="55"/>
        <v>765.50492756121764</v>
      </c>
      <c r="S97" s="60">
        <f ca="1">AVERAGE(OFFSET($R$3,0,0,'Données projet'!$E$9+1,1))-AVERAGE(OFFSET($H$3,0,0,'Données projet'!$E$9+1,1))</f>
        <v>369.34989412920129</v>
      </c>
      <c r="T97" s="60">
        <f t="shared" si="88"/>
        <v>371.26234252426553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-1.8089849618263545E-13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370.79299728190904</v>
      </c>
      <c r="AO97" s="60">
        <f t="shared" si="90"/>
        <v>404.95703400805775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-1.6671037883497774E-13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344.63665697794022</v>
      </c>
      <c r="BJ97" s="60">
        <f t="shared" si="92"/>
        <v>376.72762011188041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5.9</v>
      </c>
      <c r="BY97" s="13">
        <f>IF('Données projet'!$A$114&gt;35,BY96+BX97-CG96,IF(A97&lt;'Données projet'!$A$114,$BV$205^A97,IF(A97='Données projet'!$A$114,'Données projet'!$B$114,BY96+BX97-CG96)))</f>
        <v>325.60000000000014</v>
      </c>
      <c r="BZ97" s="14">
        <f>BY97*VLOOKUP('Données projet'!$B$12,Paramètres!$A$1:$I$89,3,0)*VLOOKUP('Données projet'!$B$12,Paramètres!$A$1:$I$89,5,0)</f>
        <v>294.60288000000014</v>
      </c>
      <c r="CA97" s="14">
        <f t="shared" si="93"/>
        <v>70.043827142305744</v>
      </c>
      <c r="CB97" s="22">
        <f t="shared" si="64"/>
        <v>635.09301493951614</v>
      </c>
      <c r="CC97" s="60">
        <f t="shared" si="65"/>
        <v>928.42634827284951</v>
      </c>
      <c r="CD97" s="60">
        <f ca="1">AVERAGE(OFFSET($CC$3,0,0,'Données projet'!$E$12+1,1))-AVERAGE(OFFSET($H$3,0,0,'Données projet'!$E$12+1,1))</f>
        <v>529.25712986118265</v>
      </c>
      <c r="CE97" s="60">
        <f t="shared" si="94"/>
        <v>278.21741231699929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5.9</v>
      </c>
      <c r="CT97" s="13">
        <f>IF('Données projet'!$A$140&gt;35,CT96+CS97-DB96,IF(A97&lt;'Données projet'!$A$140,$CQ$205^A97,IF(A97='Données projet'!$A$140,'Données projet'!$B$140,CT96+CS97-DB96)))</f>
        <v>325.60000000000014</v>
      </c>
      <c r="CU97" s="18">
        <f>CT97*VLOOKUP('Données projet'!$B$13,Paramètres!$A$1:$I$89,3,0)*VLOOKUP('Données projet'!$B$13,Paramètres!$A$1:$I$89,5,0)</f>
        <v>274.28544000000016</v>
      </c>
      <c r="CV97" s="14">
        <f t="shared" si="95"/>
        <v>65.757912602905577</v>
      </c>
      <c r="CW97" s="22">
        <f t="shared" si="67"/>
        <v>592.24217245006082</v>
      </c>
      <c r="CX97" s="60">
        <f t="shared" si="68"/>
        <v>885.57550578339419</v>
      </c>
      <c r="CY97" s="60">
        <f ca="1">AVERAGE(OFFSET($CX$3,0,0,'Données projet'!$E$13+1,1))-AVERAGE(OFFSET($H$3,0,0,'Données projet'!$E$13+1,1))</f>
        <v>495.77338291316386</v>
      </c>
      <c r="CZ97" s="60">
        <f t="shared" si="96"/>
        <v>261.95434270986397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2.2737367544323206E-13</v>
      </c>
      <c r="DP97" s="18">
        <f>DO97*VLOOKUP('Données projet'!$B$14,Paramètres!$A$1:$I$89,3,0)*VLOOKUP('Données projet'!$B$14,Paramètres!$A$1:$I$89,5,0)</f>
        <v>1.4897523215040565E-13</v>
      </c>
      <c r="DQ97" s="14">
        <f t="shared" si="97"/>
        <v>2.136562777003313E-12</v>
      </c>
      <c r="DR97" s="22">
        <f t="shared" si="70"/>
        <v>3.9806453659427267E-12</v>
      </c>
      <c r="DS97" s="60">
        <f t="shared" si="71"/>
        <v>293.33333333333729</v>
      </c>
      <c r="DT97" s="60">
        <f ca="1">AVERAGE(OFFSET($DS$3,0,0,'Données projet'!$E$14+1,1))-AVERAGE(OFFSET($H$3,0,0,'Données projet'!$E$14+1,1))</f>
        <v>275.11574966125522</v>
      </c>
      <c r="DU97" s="60">
        <f t="shared" si="98"/>
        <v>299.21520121860345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252</v>
      </c>
      <c r="L98" s="13">
        <f>VLOOKUP(A98,'Données projet'!$A$35:$I$55,9,0)</f>
        <v>3</v>
      </c>
      <c r="M98" s="13">
        <f t="array" ref="M98">INDEX(L:L,MIN(IF(ISNUMBER(L98:L294),ROW(L98:L294),"")))</f>
        <v>3</v>
      </c>
      <c r="N98" s="14">
        <f>IF('Données projet'!$A$36&gt;35,N97+M98-V97,IF(A98&lt;'Données projet'!$A$36,$K$205^A98,IF(A98='Données projet'!$A$36,'Données projet'!$B$36,N97+M98-V97)))</f>
        <v>252</v>
      </c>
      <c r="O98" s="14">
        <f>N98*VLOOKUP('Données projet'!$B$9,Paramètres!$A$1:$I$89,3,0)*VLOOKUP('Données projet'!$B$9,Paramètres!$A$1:$I$89,5,0)</f>
        <v>220.14720000000003</v>
      </c>
      <c r="P98" s="14">
        <f t="shared" si="87"/>
        <v>54.146877667769687</v>
      </c>
      <c r="Q98" s="22">
        <f t="shared" si="54"/>
        <v>477.72885193803222</v>
      </c>
      <c r="R98" s="60">
        <f t="shared" si="55"/>
        <v>771.06218527136548</v>
      </c>
      <c r="S98" s="60">
        <f ca="1">AVERAGE(OFFSET($R$3,0,0,'Données projet'!$E$9+1,1))-AVERAGE(OFFSET($H$3,0,0,'Données projet'!$E$9+1,1))</f>
        <v>369.34989412920129</v>
      </c>
      <c r="T98" s="60">
        <f t="shared" si="88"/>
        <v>371.26234252426553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-1.8089849618263545E-13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370.79299728190904</v>
      </c>
      <c r="AO98" s="60">
        <f t="shared" si="90"/>
        <v>404.95703400805775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-1.6671037883497774E-13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344.63665697794022</v>
      </c>
      <c r="BJ98" s="60">
        <f t="shared" si="92"/>
        <v>376.72762011188041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5.9</v>
      </c>
      <c r="BY98" s="13">
        <f>IF('Données projet'!$A$114&gt;35,BY97+BX98-CG97,IF(A98&lt;'Données projet'!$A$114,$BV$205^A98,IF(A98='Données projet'!$A$114,'Données projet'!$B$114,BY97+BX98-CG97)))</f>
        <v>331.50000000000011</v>
      </c>
      <c r="BZ98" s="14">
        <f>BY98*VLOOKUP('Données projet'!$B$12,Paramètres!$A$1:$I$89,3,0)*VLOOKUP('Données projet'!$B$12,Paramètres!$A$1:$I$89,5,0)</f>
        <v>299.94120000000009</v>
      </c>
      <c r="CA98" s="14">
        <f t="shared" si="93"/>
        <v>71.164136596531577</v>
      </c>
      <c r="CB98" s="22">
        <f t="shared" si="64"/>
        <v>646.34179457229266</v>
      </c>
      <c r="CC98" s="60">
        <f t="shared" si="65"/>
        <v>939.67512790562591</v>
      </c>
      <c r="CD98" s="60">
        <f ca="1">AVERAGE(OFFSET($CC$3,0,0,'Données projet'!$E$12+1,1))-AVERAGE(OFFSET($H$3,0,0,'Données projet'!$E$12+1,1))</f>
        <v>529.25712986118265</v>
      </c>
      <c r="CE98" s="60">
        <f t="shared" si="94"/>
        <v>278.21741231699929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5.9</v>
      </c>
      <c r="CT98" s="13">
        <f>IF('Données projet'!$A$140&gt;35,CT97+CS98-DB97,IF(A98&lt;'Données projet'!$A$140,$CQ$205^A98,IF(A98='Données projet'!$A$140,'Données projet'!$B$140,CT97+CS98-DB97)))</f>
        <v>331.50000000000011</v>
      </c>
      <c r="CU98" s="18">
        <f>CT98*VLOOKUP('Données projet'!$B$13,Paramètres!$A$1:$I$89,3,0)*VLOOKUP('Données projet'!$B$13,Paramètres!$A$1:$I$89,5,0)</f>
        <v>279.25560000000013</v>
      </c>
      <c r="CV98" s="14">
        <f t="shared" si="95"/>
        <v>66.809671397146161</v>
      </c>
      <c r="CW98" s="22">
        <f t="shared" si="67"/>
        <v>602.73034768336299</v>
      </c>
      <c r="CX98" s="60">
        <f t="shared" si="68"/>
        <v>896.06368101669636</v>
      </c>
      <c r="CY98" s="60">
        <f ca="1">AVERAGE(OFFSET($CX$3,0,0,'Données projet'!$E$13+1,1))-AVERAGE(OFFSET($H$3,0,0,'Données projet'!$E$13+1,1))</f>
        <v>495.77338291316386</v>
      </c>
      <c r="CZ98" s="60">
        <f t="shared" si="96"/>
        <v>261.95434270986397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2.2737367544323206E-13</v>
      </c>
      <c r="DP98" s="18">
        <f>DO98*VLOOKUP('Données projet'!$B$14,Paramètres!$A$1:$I$89,3,0)*VLOOKUP('Données projet'!$B$14,Paramètres!$A$1:$I$89,5,0)</f>
        <v>1.4897523215040565E-13</v>
      </c>
      <c r="DQ98" s="14">
        <f t="shared" si="97"/>
        <v>2.136562777003313E-12</v>
      </c>
      <c r="DR98" s="22">
        <f t="shared" si="70"/>
        <v>3.9806453659427267E-12</v>
      </c>
      <c r="DS98" s="60">
        <f t="shared" si="71"/>
        <v>293.33333333333729</v>
      </c>
      <c r="DT98" s="60">
        <f ca="1">AVERAGE(OFFSET($DS$3,0,0,'Données projet'!$E$14+1,1))-AVERAGE(OFFSET($H$3,0,0,'Données projet'!$E$14+1,1))</f>
        <v>275.11574966125522</v>
      </c>
      <c r="DU98" s="60">
        <f t="shared" si="98"/>
        <v>299.21520121860345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</v>
      </c>
      <c r="N99" s="14">
        <f>IF('Données projet'!$A$36&gt;35,N98+M99-V98,IF(A99&lt;'Données projet'!$A$36,$K$205^A99,IF(A99='Données projet'!$A$36,'Données projet'!$B$36,N98+M99-V98)))</f>
        <v>255</v>
      </c>
      <c r="O99" s="14">
        <f>N99*VLOOKUP('Données projet'!$B$9,Paramètres!$A$1:$I$89,3,0)*VLOOKUP('Données projet'!$B$9,Paramètres!$A$1:$I$89,5,0)</f>
        <v>222.76800000000003</v>
      </c>
      <c r="P99" s="14">
        <f t="shared" si="87"/>
        <v>54.716058356609508</v>
      </c>
      <c r="Q99" s="22">
        <f t="shared" ref="Q99:Q130" si="107">(O99+P99)*0.475*44/12</f>
        <v>483.28473497109491</v>
      </c>
      <c r="R99" s="60">
        <f t="shared" si="55"/>
        <v>776.61806830442822</v>
      </c>
      <c r="S99" s="60">
        <f ca="1">AVERAGE(OFFSET($R$3,0,0,'Données projet'!$E$9+1,1))-AVERAGE(OFFSET($H$3,0,0,'Données projet'!$E$9+1,1))</f>
        <v>369.34989412920129</v>
      </c>
      <c r="T99" s="60">
        <f t="shared" si="88"/>
        <v>371.26234252426553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-1.8089849618263545E-13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370.79299728190904</v>
      </c>
      <c r="AO99" s="60">
        <f t="shared" si="90"/>
        <v>404.95703400805775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-1.6671037883497774E-13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344.63665697794022</v>
      </c>
      <c r="BJ99" s="60">
        <f t="shared" si="92"/>
        <v>376.72762011188041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5.9</v>
      </c>
      <c r="BY99" s="13">
        <f>IF('Données projet'!$A$114&gt;35,BY98+BX99-CG98,IF(A99&lt;'Données projet'!$A$114,$BV$205^A99,IF(A99='Données projet'!$A$114,'Données projet'!$B$114,BY98+BX99-CG98)))</f>
        <v>337.40000000000009</v>
      </c>
      <c r="BZ99" s="14">
        <f>BY99*VLOOKUP('Données projet'!$B$12,Paramètres!$A$1:$I$89,3,0)*VLOOKUP('Données projet'!$B$12,Paramètres!$A$1:$I$89,5,0)</f>
        <v>305.27952000000005</v>
      </c>
      <c r="CA99" s="14">
        <f t="shared" si="93"/>
        <v>72.282127407576866</v>
      </c>
      <c r="CB99" s="22">
        <f t="shared" si="64"/>
        <v>657.58653590152971</v>
      </c>
      <c r="CC99" s="60">
        <f t="shared" si="65"/>
        <v>950.91986923486297</v>
      </c>
      <c r="CD99" s="60">
        <f ca="1">AVERAGE(OFFSET($CC$3,0,0,'Données projet'!$E$12+1,1))-AVERAGE(OFFSET($H$3,0,0,'Données projet'!$E$12+1,1))</f>
        <v>529.25712986118265</v>
      </c>
      <c r="CE99" s="60">
        <f t="shared" si="94"/>
        <v>278.21741231699929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5.9</v>
      </c>
      <c r="CT99" s="13">
        <f>IF('Données projet'!$A$140&gt;35,CT98+CS99-DB98,IF(A99&lt;'Données projet'!$A$140,$CQ$205^A99,IF(A99='Données projet'!$A$140,'Données projet'!$B$140,CT98+CS99-DB98)))</f>
        <v>337.40000000000009</v>
      </c>
      <c r="CU99" s="18">
        <f>CT99*VLOOKUP('Données projet'!$B$13,Paramètres!$A$1:$I$89,3,0)*VLOOKUP('Données projet'!$B$13,Paramètres!$A$1:$I$89,5,0)</f>
        <v>284.22576000000009</v>
      </c>
      <c r="CV99" s="14">
        <f t="shared" si="95"/>
        <v>67.859253423756542</v>
      </c>
      <c r="CW99" s="22">
        <f t="shared" si="67"/>
        <v>613.21473171304285</v>
      </c>
      <c r="CX99" s="60">
        <f t="shared" si="68"/>
        <v>906.54806504637622</v>
      </c>
      <c r="CY99" s="60">
        <f ca="1">AVERAGE(OFFSET($CX$3,0,0,'Données projet'!$E$13+1,1))-AVERAGE(OFFSET($H$3,0,0,'Données projet'!$E$13+1,1))</f>
        <v>495.77338291316386</v>
      </c>
      <c r="CZ99" s="60">
        <f t="shared" si="96"/>
        <v>261.95434270986397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2.2737367544323206E-13</v>
      </c>
      <c r="DP99" s="18">
        <f>DO99*VLOOKUP('Données projet'!$B$14,Paramètres!$A$1:$I$89,3,0)*VLOOKUP('Données projet'!$B$14,Paramètres!$A$1:$I$89,5,0)</f>
        <v>1.4897523215040565E-13</v>
      </c>
      <c r="DQ99" s="14">
        <f t="shared" si="97"/>
        <v>2.136562777003313E-12</v>
      </c>
      <c r="DR99" s="22">
        <f t="shared" si="70"/>
        <v>3.9806453659427267E-12</v>
      </c>
      <c r="DS99" s="60">
        <f t="shared" si="71"/>
        <v>293.33333333333729</v>
      </c>
      <c r="DT99" s="60">
        <f ca="1">AVERAGE(OFFSET($DS$3,0,0,'Données projet'!$E$14+1,1))-AVERAGE(OFFSET($H$3,0,0,'Données projet'!$E$14+1,1))</f>
        <v>275.11574966125522</v>
      </c>
      <c r="DU99" s="60">
        <f t="shared" si="98"/>
        <v>299.21520121860345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</v>
      </c>
      <c r="N100" s="14">
        <f>IF('Données projet'!$A$36&gt;35,N99+M100-V99,IF(A100&lt;'Données projet'!$A$36,$K$205^A100,IF(A100='Données projet'!$A$36,'Données projet'!$B$36,N99+M100-V99)))</f>
        <v>258</v>
      </c>
      <c r="O100" s="14">
        <f>N100*VLOOKUP('Données projet'!$B$9,Paramètres!$A$1:$I$89,3,0)*VLOOKUP('Données projet'!$B$9,Paramètres!$A$1:$I$89,5,0)</f>
        <v>225.38880000000003</v>
      </c>
      <c r="P100" s="14">
        <f t="shared" si="87"/>
        <v>55.284460117161593</v>
      </c>
      <c r="Q100" s="22">
        <f t="shared" si="107"/>
        <v>488.83926137072314</v>
      </c>
      <c r="R100" s="60">
        <f t="shared" si="55"/>
        <v>782.17259470405645</v>
      </c>
      <c r="S100" s="60">
        <f ca="1">AVERAGE(OFFSET($R$3,0,0,'Données projet'!$E$9+1,1))-AVERAGE(OFFSET($H$3,0,0,'Données projet'!$E$9+1,1))</f>
        <v>369.34989412920129</v>
      </c>
      <c r="T100" s="60">
        <f t="shared" si="88"/>
        <v>371.26234252426553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-1.8089849618263545E-13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370.79299728190904</v>
      </c>
      <c r="AO100" s="60">
        <f t="shared" si="90"/>
        <v>404.95703400805775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-1.6671037883497774E-13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344.63665697794022</v>
      </c>
      <c r="BJ100" s="60">
        <f t="shared" si="92"/>
        <v>376.72762011188041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5.9</v>
      </c>
      <c r="BY100" s="13">
        <f>IF('Données projet'!$A$114&gt;35,BY99+BX100-CG99,IF(A100&lt;'Données projet'!$A$114,$BV$205^A100,IF(A100='Données projet'!$A$114,'Données projet'!$B$114,BY99+BX100-CG99)))</f>
        <v>343.30000000000007</v>
      </c>
      <c r="BZ100" s="14">
        <f>BY100*VLOOKUP('Données projet'!$B$12,Paramètres!$A$1:$I$89,3,0)*VLOOKUP('Données projet'!$B$12,Paramètres!$A$1:$I$89,5,0)</f>
        <v>310.61784000000006</v>
      </c>
      <c r="CA100" s="14">
        <f t="shared" si="93"/>
        <v>73.397844798859666</v>
      </c>
      <c r="CB100" s="22">
        <f t="shared" si="64"/>
        <v>668.82731769134739</v>
      </c>
      <c r="CC100" s="60">
        <f t="shared" si="65"/>
        <v>962.16065102468065</v>
      </c>
      <c r="CD100" s="60">
        <f ca="1">AVERAGE(OFFSET($CC$3,0,0,'Données projet'!$E$12+1,1))-AVERAGE(OFFSET($H$3,0,0,'Données projet'!$E$12+1,1))</f>
        <v>529.25712986118265</v>
      </c>
      <c r="CE100" s="60">
        <f t="shared" si="94"/>
        <v>278.21741231699929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5.9</v>
      </c>
      <c r="CT100" s="13">
        <f>IF('Données projet'!$A$140&gt;35,CT99+CS100-DB99,IF(A100&lt;'Données projet'!$A$140,$CQ$205^A100,IF(A100='Données projet'!$A$140,'Données projet'!$B$140,CT99+CS100-DB99)))</f>
        <v>343.30000000000007</v>
      </c>
      <c r="CU100" s="18">
        <f>CT100*VLOOKUP('Données projet'!$B$13,Paramètres!$A$1:$I$89,3,0)*VLOOKUP('Données projet'!$B$13,Paramètres!$A$1:$I$89,5,0)</f>
        <v>289.19592000000011</v>
      </c>
      <c r="CV100" s="14">
        <f t="shared" si="95"/>
        <v>68.906701138977212</v>
      </c>
      <c r="CW100" s="22">
        <f t="shared" si="67"/>
        <v>623.6953984837188</v>
      </c>
      <c r="CX100" s="60">
        <f t="shared" si="68"/>
        <v>917.02873181705218</v>
      </c>
      <c r="CY100" s="60">
        <f ca="1">AVERAGE(OFFSET($CX$3,0,0,'Données projet'!$E$13+1,1))-AVERAGE(OFFSET($H$3,0,0,'Données projet'!$E$13+1,1))</f>
        <v>495.77338291316386</v>
      </c>
      <c r="CZ100" s="60">
        <f t="shared" si="96"/>
        <v>261.95434270986397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2.2737367544323206E-13</v>
      </c>
      <c r="DP100" s="18">
        <f>DO100*VLOOKUP('Données projet'!$B$14,Paramètres!$A$1:$I$89,3,0)*VLOOKUP('Données projet'!$B$14,Paramètres!$A$1:$I$89,5,0)</f>
        <v>1.4897523215040565E-13</v>
      </c>
      <c r="DQ100" s="14">
        <f t="shared" si="97"/>
        <v>2.136562777003313E-12</v>
      </c>
      <c r="DR100" s="22">
        <f t="shared" si="70"/>
        <v>3.9806453659427267E-12</v>
      </c>
      <c r="DS100" s="60">
        <f t="shared" si="71"/>
        <v>293.33333333333729</v>
      </c>
      <c r="DT100" s="60">
        <f ca="1">AVERAGE(OFFSET($DS$3,0,0,'Données projet'!$E$14+1,1))-AVERAGE(OFFSET($H$3,0,0,'Données projet'!$E$14+1,1))</f>
        <v>275.11574966125522</v>
      </c>
      <c r="DU100" s="60">
        <f t="shared" si="98"/>
        <v>299.21520121860345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</v>
      </c>
      <c r="N101" s="14">
        <f>IF('Données projet'!$A$36&gt;35,N100+M101-V100,IF(A101&lt;'Données projet'!$A$36,$K$205^A101,IF(A101='Données projet'!$A$36,'Données projet'!$B$36,N100+M101-V100)))</f>
        <v>261</v>
      </c>
      <c r="O101" s="14">
        <f>N101*VLOOKUP('Données projet'!$B$9,Paramètres!$A$1:$I$89,3,0)*VLOOKUP('Données projet'!$B$9,Paramètres!$A$1:$I$89,5,0)</f>
        <v>228.00960000000003</v>
      </c>
      <c r="P101" s="14">
        <f t="shared" si="87"/>
        <v>55.852093054619829</v>
      </c>
      <c r="Q101" s="22">
        <f t="shared" si="107"/>
        <v>494.39244873679627</v>
      </c>
      <c r="R101" s="60">
        <f t="shared" si="55"/>
        <v>787.72578207012953</v>
      </c>
      <c r="S101" s="60">
        <f ca="1">AVERAGE(OFFSET($R$3,0,0,'Données projet'!$E$9+1,1))-AVERAGE(OFFSET($H$3,0,0,'Données projet'!$E$9+1,1))</f>
        <v>369.34989412920129</v>
      </c>
      <c r="T101" s="60">
        <f t="shared" si="88"/>
        <v>371.26234252426553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-1.8089849618263545E-13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370.79299728190904</v>
      </c>
      <c r="AO101" s="60">
        <f t="shared" si="90"/>
        <v>404.95703400805775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-1.6671037883497774E-13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344.63665697794022</v>
      </c>
      <c r="BJ101" s="60">
        <f t="shared" si="92"/>
        <v>376.72762011188041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5.9</v>
      </c>
      <c r="BY101" s="13">
        <f>IF('Données projet'!$A$114&gt;35,BY100+BX101-CG100,IF(A101&lt;'Données projet'!$A$114,$BV$205^A101,IF(A101='Données projet'!$A$114,'Données projet'!$B$114,BY100+BX101-CG100)))</f>
        <v>349.20000000000005</v>
      </c>
      <c r="BZ101" s="14">
        <f>BY101*VLOOKUP('Données projet'!$B$12,Paramètres!$A$1:$I$89,3,0)*VLOOKUP('Données projet'!$B$12,Paramètres!$A$1:$I$89,5,0)</f>
        <v>315.95616000000001</v>
      </c>
      <c r="CA101" s="14">
        <f t="shared" si="93"/>
        <v>74.511332350301046</v>
      </c>
      <c r="CB101" s="22">
        <f t="shared" si="64"/>
        <v>680.06421584344105</v>
      </c>
      <c r="CC101" s="60">
        <f t="shared" si="65"/>
        <v>973.39754917677442</v>
      </c>
      <c r="CD101" s="60">
        <f ca="1">AVERAGE(OFFSET($CC$3,0,0,'Données projet'!$E$12+1,1))-AVERAGE(OFFSET($H$3,0,0,'Données projet'!$E$12+1,1))</f>
        <v>529.25712986118265</v>
      </c>
      <c r="CE101" s="60">
        <f t="shared" si="94"/>
        <v>278.21741231699929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5.9</v>
      </c>
      <c r="CT101" s="13">
        <f>IF('Données projet'!$A$140&gt;35,CT100+CS101-DB100,IF(A101&lt;'Données projet'!$A$140,$CQ$205^A101,IF(A101='Données projet'!$A$140,'Données projet'!$B$140,CT100+CS101-DB100)))</f>
        <v>349.20000000000005</v>
      </c>
      <c r="CU101" s="18">
        <f>CT101*VLOOKUP('Données projet'!$B$13,Paramètres!$A$1:$I$89,3,0)*VLOOKUP('Données projet'!$B$13,Paramètres!$A$1:$I$89,5,0)</f>
        <v>294.16608000000008</v>
      </c>
      <c r="CV101" s="14">
        <f t="shared" si="95"/>
        <v>69.952055456115559</v>
      </c>
      <c r="CW101" s="22">
        <f t="shared" si="67"/>
        <v>634.1724192527347</v>
      </c>
      <c r="CX101" s="60">
        <f t="shared" si="68"/>
        <v>927.50575258606796</v>
      </c>
      <c r="CY101" s="60">
        <f ca="1">AVERAGE(OFFSET($CX$3,0,0,'Données projet'!$E$13+1,1))-AVERAGE(OFFSET($H$3,0,0,'Données projet'!$E$13+1,1))</f>
        <v>495.77338291316386</v>
      </c>
      <c r="CZ101" s="60">
        <f t="shared" si="96"/>
        <v>261.95434270986397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2.2737367544323206E-13</v>
      </c>
      <c r="DP101" s="18">
        <f>DO101*VLOOKUP('Données projet'!$B$14,Paramètres!$A$1:$I$89,3,0)*VLOOKUP('Données projet'!$B$14,Paramètres!$A$1:$I$89,5,0)</f>
        <v>1.4897523215040565E-13</v>
      </c>
      <c r="DQ101" s="14">
        <f t="shared" si="97"/>
        <v>2.136562777003313E-12</v>
      </c>
      <c r="DR101" s="22">
        <f t="shared" si="70"/>
        <v>3.9806453659427267E-12</v>
      </c>
      <c r="DS101" s="60">
        <f t="shared" si="71"/>
        <v>293.33333333333729</v>
      </c>
      <c r="DT101" s="60">
        <f ca="1">AVERAGE(OFFSET($DS$3,0,0,'Données projet'!$E$14+1,1))-AVERAGE(OFFSET($H$3,0,0,'Données projet'!$E$14+1,1))</f>
        <v>275.11574966125522</v>
      </c>
      <c r="DU101" s="60">
        <f t="shared" si="98"/>
        <v>299.21520121860345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</v>
      </c>
      <c r="N102" s="14">
        <f>IF('Données projet'!$A$36&gt;35,N101+M102-V101,IF(A102&lt;'Données projet'!$A$36,$K$205^A102,IF(A102='Données projet'!$A$36,'Données projet'!$B$36,N101+M102-V101)))</f>
        <v>264</v>
      </c>
      <c r="O102" s="14">
        <f>N102*VLOOKUP('Données projet'!$B$9,Paramètres!$A$1:$I$89,3,0)*VLOOKUP('Données projet'!$B$9,Paramètres!$A$1:$I$89,5,0)</f>
        <v>230.63040000000001</v>
      </c>
      <c r="P102" s="14">
        <f t="shared" si="87"/>
        <v>56.418967028503253</v>
      </c>
      <c r="Q102" s="22">
        <f t="shared" si="107"/>
        <v>499.94431424130977</v>
      </c>
      <c r="R102" s="60">
        <f t="shared" si="55"/>
        <v>793.27764757464308</v>
      </c>
      <c r="S102" s="60">
        <f ca="1">AVERAGE(OFFSET($R$3,0,0,'Données projet'!$E$9+1,1))-AVERAGE(OFFSET($H$3,0,0,'Données projet'!$E$9+1,1))</f>
        <v>369.34989412920129</v>
      </c>
      <c r="T102" s="60">
        <f t="shared" si="88"/>
        <v>371.26234252426553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-1.8089849618263545E-13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370.79299728190904</v>
      </c>
      <c r="AO102" s="60">
        <f t="shared" si="90"/>
        <v>404.95703400805775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-1.6671037883497774E-13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344.63665697794022</v>
      </c>
      <c r="BJ102" s="60">
        <f t="shared" si="92"/>
        <v>376.72762011188041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5.9</v>
      </c>
      <c r="BY102" s="13">
        <f>IF('Données projet'!$A$114&gt;35,BY101+BX102-CG101,IF(A102&lt;'Données projet'!$A$114,$BV$205^A102,IF(A102='Données projet'!$A$114,'Données projet'!$B$114,BY101+BX102-CG101)))</f>
        <v>355.1</v>
      </c>
      <c r="BZ102" s="14">
        <f>BY102*VLOOKUP('Données projet'!$B$12,Paramètres!$A$1:$I$89,3,0)*VLOOKUP('Données projet'!$B$12,Paramètres!$A$1:$I$89,5,0)</f>
        <v>321.29448000000002</v>
      </c>
      <c r="CA102" s="14">
        <f t="shared" si="93"/>
        <v>75.622632084792471</v>
      </c>
      <c r="CB102" s="22">
        <f t="shared" si="64"/>
        <v>691.29730354768026</v>
      </c>
      <c r="CC102" s="60">
        <f t="shared" si="65"/>
        <v>984.63063688101352</v>
      </c>
      <c r="CD102" s="60">
        <f ca="1">AVERAGE(OFFSET($CC$3,0,0,'Données projet'!$E$12+1,1))-AVERAGE(OFFSET($H$3,0,0,'Données projet'!$E$12+1,1))</f>
        <v>529.25712986118265</v>
      </c>
      <c r="CE102" s="60">
        <f t="shared" si="94"/>
        <v>278.21741231699929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5.9</v>
      </c>
      <c r="CT102" s="13">
        <f>IF('Données projet'!$A$140&gt;35,CT101+CS102-DB101,IF(A102&lt;'Données projet'!$A$140,$CQ$205^A102,IF(A102='Données projet'!$A$140,'Données projet'!$B$140,CT101+CS102-DB101)))</f>
        <v>355.1</v>
      </c>
      <c r="CU102" s="18">
        <f>CT102*VLOOKUP('Données projet'!$B$13,Paramètres!$A$1:$I$89,3,0)*VLOOKUP('Données projet'!$B$13,Paramètres!$A$1:$I$89,5,0)</f>
        <v>299.13624000000004</v>
      </c>
      <c r="CV102" s="14">
        <f t="shared" si="95"/>
        <v>70.995355826722886</v>
      </c>
      <c r="CW102" s="22">
        <f t="shared" si="67"/>
        <v>644.64586273154237</v>
      </c>
      <c r="CX102" s="60">
        <f t="shared" si="68"/>
        <v>937.97919606487562</v>
      </c>
      <c r="CY102" s="60">
        <f ca="1">AVERAGE(OFFSET($CX$3,0,0,'Données projet'!$E$13+1,1))-AVERAGE(OFFSET($H$3,0,0,'Données projet'!$E$13+1,1))</f>
        <v>495.77338291316386</v>
      </c>
      <c r="CZ102" s="60">
        <f t="shared" si="96"/>
        <v>261.95434270986397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2.2737367544323206E-13</v>
      </c>
      <c r="DP102" s="18">
        <f>DO102*VLOOKUP('Données projet'!$B$14,Paramètres!$A$1:$I$89,3,0)*VLOOKUP('Données projet'!$B$14,Paramètres!$A$1:$I$89,5,0)</f>
        <v>1.4897523215040565E-13</v>
      </c>
      <c r="DQ102" s="14">
        <f t="shared" si="97"/>
        <v>2.136562777003313E-12</v>
      </c>
      <c r="DR102" s="22">
        <f t="shared" si="70"/>
        <v>3.9806453659427267E-12</v>
      </c>
      <c r="DS102" s="60">
        <f t="shared" si="71"/>
        <v>293.33333333333729</v>
      </c>
      <c r="DT102" s="60">
        <f ca="1">AVERAGE(OFFSET($DS$3,0,0,'Données projet'!$E$14+1,1))-AVERAGE(OFFSET($H$3,0,0,'Données projet'!$E$14+1,1))</f>
        <v>275.11574966125522</v>
      </c>
      <c r="DU102" s="60">
        <f t="shared" si="98"/>
        <v>299.21520121860345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267</v>
      </c>
      <c r="L103" s="13">
        <f>VLOOKUP(A103,'Données projet'!$A$35:$I$55,9,0)</f>
        <v>3</v>
      </c>
      <c r="M103" s="13">
        <f t="array" ref="M103">INDEX(L:L,MIN(IF(ISNUMBER(L103:L299),ROW(L103:L299),"")))</f>
        <v>3</v>
      </c>
      <c r="N103" s="14">
        <f>IF('Données projet'!$A$36&gt;35,N102+M103-V102,IF(A103&lt;'Données projet'!$A$36,$K$205^A103,IF(A103='Données projet'!$A$36,'Données projet'!$B$36,N102+M103-V102)))</f>
        <v>267</v>
      </c>
      <c r="O103" s="14">
        <f>N103*VLOOKUP('Données projet'!$B$9,Paramètres!$A$1:$I$89,3,0)*VLOOKUP('Données projet'!$B$9,Paramètres!$A$1:$I$89,5,0)</f>
        <v>233.25120000000001</v>
      </c>
      <c r="P103" s="14">
        <f t="shared" si="87"/>
        <v>56.985091661350864</v>
      </c>
      <c r="Q103" s="22">
        <f t="shared" si="107"/>
        <v>505.49487464351938</v>
      </c>
      <c r="R103" s="60">
        <f t="shared" si="55"/>
        <v>798.8282079768527</v>
      </c>
      <c r="S103" s="60">
        <f ca="1">AVERAGE(OFFSET($R$3,0,0,'Données projet'!$E$9+1,1))-AVERAGE(OFFSET($H$3,0,0,'Données projet'!$E$9+1,1))</f>
        <v>369.34989412920129</v>
      </c>
      <c r="T103" s="60">
        <f t="shared" si="88"/>
        <v>371.26234252426553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267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-1.8089849618263545E-13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370.79299728190904</v>
      </c>
      <c r="AO103" s="60">
        <f t="shared" si="90"/>
        <v>404.95703400805775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-1.6671037883497774E-13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344.63665697794022</v>
      </c>
      <c r="BJ103" s="60">
        <f t="shared" si="92"/>
        <v>376.72762011188041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361</v>
      </c>
      <c r="BW103" s="13">
        <f>VLOOKUP(A103,'Données projet'!$A$113:$I$133,9,0)</f>
        <v>5.9</v>
      </c>
      <c r="BX103" s="13">
        <f t="array" ref="BX103">INDEX(BW:BW,MIN(IF(ISNUMBER(BW103:BW299),ROW(BW103:BW299),"")))</f>
        <v>5.9</v>
      </c>
      <c r="BY103" s="13">
        <f>IF('Données projet'!$A$114&gt;35,BY102+BX103-CG102,IF(A103&lt;'Données projet'!$A$114,$BV$205^A103,IF(A103='Données projet'!$A$114,'Données projet'!$B$114,BY102+BX103-CG102)))</f>
        <v>361</v>
      </c>
      <c r="BZ103" s="14">
        <f>BY103*VLOOKUP('Données projet'!$B$12,Paramètres!$A$1:$I$89,3,0)*VLOOKUP('Données projet'!$B$12,Paramètres!$A$1:$I$89,5,0)</f>
        <v>326.63280000000003</v>
      </c>
      <c r="CA103" s="14">
        <f t="shared" si="93"/>
        <v>76.731784548754845</v>
      </c>
      <c r="CB103" s="22">
        <f t="shared" si="64"/>
        <v>702.52665142241483</v>
      </c>
      <c r="CC103" s="60">
        <f t="shared" si="65"/>
        <v>995.8599847557482</v>
      </c>
      <c r="CD103" s="60">
        <f ca="1">AVERAGE(OFFSET($CC$3,0,0,'Données projet'!$E$12+1,1))-AVERAGE(OFFSET($H$3,0,0,'Données projet'!$E$12+1,1))</f>
        <v>529.25712986118265</v>
      </c>
      <c r="CE103" s="60">
        <f t="shared" si="94"/>
        <v>278.21741231699929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361</v>
      </c>
      <c r="CR103" s="13">
        <f>VLOOKUP(A103,'Données projet'!$A$139:$I$159,9,0)</f>
        <v>5.9</v>
      </c>
      <c r="CS103" s="13">
        <f t="array" ref="CS103">INDEX(CR:CR,MIN(IF(ISNUMBER(CR103:CR299),ROW(CR103:CR299),"")))</f>
        <v>5.9</v>
      </c>
      <c r="CT103" s="13">
        <f>IF('Données projet'!$A$140&gt;35,CT102+CS103-DB102,IF(A103&lt;'Données projet'!$A$140,$CQ$205^A103,IF(A103='Données projet'!$A$140,'Données projet'!$B$140,CT102+CS103-DB102)))</f>
        <v>361</v>
      </c>
      <c r="CU103" s="18">
        <f>CT103*VLOOKUP('Données projet'!$B$13,Paramètres!$A$1:$I$89,3,0)*VLOOKUP('Données projet'!$B$13,Paramètres!$A$1:$I$89,5,0)</f>
        <v>304.10640000000006</v>
      </c>
      <c r="CV103" s="14">
        <f t="shared" si="95"/>
        <v>72.036640316223298</v>
      </c>
      <c r="CW103" s="22">
        <f t="shared" si="67"/>
        <v>655.11579521742237</v>
      </c>
      <c r="CX103" s="60">
        <f t="shared" si="68"/>
        <v>948.44912855075563</v>
      </c>
      <c r="CY103" s="60">
        <f ca="1">AVERAGE(OFFSET($CX$3,0,0,'Données projet'!$E$13+1,1))-AVERAGE(OFFSET($H$3,0,0,'Données projet'!$E$13+1,1))</f>
        <v>495.77338291316386</v>
      </c>
      <c r="CZ103" s="60">
        <f t="shared" si="96"/>
        <v>261.95434270986397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2.2737367544323206E-13</v>
      </c>
      <c r="DP103" s="18">
        <f>DO103*VLOOKUP('Données projet'!$B$14,Paramètres!$A$1:$I$89,3,0)*VLOOKUP('Données projet'!$B$14,Paramètres!$A$1:$I$89,5,0)</f>
        <v>1.4897523215040565E-13</v>
      </c>
      <c r="DQ103" s="14">
        <f t="shared" si="97"/>
        <v>2.136562777003313E-12</v>
      </c>
      <c r="DR103" s="22">
        <f t="shared" si="70"/>
        <v>3.9806453659427267E-12</v>
      </c>
      <c r="DS103" s="60">
        <f t="shared" si="71"/>
        <v>293.33333333333729</v>
      </c>
      <c r="DT103" s="60">
        <f ca="1">AVERAGE(OFFSET($DS$3,0,0,'Données projet'!$E$14+1,1))-AVERAGE(OFFSET($H$3,0,0,'Données projet'!$E$14+1,1))</f>
        <v>275.11574966125522</v>
      </c>
      <c r="DU103" s="60">
        <f t="shared" si="98"/>
        <v>299.21520121860345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369.34989412920129</v>
      </c>
      <c r="T104" s="60">
        <f t="shared" si="88"/>
        <v>371.26234252426553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-1.8089849618263545E-13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370.79299728190904</v>
      </c>
      <c r="AO104" s="60">
        <f t="shared" si="90"/>
        <v>404.95703400805775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-1.6671037883497774E-13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344.63665697794022</v>
      </c>
      <c r="BJ104" s="60">
        <f t="shared" si="92"/>
        <v>376.72762011188041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5.2</v>
      </c>
      <c r="BY104" s="13">
        <f>IF('Données projet'!$A$114&gt;35,BY103+BX104-CG103,IF(A104&lt;'Données projet'!$A$114,$BV$205^A104,IF(A104='Données projet'!$A$114,'Données projet'!$B$114,BY103+BX104-CG103)))</f>
        <v>366.2</v>
      </c>
      <c r="BZ104" s="14">
        <f>BY104*VLOOKUP('Données projet'!$B$12,Paramètres!$A$1:$I$89,3,0)*VLOOKUP('Données projet'!$B$12,Paramètres!$A$1:$I$89,5,0)</f>
        <v>331.33776</v>
      </c>
      <c r="CA104" s="14">
        <f t="shared" si="93"/>
        <v>77.707593612890619</v>
      </c>
      <c r="CB104" s="22">
        <f t="shared" si="64"/>
        <v>712.42065754245107</v>
      </c>
      <c r="CC104" s="60">
        <f t="shared" si="65"/>
        <v>1005.7539908757844</v>
      </c>
      <c r="CD104" s="60">
        <f ca="1">AVERAGE(OFFSET($CC$3,0,0,'Données projet'!$E$12+1,1))-AVERAGE(OFFSET($H$3,0,0,'Données projet'!$E$12+1,1))</f>
        <v>529.25712986118265</v>
      </c>
      <c r="CE104" s="60">
        <f t="shared" si="94"/>
        <v>278.21741231699929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5.2</v>
      </c>
      <c r="CT104" s="13">
        <f>IF('Données projet'!$A$140&gt;35,CT103+CS104-DB103,IF(A104&lt;'Données projet'!$A$140,$CQ$205^A104,IF(A104='Données projet'!$A$140,'Données projet'!$B$140,CT103+CS104-DB103)))</f>
        <v>366.2</v>
      </c>
      <c r="CU104" s="18">
        <f>CT104*VLOOKUP('Données projet'!$B$13,Paramètres!$A$1:$I$89,3,0)*VLOOKUP('Données projet'!$B$13,Paramètres!$A$1:$I$89,5,0)</f>
        <v>308.48688000000004</v>
      </c>
      <c r="CV104" s="14">
        <f t="shared" si="95"/>
        <v>72.952740560520297</v>
      </c>
      <c r="CW104" s="22">
        <f t="shared" si="67"/>
        <v>664.34067247623955</v>
      </c>
      <c r="CX104" s="60">
        <f t="shared" si="68"/>
        <v>957.67400580957292</v>
      </c>
      <c r="CY104" s="60">
        <f ca="1">AVERAGE(OFFSET($CX$3,0,0,'Données projet'!$E$13+1,1))-AVERAGE(OFFSET($H$3,0,0,'Données projet'!$E$13+1,1))</f>
        <v>495.77338291316386</v>
      </c>
      <c r="CZ104" s="60">
        <f t="shared" si="96"/>
        <v>261.95434270986397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2.2737367544323206E-13</v>
      </c>
      <c r="DP104" s="18">
        <f>DO104*VLOOKUP('Données projet'!$B$14,Paramètres!$A$1:$I$89,3,0)*VLOOKUP('Données projet'!$B$14,Paramètres!$A$1:$I$89,5,0)</f>
        <v>1.4897523215040565E-13</v>
      </c>
      <c r="DQ104" s="14">
        <f t="shared" si="97"/>
        <v>2.136562777003313E-12</v>
      </c>
      <c r="DR104" s="22">
        <f t="shared" si="70"/>
        <v>3.9806453659427267E-12</v>
      </c>
      <c r="DS104" s="60">
        <f t="shared" si="71"/>
        <v>293.33333333333729</v>
      </c>
      <c r="DT104" s="60">
        <f ca="1">AVERAGE(OFFSET($DS$3,0,0,'Données projet'!$E$14+1,1))-AVERAGE(OFFSET($H$3,0,0,'Données projet'!$E$14+1,1))</f>
        <v>275.11574966125522</v>
      </c>
      <c r="DU104" s="60">
        <f t="shared" si="98"/>
        <v>299.21520121860345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369.34989412920129</v>
      </c>
      <c r="T105" s="60">
        <f t="shared" si="88"/>
        <v>371.26234252426553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-1.8089849618263545E-13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370.79299728190904</v>
      </c>
      <c r="AO105" s="60">
        <f t="shared" si="90"/>
        <v>404.95703400805775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-1.6671037883497774E-13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344.63665697794022</v>
      </c>
      <c r="BJ105" s="60">
        <f t="shared" si="92"/>
        <v>376.72762011188041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5.2</v>
      </c>
      <c r="BY105" s="13">
        <f>IF('Données projet'!$A$114&gt;35,BY104+BX105-CG104,IF(A105&lt;'Données projet'!$A$114,$BV$205^A105,IF(A105='Données projet'!$A$114,'Données projet'!$B$114,BY104+BX105-CG104)))</f>
        <v>371.4</v>
      </c>
      <c r="BZ105" s="14">
        <f>BY105*VLOOKUP('Données projet'!$B$12,Paramètres!$A$1:$I$89,3,0)*VLOOKUP('Données projet'!$B$12,Paramètres!$A$1:$I$89,5,0)</f>
        <v>336.04271999999997</v>
      </c>
      <c r="CA105" s="14">
        <f t="shared" si="93"/>
        <v>78.681791069086316</v>
      </c>
      <c r="CB105" s="22">
        <f t="shared" si="64"/>
        <v>722.31185677865858</v>
      </c>
      <c r="CC105" s="60">
        <f t="shared" si="65"/>
        <v>1015.645190111992</v>
      </c>
      <c r="CD105" s="60">
        <f ca="1">AVERAGE(OFFSET($CC$3,0,0,'Données projet'!$E$12+1,1))-AVERAGE(OFFSET($H$3,0,0,'Données projet'!$E$12+1,1))</f>
        <v>529.25712986118265</v>
      </c>
      <c r="CE105" s="60">
        <f t="shared" si="94"/>
        <v>278.21741231699929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5.2</v>
      </c>
      <c r="CT105" s="13">
        <f>IF('Données projet'!$A$140&gt;35,CT104+CS105-DB104,IF(A105&lt;'Données projet'!$A$140,$CQ$205^A105,IF(A105='Données projet'!$A$140,'Données projet'!$B$140,CT104+CS105-DB104)))</f>
        <v>371.4</v>
      </c>
      <c r="CU105" s="18">
        <f>CT105*VLOOKUP('Données projet'!$B$13,Paramètres!$A$1:$I$89,3,0)*VLOOKUP('Données projet'!$B$13,Paramètres!$A$1:$I$89,5,0)</f>
        <v>312.86736000000002</v>
      </c>
      <c r="CV105" s="14">
        <f t="shared" si="95"/>
        <v>73.867327809619979</v>
      </c>
      <c r="CW105" s="22">
        <f t="shared" si="67"/>
        <v>673.56291460175487</v>
      </c>
      <c r="CX105" s="60">
        <f t="shared" si="68"/>
        <v>966.89624793508824</v>
      </c>
      <c r="CY105" s="60">
        <f ca="1">AVERAGE(OFFSET($CX$3,0,0,'Données projet'!$E$13+1,1))-AVERAGE(OFFSET($H$3,0,0,'Données projet'!$E$13+1,1))</f>
        <v>495.77338291316386</v>
      </c>
      <c r="CZ105" s="60">
        <f t="shared" si="96"/>
        <v>261.95434270986397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2.2737367544323206E-13</v>
      </c>
      <c r="DP105" s="18">
        <f>DO105*VLOOKUP('Données projet'!$B$14,Paramètres!$A$1:$I$89,3,0)*VLOOKUP('Données projet'!$B$14,Paramètres!$A$1:$I$89,5,0)</f>
        <v>1.4897523215040565E-13</v>
      </c>
      <c r="DQ105" s="14">
        <f t="shared" si="97"/>
        <v>2.136562777003313E-12</v>
      </c>
      <c r="DR105" s="22">
        <f t="shared" si="70"/>
        <v>3.9806453659427267E-12</v>
      </c>
      <c r="DS105" s="60">
        <f t="shared" si="71"/>
        <v>293.33333333333729</v>
      </c>
      <c r="DT105" s="60">
        <f ca="1">AVERAGE(OFFSET($DS$3,0,0,'Données projet'!$E$14+1,1))-AVERAGE(OFFSET($H$3,0,0,'Données projet'!$E$14+1,1))</f>
        <v>275.11574966125522</v>
      </c>
      <c r="DU105" s="60">
        <f t="shared" si="98"/>
        <v>299.21520121860345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369.34989412920129</v>
      </c>
      <c r="T106" s="60">
        <f t="shared" si="88"/>
        <v>371.26234252426553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-1.8089849618263545E-13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370.79299728190904</v>
      </c>
      <c r="AO106" s="60">
        <f t="shared" si="90"/>
        <v>404.95703400805775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-1.6671037883497774E-13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344.63665697794022</v>
      </c>
      <c r="BJ106" s="60">
        <f t="shared" si="92"/>
        <v>376.72762011188041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5.2</v>
      </c>
      <c r="BY106" s="13">
        <f>IF('Données projet'!$A$114&gt;35,BY105+BX106-CG105,IF(A106&lt;'Données projet'!$A$114,$BV$205^A106,IF(A106='Données projet'!$A$114,'Données projet'!$B$114,BY105+BX106-CG105)))</f>
        <v>376.59999999999997</v>
      </c>
      <c r="BZ106" s="14">
        <f>BY106*VLOOKUP('Données projet'!$B$12,Paramètres!$A$1:$I$89,3,0)*VLOOKUP('Données projet'!$B$12,Paramètres!$A$1:$I$89,5,0)</f>
        <v>340.74767999999995</v>
      </c>
      <c r="CA106" s="14">
        <f t="shared" si="93"/>
        <v>79.654402089206556</v>
      </c>
      <c r="CB106" s="22">
        <f t="shared" si="64"/>
        <v>732.20029297203462</v>
      </c>
      <c r="CC106" s="60">
        <f t="shared" si="65"/>
        <v>1025.533626305368</v>
      </c>
      <c r="CD106" s="60">
        <f ca="1">AVERAGE(OFFSET($CC$3,0,0,'Données projet'!$E$12+1,1))-AVERAGE(OFFSET($H$3,0,0,'Données projet'!$E$12+1,1))</f>
        <v>529.25712986118265</v>
      </c>
      <c r="CE106" s="60">
        <f t="shared" si="94"/>
        <v>278.21741231699929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5.2</v>
      </c>
      <c r="CT106" s="13">
        <f>IF('Données projet'!$A$140&gt;35,CT105+CS106-DB105,IF(A106&lt;'Données projet'!$A$140,$CQ$205^A106,IF(A106='Données projet'!$A$140,'Données projet'!$B$140,CT105+CS106-DB105)))</f>
        <v>376.59999999999997</v>
      </c>
      <c r="CU106" s="18">
        <f>CT106*VLOOKUP('Données projet'!$B$13,Paramètres!$A$1:$I$89,3,0)*VLOOKUP('Données projet'!$B$13,Paramètres!$A$1:$I$89,5,0)</f>
        <v>317.24784</v>
      </c>
      <c r="CV106" s="14">
        <f t="shared" si="95"/>
        <v>74.780425695144572</v>
      </c>
      <c r="CW106" s="22">
        <f t="shared" si="67"/>
        <v>682.78256275237675</v>
      </c>
      <c r="CX106" s="60">
        <f t="shared" si="68"/>
        <v>976.11589608571012</v>
      </c>
      <c r="CY106" s="60">
        <f ca="1">AVERAGE(OFFSET($CX$3,0,0,'Données projet'!$E$13+1,1))-AVERAGE(OFFSET($H$3,0,0,'Données projet'!$E$13+1,1))</f>
        <v>495.77338291316386</v>
      </c>
      <c r="CZ106" s="60">
        <f t="shared" si="96"/>
        <v>261.95434270986397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2.2737367544323206E-13</v>
      </c>
      <c r="DP106" s="18">
        <f>DO106*VLOOKUP('Données projet'!$B$14,Paramètres!$A$1:$I$89,3,0)*VLOOKUP('Données projet'!$B$14,Paramètres!$A$1:$I$89,5,0)</f>
        <v>1.4897523215040565E-13</v>
      </c>
      <c r="DQ106" s="14">
        <f t="shared" si="97"/>
        <v>2.136562777003313E-12</v>
      </c>
      <c r="DR106" s="22">
        <f t="shared" si="70"/>
        <v>3.9806453659427267E-12</v>
      </c>
      <c r="DS106" s="60">
        <f t="shared" si="71"/>
        <v>293.33333333333729</v>
      </c>
      <c r="DT106" s="60">
        <f ca="1">AVERAGE(OFFSET($DS$3,0,0,'Données projet'!$E$14+1,1))-AVERAGE(OFFSET($H$3,0,0,'Données projet'!$E$14+1,1))</f>
        <v>275.11574966125522</v>
      </c>
      <c r="DU106" s="60">
        <f t="shared" si="98"/>
        <v>299.21520121860345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369.34989412920129</v>
      </c>
      <c r="T107" s="60">
        <f t="shared" si="88"/>
        <v>371.26234252426553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-1.8089849618263545E-13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370.79299728190904</v>
      </c>
      <c r="AO107" s="60">
        <f t="shared" si="90"/>
        <v>404.95703400805775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-1.6671037883497774E-13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344.63665697794022</v>
      </c>
      <c r="BJ107" s="60">
        <f t="shared" si="92"/>
        <v>376.72762011188041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5.2</v>
      </c>
      <c r="BY107" s="13">
        <f>IF('Données projet'!$A$114&gt;35,BY106+BX107-CG106,IF(A107&lt;'Données projet'!$A$114,$BV$205^A107,IF(A107='Données projet'!$A$114,'Données projet'!$B$114,BY106+BX107-CG106)))</f>
        <v>381.79999999999995</v>
      </c>
      <c r="BZ107" s="14">
        <f>BY107*VLOOKUP('Données projet'!$B$12,Paramètres!$A$1:$I$89,3,0)*VLOOKUP('Données projet'!$B$12,Paramètres!$A$1:$I$89,5,0)</f>
        <v>345.45263999999997</v>
      </c>
      <c r="CA107" s="14">
        <f t="shared" si="93"/>
        <v>80.625451110046569</v>
      </c>
      <c r="CB107" s="22">
        <f t="shared" si="64"/>
        <v>742.08600868333099</v>
      </c>
      <c r="CC107" s="60">
        <f t="shared" si="65"/>
        <v>1035.4193420166644</v>
      </c>
      <c r="CD107" s="60">
        <f ca="1">AVERAGE(OFFSET($CC$3,0,0,'Données projet'!$E$12+1,1))-AVERAGE(OFFSET($H$3,0,0,'Données projet'!$E$12+1,1))</f>
        <v>529.25712986118265</v>
      </c>
      <c r="CE107" s="60">
        <f t="shared" si="94"/>
        <v>278.21741231699929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5.2</v>
      </c>
      <c r="CT107" s="13">
        <f>IF('Données projet'!$A$140&gt;35,CT106+CS107-DB106,IF(A107&lt;'Données projet'!$A$140,$CQ$205^A107,IF(A107='Données projet'!$A$140,'Données projet'!$B$140,CT106+CS107-DB106)))</f>
        <v>381.79999999999995</v>
      </c>
      <c r="CU107" s="18">
        <f>CT107*VLOOKUP('Données projet'!$B$13,Paramètres!$A$1:$I$89,3,0)*VLOOKUP('Données projet'!$B$13,Paramètres!$A$1:$I$89,5,0)</f>
        <v>321.62832000000003</v>
      </c>
      <c r="CV107" s="14">
        <f t="shared" si="95"/>
        <v>75.692057158625346</v>
      </c>
      <c r="CW107" s="22">
        <f t="shared" si="67"/>
        <v>691.99965688460588</v>
      </c>
      <c r="CX107" s="60">
        <f t="shared" si="68"/>
        <v>985.33299021793914</v>
      </c>
      <c r="CY107" s="60">
        <f ca="1">AVERAGE(OFFSET($CX$3,0,0,'Données projet'!$E$13+1,1))-AVERAGE(OFFSET($H$3,0,0,'Données projet'!$E$13+1,1))</f>
        <v>495.77338291316386</v>
      </c>
      <c r="CZ107" s="60">
        <f t="shared" si="96"/>
        <v>261.95434270986397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2.2737367544323206E-13</v>
      </c>
      <c r="DP107" s="18">
        <f>DO107*VLOOKUP('Données projet'!$B$14,Paramètres!$A$1:$I$89,3,0)*VLOOKUP('Données projet'!$B$14,Paramètres!$A$1:$I$89,5,0)</f>
        <v>1.4897523215040565E-13</v>
      </c>
      <c r="DQ107" s="14">
        <f t="shared" si="97"/>
        <v>2.136562777003313E-12</v>
      </c>
      <c r="DR107" s="22">
        <f t="shared" si="70"/>
        <v>3.9806453659427267E-12</v>
      </c>
      <c r="DS107" s="60">
        <f t="shared" si="71"/>
        <v>293.33333333333729</v>
      </c>
      <c r="DT107" s="60">
        <f ca="1">AVERAGE(OFFSET($DS$3,0,0,'Données projet'!$E$14+1,1))-AVERAGE(OFFSET($H$3,0,0,'Données projet'!$E$14+1,1))</f>
        <v>275.11574966125522</v>
      </c>
      <c r="DU107" s="60">
        <f t="shared" si="98"/>
        <v>299.21520121860345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369.34989412920129</v>
      </c>
      <c r="T108" s="60">
        <f t="shared" si="88"/>
        <v>371.26234252426553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-1.8089849618263545E-13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370.79299728190904</v>
      </c>
      <c r="AO108" s="60">
        <f t="shared" si="90"/>
        <v>404.95703400805775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-1.6671037883497774E-13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344.63665697794022</v>
      </c>
      <c r="BJ108" s="60">
        <f t="shared" si="92"/>
        <v>376.72762011188041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5.2</v>
      </c>
      <c r="BY108" s="13">
        <f>IF('Données projet'!$A$114&gt;35,BY107+BX108-CG107,IF(A108&lt;'Données projet'!$A$114,$BV$205^A108,IF(A108='Données projet'!$A$114,'Données projet'!$B$114,BY107+BX108-CG107)))</f>
        <v>386.99999999999994</v>
      </c>
      <c r="BZ108" s="14">
        <f>BY108*VLOOKUP('Données projet'!$B$12,Paramètres!$A$1:$I$89,3,0)*VLOOKUP('Données projet'!$B$12,Paramètres!$A$1:$I$89,5,0)</f>
        <v>350.15759999999995</v>
      </c>
      <c r="CA108" s="14">
        <f t="shared" si="93"/>
        <v>81.59496186451068</v>
      </c>
      <c r="CB108" s="22">
        <f t="shared" si="64"/>
        <v>751.96904524735601</v>
      </c>
      <c r="CC108" s="60">
        <f t="shared" si="65"/>
        <v>1045.3023785806893</v>
      </c>
      <c r="CD108" s="60">
        <f ca="1">AVERAGE(OFFSET($CC$3,0,0,'Données projet'!$E$12+1,1))-AVERAGE(OFFSET($H$3,0,0,'Données projet'!$E$12+1,1))</f>
        <v>529.25712986118265</v>
      </c>
      <c r="CE108" s="60">
        <f t="shared" si="94"/>
        <v>278.21741231699929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5.2</v>
      </c>
      <c r="CT108" s="13">
        <f>IF('Données projet'!$A$140&gt;35,CT107+CS108-DB107,IF(A108&lt;'Données projet'!$A$140,$CQ$205^A108,IF(A108='Données projet'!$A$140,'Données projet'!$B$140,CT107+CS108-DB107)))</f>
        <v>386.99999999999994</v>
      </c>
      <c r="CU108" s="18">
        <f>CT108*VLOOKUP('Données projet'!$B$13,Paramètres!$A$1:$I$89,3,0)*VLOOKUP('Données projet'!$B$13,Paramètres!$A$1:$I$89,5,0)</f>
        <v>326.00880000000001</v>
      </c>
      <c r="CV108" s="14">
        <f t="shared" si="95"/>
        <v>76.602244480772981</v>
      </c>
      <c r="CW108" s="22">
        <f t="shared" si="67"/>
        <v>701.2142358040129</v>
      </c>
      <c r="CX108" s="60">
        <f t="shared" si="68"/>
        <v>994.54756913734627</v>
      </c>
      <c r="CY108" s="60">
        <f ca="1">AVERAGE(OFFSET($CX$3,0,0,'Données projet'!$E$13+1,1))-AVERAGE(OFFSET($H$3,0,0,'Données projet'!$E$13+1,1))</f>
        <v>495.77338291316386</v>
      </c>
      <c r="CZ108" s="60">
        <f t="shared" si="96"/>
        <v>261.95434270986397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2.2737367544323206E-13</v>
      </c>
      <c r="DP108" s="18">
        <f>DO108*VLOOKUP('Données projet'!$B$14,Paramètres!$A$1:$I$89,3,0)*VLOOKUP('Données projet'!$B$14,Paramètres!$A$1:$I$89,5,0)</f>
        <v>1.4897523215040565E-13</v>
      </c>
      <c r="DQ108" s="14">
        <f t="shared" si="97"/>
        <v>2.136562777003313E-12</v>
      </c>
      <c r="DR108" s="22">
        <f t="shared" si="70"/>
        <v>3.9806453659427267E-12</v>
      </c>
      <c r="DS108" s="60">
        <f t="shared" si="71"/>
        <v>293.33333333333729</v>
      </c>
      <c r="DT108" s="60">
        <f ca="1">AVERAGE(OFFSET($DS$3,0,0,'Données projet'!$E$14+1,1))-AVERAGE(OFFSET($H$3,0,0,'Données projet'!$E$14+1,1))</f>
        <v>275.11574966125522</v>
      </c>
      <c r="DU108" s="60">
        <f t="shared" si="98"/>
        <v>299.21520121860345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369.34989412920129</v>
      </c>
      <c r="T109" s="60">
        <f t="shared" si="88"/>
        <v>371.26234252426553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-1.8089849618263545E-13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370.79299728190904</v>
      </c>
      <c r="AO109" s="60">
        <f t="shared" si="90"/>
        <v>404.95703400805775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-1.6671037883497774E-13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344.63665697794022</v>
      </c>
      <c r="BJ109" s="60">
        <f t="shared" si="92"/>
        <v>376.72762011188041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5.2</v>
      </c>
      <c r="BY109" s="13">
        <f>IF('Données projet'!$A$114&gt;35,BY108+BX109-CG108,IF(A109&lt;'Données projet'!$A$114,$BV$205^A109,IF(A109='Données projet'!$A$114,'Données projet'!$B$114,BY108+BX109-CG108)))</f>
        <v>392.19999999999993</v>
      </c>
      <c r="BZ109" s="14">
        <f>BY109*VLOOKUP('Données projet'!$B$12,Paramètres!$A$1:$I$89,3,0)*VLOOKUP('Données projet'!$B$12,Paramètres!$A$1:$I$89,5,0)</f>
        <v>354.86255999999992</v>
      </c>
      <c r="CA109" s="14">
        <f t="shared" si="93"/>
        <v>82.56295741106787</v>
      </c>
      <c r="CB109" s="22">
        <f t="shared" si="64"/>
        <v>761.84944282427648</v>
      </c>
      <c r="CC109" s="60">
        <f t="shared" si="65"/>
        <v>1055.1827761576099</v>
      </c>
      <c r="CD109" s="60">
        <f ca="1">AVERAGE(OFFSET($CC$3,0,0,'Données projet'!$E$12+1,1))-AVERAGE(OFFSET($H$3,0,0,'Données projet'!$E$12+1,1))</f>
        <v>529.25712986118265</v>
      </c>
      <c r="CE109" s="60">
        <f t="shared" si="94"/>
        <v>278.21741231699929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5.2</v>
      </c>
      <c r="CT109" s="13">
        <f>IF('Données projet'!$A$140&gt;35,CT108+CS109-DB108,IF(A109&lt;'Données projet'!$A$140,$CQ$205^A109,IF(A109='Données projet'!$A$140,'Données projet'!$B$140,CT108+CS109-DB108)))</f>
        <v>392.19999999999993</v>
      </c>
      <c r="CU109" s="18">
        <f>CT109*VLOOKUP('Données projet'!$B$13,Paramètres!$A$1:$I$89,3,0)*VLOOKUP('Données projet'!$B$13,Paramètres!$A$1:$I$89,5,0)</f>
        <v>330.38927999999999</v>
      </c>
      <c r="CV109" s="14">
        <f t="shared" si="95"/>
        <v>77.511009309130912</v>
      </c>
      <c r="CW109" s="22">
        <f t="shared" si="67"/>
        <v>710.42633721340314</v>
      </c>
      <c r="CX109" s="60">
        <f t="shared" si="68"/>
        <v>1003.7596705467365</v>
      </c>
      <c r="CY109" s="60">
        <f ca="1">AVERAGE(OFFSET($CX$3,0,0,'Données projet'!$E$13+1,1))-AVERAGE(OFFSET($H$3,0,0,'Données projet'!$E$13+1,1))</f>
        <v>495.77338291316386</v>
      </c>
      <c r="CZ109" s="60">
        <f t="shared" si="96"/>
        <v>261.95434270986397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2.2737367544323206E-13</v>
      </c>
      <c r="DP109" s="18">
        <f>DO109*VLOOKUP('Données projet'!$B$14,Paramètres!$A$1:$I$89,3,0)*VLOOKUP('Données projet'!$B$14,Paramètres!$A$1:$I$89,5,0)</f>
        <v>1.4897523215040565E-13</v>
      </c>
      <c r="DQ109" s="14">
        <f t="shared" si="97"/>
        <v>2.136562777003313E-12</v>
      </c>
      <c r="DR109" s="22">
        <f t="shared" si="70"/>
        <v>3.9806453659427267E-12</v>
      </c>
      <c r="DS109" s="60">
        <f t="shared" si="71"/>
        <v>293.33333333333729</v>
      </c>
      <c r="DT109" s="60">
        <f ca="1">AVERAGE(OFFSET($DS$3,0,0,'Données projet'!$E$14+1,1))-AVERAGE(OFFSET($H$3,0,0,'Données projet'!$E$14+1,1))</f>
        <v>275.11574966125522</v>
      </c>
      <c r="DU109" s="60">
        <f t="shared" si="98"/>
        <v>299.21520121860345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369.34989412920129</v>
      </c>
      <c r="T110" s="60">
        <f t="shared" si="88"/>
        <v>371.26234252426553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-1.8089849618263545E-13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370.79299728190904</v>
      </c>
      <c r="AO110" s="60">
        <f t="shared" si="90"/>
        <v>404.95703400805775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-1.6671037883497774E-13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344.63665697794022</v>
      </c>
      <c r="BJ110" s="60">
        <f t="shared" si="92"/>
        <v>376.72762011188041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5.2</v>
      </c>
      <c r="BY110" s="13">
        <f>IF('Données projet'!$A$114&gt;35,BY109+BX110-CG109,IF(A110&lt;'Données projet'!$A$114,$BV$205^A110,IF(A110='Données projet'!$A$114,'Données projet'!$B$114,BY109+BX110-CG109)))</f>
        <v>397.39999999999992</v>
      </c>
      <c r="BZ110" s="14">
        <f>BY110*VLOOKUP('Données projet'!$B$12,Paramètres!$A$1:$I$89,3,0)*VLOOKUP('Données projet'!$B$12,Paramètres!$A$1:$I$89,5,0)</f>
        <v>359.56751999999989</v>
      </c>
      <c r="CA110" s="14">
        <f t="shared" si="93"/>
        <v>83.529460161600639</v>
      </c>
      <c r="CB110" s="22">
        <f t="shared" si="64"/>
        <v>771.72724044812094</v>
      </c>
      <c r="CC110" s="60">
        <f t="shared" si="65"/>
        <v>1065.0605737814542</v>
      </c>
      <c r="CD110" s="60">
        <f ca="1">AVERAGE(OFFSET($CC$3,0,0,'Données projet'!$E$12+1,1))-AVERAGE(OFFSET($H$3,0,0,'Données projet'!$E$12+1,1))</f>
        <v>529.25712986118265</v>
      </c>
      <c r="CE110" s="60">
        <f t="shared" si="94"/>
        <v>278.21741231699929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5.2</v>
      </c>
      <c r="CT110" s="13">
        <f>IF('Données projet'!$A$140&gt;35,CT109+CS110-DB109,IF(A110&lt;'Données projet'!$A$140,$CQ$205^A110,IF(A110='Données projet'!$A$140,'Données projet'!$B$140,CT109+CS110-DB109)))</f>
        <v>397.39999999999992</v>
      </c>
      <c r="CU110" s="18">
        <f>CT110*VLOOKUP('Données projet'!$B$13,Paramètres!$A$1:$I$89,3,0)*VLOOKUP('Données projet'!$B$13,Paramètres!$A$1:$I$89,5,0)</f>
        <v>334.76975999999996</v>
      </c>
      <c r="CV110" s="14">
        <f t="shared" si="95"/>
        <v>78.41837268421996</v>
      </c>
      <c r="CW110" s="22">
        <f t="shared" si="67"/>
        <v>719.63599775834973</v>
      </c>
      <c r="CX110" s="60">
        <f t="shared" si="68"/>
        <v>1012.969331091683</v>
      </c>
      <c r="CY110" s="60">
        <f ca="1">AVERAGE(OFFSET($CX$3,0,0,'Données projet'!$E$13+1,1))-AVERAGE(OFFSET($H$3,0,0,'Données projet'!$E$13+1,1))</f>
        <v>495.77338291316386</v>
      </c>
      <c r="CZ110" s="60">
        <f t="shared" si="96"/>
        <v>261.95434270986397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2.2737367544323206E-13</v>
      </c>
      <c r="DP110" s="18">
        <f>DO110*VLOOKUP('Données projet'!$B$14,Paramètres!$A$1:$I$89,3,0)*VLOOKUP('Données projet'!$B$14,Paramètres!$A$1:$I$89,5,0)</f>
        <v>1.4897523215040565E-13</v>
      </c>
      <c r="DQ110" s="14">
        <f t="shared" si="97"/>
        <v>2.136562777003313E-12</v>
      </c>
      <c r="DR110" s="22">
        <f t="shared" si="70"/>
        <v>3.9806453659427267E-12</v>
      </c>
      <c r="DS110" s="60">
        <f t="shared" si="71"/>
        <v>293.33333333333729</v>
      </c>
      <c r="DT110" s="60">
        <f ca="1">AVERAGE(OFFSET($DS$3,0,0,'Données projet'!$E$14+1,1))-AVERAGE(OFFSET($H$3,0,0,'Données projet'!$E$14+1,1))</f>
        <v>275.11574966125522</v>
      </c>
      <c r="DU110" s="60">
        <f t="shared" si="98"/>
        <v>299.21520121860345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369.34989412920129</v>
      </c>
      <c r="T111" s="60">
        <f t="shared" si="88"/>
        <v>371.26234252426553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-1.8089849618263545E-13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370.79299728190904</v>
      </c>
      <c r="AO111" s="60">
        <f t="shared" si="90"/>
        <v>404.95703400805775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-1.6671037883497774E-13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344.63665697794022</v>
      </c>
      <c r="BJ111" s="60">
        <f t="shared" si="92"/>
        <v>376.72762011188041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5.2</v>
      </c>
      <c r="BY111" s="13">
        <f>IF('Données projet'!$A$114&gt;35,BY110+BX111-CG110,IF(A111&lt;'Données projet'!$A$114,$BV$205^A111,IF(A111='Données projet'!$A$114,'Données projet'!$B$114,BY110+BX111-CG110)))</f>
        <v>402.59999999999991</v>
      </c>
      <c r="BZ111" s="14">
        <f>BY111*VLOOKUP('Données projet'!$B$12,Paramètres!$A$1:$I$89,3,0)*VLOOKUP('Données projet'!$B$12,Paramètres!$A$1:$I$89,5,0)</f>
        <v>364.27247999999992</v>
      </c>
      <c r="CA111" s="14">
        <f t="shared" si="93"/>
        <v>84.494491907753741</v>
      </c>
      <c r="CB111" s="22">
        <f t="shared" si="64"/>
        <v>781.60247607267092</v>
      </c>
      <c r="CC111" s="60">
        <f t="shared" si="65"/>
        <v>1074.9358094060042</v>
      </c>
      <c r="CD111" s="60">
        <f ca="1">AVERAGE(OFFSET($CC$3,0,0,'Données projet'!$E$12+1,1))-AVERAGE(OFFSET($H$3,0,0,'Données projet'!$E$12+1,1))</f>
        <v>529.25712986118265</v>
      </c>
      <c r="CE111" s="60">
        <f t="shared" si="94"/>
        <v>278.21741231699929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5.2</v>
      </c>
      <c r="CT111" s="13">
        <f>IF('Données projet'!$A$140&gt;35,CT110+CS111-DB110,IF(A111&lt;'Données projet'!$A$140,$CQ$205^A111,IF(A111='Données projet'!$A$140,'Données projet'!$B$140,CT110+CS111-DB110)))</f>
        <v>402.59999999999991</v>
      </c>
      <c r="CU111" s="18">
        <f>CT111*VLOOKUP('Données projet'!$B$13,Paramètres!$A$1:$I$89,3,0)*VLOOKUP('Données projet'!$B$13,Paramètres!$A$1:$I$89,5,0)</f>
        <v>339.15023999999994</v>
      </c>
      <c r="CV111" s="14">
        <f t="shared" si="95"/>
        <v>79.324355064275281</v>
      </c>
      <c r="CW111" s="22">
        <f t="shared" si="67"/>
        <v>728.84325307027939</v>
      </c>
      <c r="CX111" s="60">
        <f t="shared" si="68"/>
        <v>1022.1765864036126</v>
      </c>
      <c r="CY111" s="60">
        <f ca="1">AVERAGE(OFFSET($CX$3,0,0,'Données projet'!$E$13+1,1))-AVERAGE(OFFSET($H$3,0,0,'Données projet'!$E$13+1,1))</f>
        <v>495.77338291316386</v>
      </c>
      <c r="CZ111" s="60">
        <f t="shared" si="96"/>
        <v>261.95434270986397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2.2737367544323206E-13</v>
      </c>
      <c r="DP111" s="18">
        <f>DO111*VLOOKUP('Données projet'!$B$14,Paramètres!$A$1:$I$89,3,0)*VLOOKUP('Données projet'!$B$14,Paramètres!$A$1:$I$89,5,0)</f>
        <v>1.4897523215040565E-13</v>
      </c>
      <c r="DQ111" s="14">
        <f t="shared" si="97"/>
        <v>2.136562777003313E-12</v>
      </c>
      <c r="DR111" s="22">
        <f t="shared" si="70"/>
        <v>3.9806453659427267E-12</v>
      </c>
      <c r="DS111" s="60">
        <f t="shared" si="71"/>
        <v>293.33333333333729</v>
      </c>
      <c r="DT111" s="60">
        <f ca="1">AVERAGE(OFFSET($DS$3,0,0,'Données projet'!$E$14+1,1))-AVERAGE(OFFSET($H$3,0,0,'Données projet'!$E$14+1,1))</f>
        <v>275.11574966125522</v>
      </c>
      <c r="DU111" s="60">
        <f t="shared" si="98"/>
        <v>299.21520121860345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369.34989412920129</v>
      </c>
      <c r="T112" s="60">
        <f t="shared" si="88"/>
        <v>371.26234252426553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-1.8089849618263545E-13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370.79299728190904</v>
      </c>
      <c r="AO112" s="60">
        <f t="shared" si="90"/>
        <v>404.95703400805775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-1.6671037883497774E-13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344.63665697794022</v>
      </c>
      <c r="BJ112" s="60">
        <f t="shared" si="92"/>
        <v>376.72762011188041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5.2</v>
      </c>
      <c r="BY112" s="13">
        <f>IF('Données projet'!$A$114&gt;35,BY111+BX112-CG111,IF(A112&lt;'Données projet'!$A$114,$BV$205^A112,IF(A112='Données projet'!$A$114,'Données projet'!$B$114,BY111+BX112-CG111)))</f>
        <v>407.7999999999999</v>
      </c>
      <c r="BZ112" s="14">
        <f>BY112*VLOOKUP('Données projet'!$B$12,Paramètres!$A$1:$I$89,3,0)*VLOOKUP('Données projet'!$B$12,Paramètres!$A$1:$I$89,5,0)</f>
        <v>368.97743999999989</v>
      </c>
      <c r="CA112" s="14">
        <f t="shared" si="93"/>
        <v>85.458073845884769</v>
      </c>
      <c r="CB112" s="22">
        <f t="shared" si="64"/>
        <v>791.47518661491574</v>
      </c>
      <c r="CC112" s="60">
        <f t="shared" si="65"/>
        <v>1084.8085199482491</v>
      </c>
      <c r="CD112" s="60">
        <f ca="1">AVERAGE(OFFSET($CC$3,0,0,'Données projet'!$E$12+1,1))-AVERAGE(OFFSET($H$3,0,0,'Données projet'!$E$12+1,1))</f>
        <v>529.25712986118265</v>
      </c>
      <c r="CE112" s="60">
        <f t="shared" si="94"/>
        <v>278.21741231699929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5.2</v>
      </c>
      <c r="CT112" s="13">
        <f>IF('Données projet'!$A$140&gt;35,CT111+CS112-DB111,IF(A112&lt;'Données projet'!$A$140,$CQ$205^A112,IF(A112='Données projet'!$A$140,'Données projet'!$B$140,CT111+CS112-DB111)))</f>
        <v>407.7999999999999</v>
      </c>
      <c r="CU112" s="18">
        <f>CT112*VLOOKUP('Données projet'!$B$13,Paramètres!$A$1:$I$89,3,0)*VLOOKUP('Données projet'!$B$13,Paramètres!$A$1:$I$89,5,0)</f>
        <v>343.53071999999997</v>
      </c>
      <c r="CV112" s="14">
        <f t="shared" si="95"/>
        <v>80.228976348669505</v>
      </c>
      <c r="CW112" s="22">
        <f t="shared" si="67"/>
        <v>738.0481378072659</v>
      </c>
      <c r="CX112" s="60">
        <f t="shared" si="68"/>
        <v>1031.3814711405992</v>
      </c>
      <c r="CY112" s="60">
        <f ca="1">AVERAGE(OFFSET($CX$3,0,0,'Données projet'!$E$13+1,1))-AVERAGE(OFFSET($H$3,0,0,'Données projet'!$E$13+1,1))</f>
        <v>495.77338291316386</v>
      </c>
      <c r="CZ112" s="60">
        <f t="shared" si="96"/>
        <v>261.95434270986397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2.2737367544323206E-13</v>
      </c>
      <c r="DP112" s="18">
        <f>DO112*VLOOKUP('Données projet'!$B$14,Paramètres!$A$1:$I$89,3,0)*VLOOKUP('Données projet'!$B$14,Paramètres!$A$1:$I$89,5,0)</f>
        <v>1.4897523215040565E-13</v>
      </c>
      <c r="DQ112" s="14">
        <f t="shared" si="97"/>
        <v>2.136562777003313E-12</v>
      </c>
      <c r="DR112" s="22">
        <f t="shared" si="70"/>
        <v>3.9806453659427267E-12</v>
      </c>
      <c r="DS112" s="60">
        <f t="shared" si="71"/>
        <v>293.33333333333729</v>
      </c>
      <c r="DT112" s="60">
        <f ca="1">AVERAGE(OFFSET($DS$3,0,0,'Données projet'!$E$14+1,1))-AVERAGE(OFFSET($H$3,0,0,'Données projet'!$E$14+1,1))</f>
        <v>275.11574966125522</v>
      </c>
      <c r="DU112" s="60">
        <f t="shared" si="98"/>
        <v>299.21520121860345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369.34989412920129</v>
      </c>
      <c r="T113" s="60">
        <f t="shared" si="88"/>
        <v>371.26234252426553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-1.8089849618263545E-13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370.79299728190904</v>
      </c>
      <c r="AO113" s="60">
        <f t="shared" si="90"/>
        <v>404.95703400805775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-1.6671037883497774E-13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344.63665697794022</v>
      </c>
      <c r="BJ113" s="60">
        <f t="shared" si="92"/>
        <v>376.72762011188041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413</v>
      </c>
      <c r="BW113" s="13">
        <f>VLOOKUP(A113,'Données projet'!$A$113:$I$133,9,0)</f>
        <v>5.2</v>
      </c>
      <c r="BX113" s="13">
        <f t="array" ref="BX113">INDEX(BW:BW,MIN(IF(ISNUMBER(BW113:BW309),ROW(BW113:BW309),"")))</f>
        <v>5.2</v>
      </c>
      <c r="BY113" s="13">
        <f>IF('Données projet'!$A$114&gt;35,BY112+BX113-CG112,IF(A113&lt;'Données projet'!$A$114,$BV$205^A113,IF(A113='Données projet'!$A$114,'Données projet'!$B$114,BY112+BX113-CG112)))</f>
        <v>412.99999999999989</v>
      </c>
      <c r="BZ113" s="14">
        <f>BY113*VLOOKUP('Données projet'!$B$12,Paramètres!$A$1:$I$89,3,0)*VLOOKUP('Données projet'!$B$12,Paramètres!$A$1:$I$89,5,0)</f>
        <v>373.68239999999986</v>
      </c>
      <c r="CA113" s="14">
        <f t="shared" si="93"/>
        <v>86.420226600704183</v>
      </c>
      <c r="CB113" s="22">
        <f t="shared" si="64"/>
        <v>801.34540799622619</v>
      </c>
      <c r="CC113" s="60">
        <f t="shared" si="65"/>
        <v>1094.6787413295594</v>
      </c>
      <c r="CD113" s="60">
        <f ca="1">AVERAGE(OFFSET($CC$3,0,0,'Données projet'!$E$12+1,1))-AVERAGE(OFFSET($H$3,0,0,'Données projet'!$E$12+1,1))</f>
        <v>529.25712986118265</v>
      </c>
      <c r="CE113" s="60">
        <f t="shared" si="94"/>
        <v>278.21741231699929</v>
      </c>
      <c r="CF113" s="16">
        <f>IF(ISNA(VLOOKUP(A113,'Données projet'!$A$113:$I$133,3,0)),0,VLOOKUP(A113,'Données projet'!$A$113:$I$133,3,0))</f>
        <v>8</v>
      </c>
      <c r="CG113" s="16">
        <f>IF(ISNA(VLOOKUP(A113,'Données projet'!$A$113:$I$133,4,0)),0,VLOOKUP(A113,'Données projet'!$A$113:$I$133,4,0))</f>
        <v>106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413</v>
      </c>
      <c r="CR113" s="13">
        <f>VLOOKUP(A113,'Données projet'!$A$139:$I$159,9,0)</f>
        <v>5.2</v>
      </c>
      <c r="CS113" s="13">
        <f t="array" ref="CS113">INDEX(CR:CR,MIN(IF(ISNUMBER(CR113:CR309),ROW(CR113:CR309),"")))</f>
        <v>5.2</v>
      </c>
      <c r="CT113" s="13">
        <f>IF('Données projet'!$A$140&gt;35,CT112+CS113-DB112,IF(A113&lt;'Données projet'!$A$140,$CQ$205^A113,IF(A113='Données projet'!$A$140,'Données projet'!$B$140,CT112+CS113-DB112)))</f>
        <v>412.99999999999989</v>
      </c>
      <c r="CU113" s="18">
        <f>CT113*VLOOKUP('Données projet'!$B$13,Paramètres!$A$1:$I$89,3,0)*VLOOKUP('Données projet'!$B$13,Paramètres!$A$1:$I$89,5,0)</f>
        <v>347.91119999999995</v>
      </c>
      <c r="CV113" s="14">
        <f t="shared" si="95"/>
        <v>81.132255900106884</v>
      </c>
      <c r="CW113" s="22">
        <f t="shared" si="67"/>
        <v>747.25068569268603</v>
      </c>
      <c r="CX113" s="60">
        <f t="shared" si="68"/>
        <v>1040.5840190260194</v>
      </c>
      <c r="CY113" s="60">
        <f ca="1">AVERAGE(OFFSET($CX$3,0,0,'Données projet'!$E$13+1,1))-AVERAGE(OFFSET($H$3,0,0,'Données projet'!$E$13+1,1))</f>
        <v>495.77338291316386</v>
      </c>
      <c r="CZ113" s="60">
        <f t="shared" si="96"/>
        <v>261.95434270986397</v>
      </c>
      <c r="DA113" s="16">
        <f>IF(ISNA(VLOOKUP(A113,'Données projet'!$A$139:$I$159,3,0)),0,VLOOKUP(A113,'Données projet'!$A$139:$I$159,3,0))</f>
        <v>8</v>
      </c>
      <c r="DB113" s="16">
        <f>IF(ISNA(VLOOKUP(A113,'Données projet'!$A$139:$I$159,4,0)),0,VLOOKUP(A113,'Données projet'!$A$139:$I$159,4,0))</f>
        <v>106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2.2737367544323206E-13</v>
      </c>
      <c r="DP113" s="18">
        <f>DO113*VLOOKUP('Données projet'!$B$14,Paramètres!$A$1:$I$89,3,0)*VLOOKUP('Données projet'!$B$14,Paramètres!$A$1:$I$89,5,0)</f>
        <v>1.4897523215040565E-13</v>
      </c>
      <c r="DQ113" s="14">
        <f t="shared" si="97"/>
        <v>2.136562777003313E-12</v>
      </c>
      <c r="DR113" s="22">
        <f t="shared" si="70"/>
        <v>3.9806453659427267E-12</v>
      </c>
      <c r="DS113" s="60">
        <f t="shared" si="71"/>
        <v>293.33333333333729</v>
      </c>
      <c r="DT113" s="60">
        <f ca="1">AVERAGE(OFFSET($DS$3,0,0,'Données projet'!$E$14+1,1))-AVERAGE(OFFSET($H$3,0,0,'Données projet'!$E$14+1,1))</f>
        <v>275.11574966125522</v>
      </c>
      <c r="DU113" s="60">
        <f t="shared" si="98"/>
        <v>299.21520121860345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369.34989412920129</v>
      </c>
      <c r="T114" s="60">
        <f t="shared" si="88"/>
        <v>371.26234252426553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-1.8089849618263545E-13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370.79299728190904</v>
      </c>
      <c r="AO114" s="60">
        <f t="shared" si="90"/>
        <v>404.95703400805775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-1.6671037883497774E-13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344.63665697794022</v>
      </c>
      <c r="BJ114" s="60">
        <f t="shared" si="92"/>
        <v>376.72762011188041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</v>
      </c>
      <c r="BY114" s="13">
        <f>IF('Données projet'!$A$114&gt;35,BY113+BX114-CG113,IF(A114&lt;'Données projet'!$A$114,$BV$205^A114,IF(A114='Données projet'!$A$114,'Données projet'!$B$114,BY113+BX114-CG113)))</f>
        <v>311.49999999999989</v>
      </c>
      <c r="BZ114" s="14">
        <f>BY114*VLOOKUP('Données projet'!$B$12,Paramètres!$A$1:$I$89,3,0)*VLOOKUP('Données projet'!$B$12,Paramètres!$A$1:$I$89,5,0)</f>
        <v>281.84519999999992</v>
      </c>
      <c r="CA114" s="14">
        <f t="shared" si="93"/>
        <v>67.356803491560484</v>
      </c>
      <c r="CB114" s="22">
        <f t="shared" si="64"/>
        <v>608.19348941446765</v>
      </c>
      <c r="CC114" s="60">
        <f t="shared" si="65"/>
        <v>901.52682274780091</v>
      </c>
      <c r="CD114" s="60">
        <f ca="1">AVERAGE(OFFSET($CC$3,0,0,'Données projet'!$E$12+1,1))-AVERAGE(OFFSET($H$3,0,0,'Données projet'!$E$12+1,1))</f>
        <v>529.25712986118265</v>
      </c>
      <c r="CE114" s="60">
        <f t="shared" si="94"/>
        <v>278.21741231699929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</v>
      </c>
      <c r="CT114" s="13">
        <f>IF('Données projet'!$A$140&gt;35,CT113+CS114-DB113,IF(A114&lt;'Données projet'!$A$140,$CQ$205^A114,IF(A114='Données projet'!$A$140,'Données projet'!$B$140,CT113+CS114-DB113)))</f>
        <v>311.49999999999989</v>
      </c>
      <c r="CU114" s="18">
        <f>CT114*VLOOKUP('Données projet'!$B$13,Paramètres!$A$1:$I$89,3,0)*VLOOKUP('Données projet'!$B$13,Paramètres!$A$1:$I$89,5,0)</f>
        <v>262.40759999999995</v>
      </c>
      <c r="CV114" s="14">
        <f t="shared" si="95"/>
        <v>63.23530534975442</v>
      </c>
      <c r="CW114" s="22">
        <f t="shared" si="67"/>
        <v>567.16139348415538</v>
      </c>
      <c r="CX114" s="60">
        <f t="shared" si="68"/>
        <v>860.49472681748875</v>
      </c>
      <c r="CY114" s="60">
        <f ca="1">AVERAGE(OFFSET($CX$3,0,0,'Données projet'!$E$13+1,1))-AVERAGE(OFFSET($H$3,0,0,'Données projet'!$E$13+1,1))</f>
        <v>495.77338291316386</v>
      </c>
      <c r="CZ114" s="60">
        <f t="shared" si="96"/>
        <v>261.95434270986397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2.2737367544323206E-13</v>
      </c>
      <c r="DP114" s="18">
        <f>DO114*VLOOKUP('Données projet'!$B$14,Paramètres!$A$1:$I$89,3,0)*VLOOKUP('Données projet'!$B$14,Paramètres!$A$1:$I$89,5,0)</f>
        <v>1.4897523215040565E-13</v>
      </c>
      <c r="DQ114" s="14">
        <f t="shared" si="97"/>
        <v>2.136562777003313E-12</v>
      </c>
      <c r="DR114" s="22">
        <f t="shared" si="70"/>
        <v>3.9806453659427267E-12</v>
      </c>
      <c r="DS114" s="60">
        <f t="shared" si="71"/>
        <v>293.33333333333729</v>
      </c>
      <c r="DT114" s="60">
        <f ca="1">AVERAGE(OFFSET($DS$3,0,0,'Données projet'!$E$14+1,1))-AVERAGE(OFFSET($H$3,0,0,'Données projet'!$E$14+1,1))</f>
        <v>275.11574966125522</v>
      </c>
      <c r="DU114" s="60">
        <f t="shared" si="98"/>
        <v>299.21520121860345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369.34989412920129</v>
      </c>
      <c r="T115" s="60">
        <f t="shared" si="88"/>
        <v>371.26234252426553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-1.8089849618263545E-13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370.79299728190904</v>
      </c>
      <c r="AO115" s="60">
        <f t="shared" si="90"/>
        <v>404.95703400805775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-1.6671037883497774E-13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344.63665697794022</v>
      </c>
      <c r="BJ115" s="60">
        <f t="shared" si="92"/>
        <v>376.72762011188041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</v>
      </c>
      <c r="BY115" s="13">
        <f>IF('Données projet'!$A$114&gt;35,BY114+BX115-CG114,IF(A115&lt;'Données projet'!$A$114,$BV$205^A115,IF(A115='Données projet'!$A$114,'Données projet'!$B$114,BY114+BX115-CG114)))</f>
        <v>315.99999999999989</v>
      </c>
      <c r="BZ115" s="14">
        <f>BY115*VLOOKUP('Données projet'!$B$12,Paramètres!$A$1:$I$89,3,0)*VLOOKUP('Données projet'!$B$12,Paramètres!$A$1:$I$89,5,0)</f>
        <v>285.91679999999985</v>
      </c>
      <c r="CA115" s="14">
        <f t="shared" si="93"/>
        <v>68.215872977287475</v>
      </c>
      <c r="CB115" s="22">
        <f t="shared" si="64"/>
        <v>616.78107210210862</v>
      </c>
      <c r="CC115" s="60">
        <f t="shared" si="65"/>
        <v>910.11440543544199</v>
      </c>
      <c r="CD115" s="60">
        <f ca="1">AVERAGE(OFFSET($CC$3,0,0,'Données projet'!$E$12+1,1))-AVERAGE(OFFSET($H$3,0,0,'Données projet'!$E$12+1,1))</f>
        <v>529.25712986118265</v>
      </c>
      <c r="CE115" s="60">
        <f t="shared" si="94"/>
        <v>278.21741231699929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</v>
      </c>
      <c r="CT115" s="13">
        <f>IF('Données projet'!$A$140&gt;35,CT114+CS115-DB114,IF(A115&lt;'Données projet'!$A$140,$CQ$205^A115,IF(A115='Données projet'!$A$140,'Données projet'!$B$140,CT114+CS115-DB114)))</f>
        <v>315.99999999999989</v>
      </c>
      <c r="CU115" s="18">
        <f>CT115*VLOOKUP('Données projet'!$B$13,Paramètres!$A$1:$I$89,3,0)*VLOOKUP('Données projet'!$B$13,Paramètres!$A$1:$I$89,5,0)</f>
        <v>266.19839999999994</v>
      </c>
      <c r="CV115" s="14">
        <f t="shared" si="95"/>
        <v>64.041809198373215</v>
      </c>
      <c r="CW115" s="22">
        <f t="shared" si="67"/>
        <v>575.16836435383323</v>
      </c>
      <c r="CX115" s="60">
        <f t="shared" si="68"/>
        <v>868.5016976871666</v>
      </c>
      <c r="CY115" s="60">
        <f ca="1">AVERAGE(OFFSET($CX$3,0,0,'Données projet'!$E$13+1,1))-AVERAGE(OFFSET($H$3,0,0,'Données projet'!$E$13+1,1))</f>
        <v>495.77338291316386</v>
      </c>
      <c r="CZ115" s="60">
        <f t="shared" si="96"/>
        <v>261.95434270986397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2.2737367544323206E-13</v>
      </c>
      <c r="DP115" s="18">
        <f>DO115*VLOOKUP('Données projet'!$B$14,Paramètres!$A$1:$I$89,3,0)*VLOOKUP('Données projet'!$B$14,Paramètres!$A$1:$I$89,5,0)</f>
        <v>1.4897523215040565E-13</v>
      </c>
      <c r="DQ115" s="14">
        <f t="shared" si="97"/>
        <v>2.136562777003313E-12</v>
      </c>
      <c r="DR115" s="22">
        <f t="shared" si="70"/>
        <v>3.9806453659427267E-12</v>
      </c>
      <c r="DS115" s="60">
        <f t="shared" si="71"/>
        <v>293.33333333333729</v>
      </c>
      <c r="DT115" s="60">
        <f ca="1">AVERAGE(OFFSET($DS$3,0,0,'Données projet'!$E$14+1,1))-AVERAGE(OFFSET($H$3,0,0,'Données projet'!$E$14+1,1))</f>
        <v>275.11574966125522</v>
      </c>
      <c r="DU115" s="60">
        <f t="shared" si="98"/>
        <v>299.21520121860345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369.34989412920129</v>
      </c>
      <c r="T116" s="60">
        <f t="shared" si="88"/>
        <v>371.26234252426553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-1.8089849618263545E-13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370.79299728190904</v>
      </c>
      <c r="AO116" s="60">
        <f t="shared" si="90"/>
        <v>404.95703400805775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-1.6671037883497774E-13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344.63665697794022</v>
      </c>
      <c r="BJ116" s="60">
        <f t="shared" si="92"/>
        <v>376.72762011188041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</v>
      </c>
      <c r="BY116" s="13">
        <f>IF('Données projet'!$A$114&gt;35,BY115+BX116-CG115,IF(A116&lt;'Données projet'!$A$114,$BV$205^A116,IF(A116='Données projet'!$A$114,'Données projet'!$B$114,BY115+BX116-CG115)))</f>
        <v>320.49999999999989</v>
      </c>
      <c r="BZ116" s="14">
        <f>BY116*VLOOKUP('Données projet'!$B$12,Paramètres!$A$1:$I$89,3,0)*VLOOKUP('Données projet'!$B$12,Paramètres!$A$1:$I$89,5,0)</f>
        <v>289.9883999999999</v>
      </c>
      <c r="CA116" s="14">
        <f t="shared" si="93"/>
        <v>69.073519602481525</v>
      </c>
      <c r="CB116" s="22">
        <f t="shared" si="64"/>
        <v>625.36617664098856</v>
      </c>
      <c r="CC116" s="60">
        <f t="shared" si="65"/>
        <v>918.69950997432193</v>
      </c>
      <c r="CD116" s="60">
        <f ca="1">AVERAGE(OFFSET($CC$3,0,0,'Données projet'!$E$12+1,1))-AVERAGE(OFFSET($H$3,0,0,'Données projet'!$E$12+1,1))</f>
        <v>529.25712986118265</v>
      </c>
      <c r="CE116" s="60">
        <f t="shared" si="94"/>
        <v>278.21741231699929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</v>
      </c>
      <c r="CT116" s="13">
        <f>IF('Données projet'!$A$140&gt;35,CT115+CS116-DB115,IF(A116&lt;'Données projet'!$A$140,$CQ$205^A116,IF(A116='Données projet'!$A$140,'Données projet'!$B$140,CT115+CS116-DB115)))</f>
        <v>320.49999999999989</v>
      </c>
      <c r="CU116" s="18">
        <f>CT116*VLOOKUP('Données projet'!$B$13,Paramètres!$A$1:$I$89,3,0)*VLOOKUP('Données projet'!$B$13,Paramètres!$A$1:$I$89,5,0)</f>
        <v>269.98919999999993</v>
      </c>
      <c r="CV116" s="14">
        <f t="shared" si="95"/>
        <v>64.846977249929083</v>
      </c>
      <c r="CW116" s="22">
        <f t="shared" si="67"/>
        <v>583.17300871029295</v>
      </c>
      <c r="CX116" s="60">
        <f t="shared" si="68"/>
        <v>876.50634204362632</v>
      </c>
      <c r="CY116" s="60">
        <f ca="1">AVERAGE(OFFSET($CX$3,0,0,'Données projet'!$E$13+1,1))-AVERAGE(OFFSET($H$3,0,0,'Données projet'!$E$13+1,1))</f>
        <v>495.77338291316386</v>
      </c>
      <c r="CZ116" s="60">
        <f t="shared" si="96"/>
        <v>261.95434270986397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2.2737367544323206E-13</v>
      </c>
      <c r="DP116" s="18">
        <f>DO116*VLOOKUP('Données projet'!$B$14,Paramètres!$A$1:$I$89,3,0)*VLOOKUP('Données projet'!$B$14,Paramètres!$A$1:$I$89,5,0)</f>
        <v>1.4897523215040565E-13</v>
      </c>
      <c r="DQ116" s="14">
        <f t="shared" si="97"/>
        <v>2.136562777003313E-12</v>
      </c>
      <c r="DR116" s="22">
        <f t="shared" si="70"/>
        <v>3.9806453659427267E-12</v>
      </c>
      <c r="DS116" s="60">
        <f t="shared" si="71"/>
        <v>293.33333333333729</v>
      </c>
      <c r="DT116" s="60">
        <f ca="1">AVERAGE(OFFSET($DS$3,0,0,'Données projet'!$E$14+1,1))-AVERAGE(OFFSET($H$3,0,0,'Données projet'!$E$14+1,1))</f>
        <v>275.11574966125522</v>
      </c>
      <c r="DU116" s="60">
        <f t="shared" si="98"/>
        <v>299.21520121860345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369.34989412920129</v>
      </c>
      <c r="T117" s="60">
        <f t="shared" si="88"/>
        <v>371.26234252426553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-1.8089849618263545E-13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370.79299728190904</v>
      </c>
      <c r="AO117" s="60">
        <f t="shared" si="90"/>
        <v>404.95703400805775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-1.6671037883497774E-13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344.63665697794022</v>
      </c>
      <c r="BJ117" s="60">
        <f t="shared" si="92"/>
        <v>376.72762011188041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</v>
      </c>
      <c r="BY117" s="13">
        <f>IF('Données projet'!$A$114&gt;35,BY116+BX117-CG116,IF(A117&lt;'Données projet'!$A$114,$BV$205^A117,IF(A117='Données projet'!$A$114,'Données projet'!$B$114,BY116+BX117-CG116)))</f>
        <v>324.99999999999989</v>
      </c>
      <c r="BZ117" s="14">
        <f>BY117*VLOOKUP('Données projet'!$B$12,Paramètres!$A$1:$I$89,3,0)*VLOOKUP('Données projet'!$B$12,Paramètres!$A$1:$I$89,5,0)</f>
        <v>294.05999999999989</v>
      </c>
      <c r="CA117" s="14">
        <f t="shared" si="93"/>
        <v>69.929765653573313</v>
      </c>
      <c r="CB117" s="22">
        <f t="shared" si="64"/>
        <v>633.94884184663999</v>
      </c>
      <c r="CC117" s="60">
        <f t="shared" si="65"/>
        <v>927.28217517997336</v>
      </c>
      <c r="CD117" s="60">
        <f ca="1">AVERAGE(OFFSET($CC$3,0,0,'Données projet'!$E$12+1,1))-AVERAGE(OFFSET($H$3,0,0,'Données projet'!$E$12+1,1))</f>
        <v>529.25712986118265</v>
      </c>
      <c r="CE117" s="60">
        <f t="shared" si="94"/>
        <v>278.21741231699929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</v>
      </c>
      <c r="CT117" s="13">
        <f>IF('Données projet'!$A$140&gt;35,CT116+CS117-DB116,IF(A117&lt;'Données projet'!$A$140,$CQ$205^A117,IF(A117='Données projet'!$A$140,'Données projet'!$B$140,CT116+CS117-DB116)))</f>
        <v>324.99999999999989</v>
      </c>
      <c r="CU117" s="18">
        <f>CT117*VLOOKUP('Données projet'!$B$13,Paramètres!$A$1:$I$89,3,0)*VLOOKUP('Données projet'!$B$13,Paramètres!$A$1:$I$89,5,0)</f>
        <v>273.77999999999992</v>
      </c>
      <c r="CV117" s="14">
        <f t="shared" si="95"/>
        <v>65.650830427167435</v>
      </c>
      <c r="CW117" s="22">
        <f t="shared" si="67"/>
        <v>591.17536299398307</v>
      </c>
      <c r="CX117" s="60">
        <f t="shared" si="68"/>
        <v>884.50869632731633</v>
      </c>
      <c r="CY117" s="60">
        <f ca="1">AVERAGE(OFFSET($CX$3,0,0,'Données projet'!$E$13+1,1))-AVERAGE(OFFSET($H$3,0,0,'Données projet'!$E$13+1,1))</f>
        <v>495.77338291316386</v>
      </c>
      <c r="CZ117" s="60">
        <f t="shared" si="96"/>
        <v>261.95434270986397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2.2737367544323206E-13</v>
      </c>
      <c r="DP117" s="18">
        <f>DO117*VLOOKUP('Données projet'!$B$14,Paramètres!$A$1:$I$89,3,0)*VLOOKUP('Données projet'!$B$14,Paramètres!$A$1:$I$89,5,0)</f>
        <v>1.4897523215040565E-13</v>
      </c>
      <c r="DQ117" s="14">
        <f t="shared" si="97"/>
        <v>2.136562777003313E-12</v>
      </c>
      <c r="DR117" s="22">
        <f t="shared" si="70"/>
        <v>3.9806453659427267E-12</v>
      </c>
      <c r="DS117" s="60">
        <f t="shared" si="71"/>
        <v>293.33333333333729</v>
      </c>
      <c r="DT117" s="60">
        <f ca="1">AVERAGE(OFFSET($DS$3,0,0,'Données projet'!$E$14+1,1))-AVERAGE(OFFSET($H$3,0,0,'Données projet'!$E$14+1,1))</f>
        <v>275.11574966125522</v>
      </c>
      <c r="DU117" s="60">
        <f t="shared" si="98"/>
        <v>299.21520121860345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369.34989412920129</v>
      </c>
      <c r="T118" s="60">
        <f t="shared" si="88"/>
        <v>371.26234252426553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-1.8089849618263545E-13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370.79299728190904</v>
      </c>
      <c r="AO118" s="60">
        <f t="shared" si="90"/>
        <v>404.95703400805775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-1.6671037883497774E-13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344.63665697794022</v>
      </c>
      <c r="BJ118" s="60">
        <f t="shared" si="92"/>
        <v>376.72762011188041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4.5</v>
      </c>
      <c r="BY118" s="13">
        <f>IF('Données projet'!$A$114&gt;35,BY117+BX118-CG117,IF(A118&lt;'Données projet'!$A$114,$BV$205^A118,IF(A118='Données projet'!$A$114,'Données projet'!$B$114,BY117+BX118-CG117)))</f>
        <v>329.49999999999989</v>
      </c>
      <c r="BZ118" s="14">
        <f>BY118*VLOOKUP('Données projet'!$B$12,Paramètres!$A$1:$I$89,3,0)*VLOOKUP('Données projet'!$B$12,Paramètres!$A$1:$I$89,5,0)</f>
        <v>298.13159999999988</v>
      </c>
      <c r="CA118" s="14">
        <f t="shared" si="93"/>
        <v>70.784632764376028</v>
      </c>
      <c r="CB118" s="22">
        <f t="shared" si="64"/>
        <v>642.52910539795459</v>
      </c>
      <c r="CC118" s="60">
        <f t="shared" si="65"/>
        <v>935.86243873128797</v>
      </c>
      <c r="CD118" s="60">
        <f ca="1">AVERAGE(OFFSET($CC$3,0,0,'Données projet'!$E$12+1,1))-AVERAGE(OFFSET($H$3,0,0,'Données projet'!$E$12+1,1))</f>
        <v>529.25712986118265</v>
      </c>
      <c r="CE118" s="60">
        <f t="shared" si="94"/>
        <v>278.21741231699929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4.5</v>
      </c>
      <c r="CT118" s="13">
        <f>IF('Données projet'!$A$140&gt;35,CT117+CS118-DB117,IF(A118&lt;'Données projet'!$A$140,$CQ$205^A118,IF(A118='Données projet'!$A$140,'Données projet'!$B$140,CT117+CS118-DB117)))</f>
        <v>329.49999999999989</v>
      </c>
      <c r="CU118" s="18">
        <f>CT118*VLOOKUP('Données projet'!$B$13,Paramètres!$A$1:$I$89,3,0)*VLOOKUP('Données projet'!$B$13,Paramètres!$A$1:$I$89,5,0)</f>
        <v>277.57079999999991</v>
      </c>
      <c r="CV118" s="14">
        <f t="shared" si="95"/>
        <v>66.453389040149204</v>
      </c>
      <c r="CW118" s="22">
        <f t="shared" si="67"/>
        <v>599.17546257825973</v>
      </c>
      <c r="CX118" s="60">
        <f t="shared" si="68"/>
        <v>892.5087959115931</v>
      </c>
      <c r="CY118" s="60">
        <f ca="1">AVERAGE(OFFSET($CX$3,0,0,'Données projet'!$E$13+1,1))-AVERAGE(OFFSET($H$3,0,0,'Données projet'!$E$13+1,1))</f>
        <v>495.77338291316386</v>
      </c>
      <c r="CZ118" s="60">
        <f t="shared" si="96"/>
        <v>261.95434270986397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2.2737367544323206E-13</v>
      </c>
      <c r="DP118" s="18">
        <f>DO118*VLOOKUP('Données projet'!$B$14,Paramètres!$A$1:$I$89,3,0)*VLOOKUP('Données projet'!$B$14,Paramètres!$A$1:$I$89,5,0)</f>
        <v>1.4897523215040565E-13</v>
      </c>
      <c r="DQ118" s="14">
        <f t="shared" si="97"/>
        <v>2.136562777003313E-12</v>
      </c>
      <c r="DR118" s="22">
        <f t="shared" si="70"/>
        <v>3.9806453659427267E-12</v>
      </c>
      <c r="DS118" s="60">
        <f t="shared" si="71"/>
        <v>293.33333333333729</v>
      </c>
      <c r="DT118" s="60">
        <f ca="1">AVERAGE(OFFSET($DS$3,0,0,'Données projet'!$E$14+1,1))-AVERAGE(OFFSET($H$3,0,0,'Données projet'!$E$14+1,1))</f>
        <v>275.11574966125522</v>
      </c>
      <c r="DU118" s="60">
        <f t="shared" si="98"/>
        <v>299.21520121860345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369.34989412920129</v>
      </c>
      <c r="T119" s="60">
        <f t="shared" si="88"/>
        <v>371.26234252426553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-1.8089849618263545E-13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370.79299728190904</v>
      </c>
      <c r="AO119" s="60">
        <f t="shared" si="90"/>
        <v>404.95703400805775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-1.6671037883497774E-13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344.63665697794022</v>
      </c>
      <c r="BJ119" s="60">
        <f t="shared" si="92"/>
        <v>376.72762011188041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4.5</v>
      </c>
      <c r="BY119" s="13">
        <f>IF('Données projet'!$A$114&gt;35,BY118+BX119-CG118,IF(A119&lt;'Données projet'!$A$114,$BV$205^A119,IF(A119='Données projet'!$A$114,'Données projet'!$B$114,BY118+BX119-CG118)))</f>
        <v>333.99999999999989</v>
      </c>
      <c r="BZ119" s="14">
        <f>BY119*VLOOKUP('Données projet'!$B$12,Paramètres!$A$1:$I$89,3,0)*VLOOKUP('Données projet'!$B$12,Paramètres!$A$1:$I$89,5,0)</f>
        <v>302.20319999999987</v>
      </c>
      <c r="CA119" s="14">
        <f t="shared" si="93"/>
        <v>71.638141943842228</v>
      </c>
      <c r="CB119" s="22">
        <f t="shared" si="64"/>
        <v>651.10700388552493</v>
      </c>
      <c r="CC119" s="60">
        <f t="shared" si="65"/>
        <v>944.4403372188583</v>
      </c>
      <c r="CD119" s="60">
        <f ca="1">AVERAGE(OFFSET($CC$3,0,0,'Données projet'!$E$12+1,1))-AVERAGE(OFFSET($H$3,0,0,'Données projet'!$E$12+1,1))</f>
        <v>529.25712986118265</v>
      </c>
      <c r="CE119" s="60">
        <f t="shared" si="94"/>
        <v>278.21741231699929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4.5</v>
      </c>
      <c r="CT119" s="13">
        <f>IF('Données projet'!$A$140&gt;35,CT118+CS119-DB118,IF(A119&lt;'Données projet'!$A$140,$CQ$205^A119,IF(A119='Données projet'!$A$140,'Données projet'!$B$140,CT118+CS119-DB118)))</f>
        <v>333.99999999999989</v>
      </c>
      <c r="CU119" s="18">
        <f>CT119*VLOOKUP('Données projet'!$B$13,Paramètres!$A$1:$I$89,3,0)*VLOOKUP('Données projet'!$B$13,Paramètres!$A$1:$I$89,5,0)</f>
        <v>281.36159999999995</v>
      </c>
      <c r="CV119" s="14">
        <f t="shared" si="95"/>
        <v>67.254672812309309</v>
      </c>
      <c r="CW119" s="22">
        <f t="shared" si="67"/>
        <v>607.1733418147719</v>
      </c>
      <c r="CX119" s="60">
        <f t="shared" si="68"/>
        <v>900.50667514810516</v>
      </c>
      <c r="CY119" s="60">
        <f ca="1">AVERAGE(OFFSET($CX$3,0,0,'Données projet'!$E$13+1,1))-AVERAGE(OFFSET($H$3,0,0,'Données projet'!$E$13+1,1))</f>
        <v>495.77338291316386</v>
      </c>
      <c r="CZ119" s="60">
        <f t="shared" si="96"/>
        <v>261.95434270986397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2.2737367544323206E-13</v>
      </c>
      <c r="DP119" s="18">
        <f>DO119*VLOOKUP('Données projet'!$B$14,Paramètres!$A$1:$I$89,3,0)*VLOOKUP('Données projet'!$B$14,Paramètres!$A$1:$I$89,5,0)</f>
        <v>1.4897523215040565E-13</v>
      </c>
      <c r="DQ119" s="14">
        <f t="shared" si="97"/>
        <v>2.136562777003313E-12</v>
      </c>
      <c r="DR119" s="22">
        <f t="shared" si="70"/>
        <v>3.9806453659427267E-12</v>
      </c>
      <c r="DS119" s="60">
        <f t="shared" si="71"/>
        <v>293.33333333333729</v>
      </c>
      <c r="DT119" s="60">
        <f ca="1">AVERAGE(OFFSET($DS$3,0,0,'Données projet'!$E$14+1,1))-AVERAGE(OFFSET($H$3,0,0,'Données projet'!$E$14+1,1))</f>
        <v>275.11574966125522</v>
      </c>
      <c r="DU119" s="60">
        <f t="shared" si="98"/>
        <v>299.21520121860345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369.34989412920129</v>
      </c>
      <c r="T120" s="60">
        <f t="shared" si="88"/>
        <v>371.26234252426553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-1.8089849618263545E-13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370.79299728190904</v>
      </c>
      <c r="AO120" s="60">
        <f t="shared" si="90"/>
        <v>404.95703400805775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-1.6671037883497774E-13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344.63665697794022</v>
      </c>
      <c r="BJ120" s="60">
        <f t="shared" si="92"/>
        <v>376.72762011188041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4.5</v>
      </c>
      <c r="BY120" s="13">
        <f>IF('Données projet'!$A$114&gt;35,BY119+BX120-CG119,IF(A120&lt;'Données projet'!$A$114,$BV$205^A120,IF(A120='Données projet'!$A$114,'Données projet'!$B$114,BY119+BX120-CG119)))</f>
        <v>338.49999999999989</v>
      </c>
      <c r="BZ120" s="14">
        <f>BY120*VLOOKUP('Données projet'!$B$12,Paramètres!$A$1:$I$89,3,0)*VLOOKUP('Données projet'!$B$12,Paramètres!$A$1:$I$89,5,0)</f>
        <v>306.27479999999991</v>
      </c>
      <c r="CA120" s="14">
        <f t="shared" si="93"/>
        <v>72.490313602283052</v>
      </c>
      <c r="CB120" s="22">
        <f t="shared" si="64"/>
        <v>659.68257285730954</v>
      </c>
      <c r="CC120" s="60">
        <f t="shared" si="65"/>
        <v>953.01590619064291</v>
      </c>
      <c r="CD120" s="60">
        <f ca="1">AVERAGE(OFFSET($CC$3,0,0,'Données projet'!$E$12+1,1))-AVERAGE(OFFSET($H$3,0,0,'Données projet'!$E$12+1,1))</f>
        <v>529.25712986118265</v>
      </c>
      <c r="CE120" s="60">
        <f t="shared" si="94"/>
        <v>278.21741231699929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4.5</v>
      </c>
      <c r="CT120" s="13">
        <f>IF('Données projet'!$A$140&gt;35,CT119+CS120-DB119,IF(A120&lt;'Données projet'!$A$140,$CQ$205^A120,IF(A120='Données projet'!$A$140,'Données projet'!$B$140,CT119+CS120-DB119)))</f>
        <v>338.49999999999989</v>
      </c>
      <c r="CU120" s="18">
        <f>CT120*VLOOKUP('Données projet'!$B$13,Paramètres!$A$1:$I$89,3,0)*VLOOKUP('Données projet'!$B$13,Paramètres!$A$1:$I$89,5,0)</f>
        <v>285.15239999999994</v>
      </c>
      <c r="CV120" s="14">
        <f t="shared" si="95"/>
        <v>68.054700905071499</v>
      </c>
      <c r="CW120" s="22">
        <f t="shared" si="67"/>
        <v>615.16903407633276</v>
      </c>
      <c r="CX120" s="60">
        <f t="shared" si="68"/>
        <v>908.50236740966602</v>
      </c>
      <c r="CY120" s="60">
        <f ca="1">AVERAGE(OFFSET($CX$3,0,0,'Données projet'!$E$13+1,1))-AVERAGE(OFFSET($H$3,0,0,'Données projet'!$E$13+1,1))</f>
        <v>495.77338291316386</v>
      </c>
      <c r="CZ120" s="60">
        <f t="shared" si="96"/>
        <v>261.95434270986397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2.2737367544323206E-13</v>
      </c>
      <c r="DP120" s="18">
        <f>DO120*VLOOKUP('Données projet'!$B$14,Paramètres!$A$1:$I$89,3,0)*VLOOKUP('Données projet'!$B$14,Paramètres!$A$1:$I$89,5,0)</f>
        <v>1.4897523215040565E-13</v>
      </c>
      <c r="DQ120" s="14">
        <f t="shared" si="97"/>
        <v>2.136562777003313E-12</v>
      </c>
      <c r="DR120" s="22">
        <f t="shared" si="70"/>
        <v>3.9806453659427267E-12</v>
      </c>
      <c r="DS120" s="60">
        <f t="shared" si="71"/>
        <v>293.33333333333729</v>
      </c>
      <c r="DT120" s="60">
        <f ca="1">AVERAGE(OFFSET($DS$3,0,0,'Données projet'!$E$14+1,1))-AVERAGE(OFFSET($H$3,0,0,'Données projet'!$E$14+1,1))</f>
        <v>275.11574966125522</v>
      </c>
      <c r="DU120" s="60">
        <f t="shared" si="98"/>
        <v>299.21520121860345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369.34989412920129</v>
      </c>
      <c r="T121" s="60">
        <f t="shared" si="88"/>
        <v>371.26234252426553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-1.8089849618263545E-13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370.79299728190904</v>
      </c>
      <c r="AO121" s="60">
        <f t="shared" si="90"/>
        <v>404.95703400805775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-1.6671037883497774E-13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344.63665697794022</v>
      </c>
      <c r="BJ121" s="60">
        <f t="shared" si="92"/>
        <v>376.72762011188041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4.5</v>
      </c>
      <c r="BY121" s="13">
        <f>IF('Données projet'!$A$114&gt;35,BY120+BX121-CG120,IF(A121&lt;'Données projet'!$A$114,$BV$205^A121,IF(A121='Données projet'!$A$114,'Données projet'!$B$114,BY120+BX121-CG120)))</f>
        <v>342.99999999999989</v>
      </c>
      <c r="BZ121" s="14">
        <f>BY121*VLOOKUP('Données projet'!$B$12,Paramètres!$A$1:$I$89,3,0)*VLOOKUP('Données projet'!$B$12,Paramètres!$A$1:$I$89,5,0)</f>
        <v>310.34639999999985</v>
      </c>
      <c r="CA121" s="14">
        <f t="shared" si="93"/>
        <v>73.341167576152998</v>
      </c>
      <c r="CB121" s="22">
        <f t="shared" si="64"/>
        <v>668.25584686179957</v>
      </c>
      <c r="CC121" s="60">
        <f t="shared" si="65"/>
        <v>961.58918019513294</v>
      </c>
      <c r="CD121" s="60">
        <f ca="1">AVERAGE(OFFSET($CC$3,0,0,'Données projet'!$E$12+1,1))-AVERAGE(OFFSET($H$3,0,0,'Données projet'!$E$12+1,1))</f>
        <v>529.25712986118265</v>
      </c>
      <c r="CE121" s="60">
        <f t="shared" si="94"/>
        <v>278.21741231699929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4.5</v>
      </c>
      <c r="CT121" s="13">
        <f>IF('Données projet'!$A$140&gt;35,CT120+CS121-DB120,IF(A121&lt;'Données projet'!$A$140,$CQ$205^A121,IF(A121='Données projet'!$A$140,'Données projet'!$B$140,CT120+CS121-DB120)))</f>
        <v>342.99999999999989</v>
      </c>
      <c r="CU121" s="18">
        <f>CT121*VLOOKUP('Données projet'!$B$13,Paramètres!$A$1:$I$89,3,0)*VLOOKUP('Données projet'!$B$13,Paramètres!$A$1:$I$89,5,0)</f>
        <v>288.94319999999993</v>
      </c>
      <c r="CV121" s="14">
        <f t="shared" si="95"/>
        <v>68.853491941116729</v>
      </c>
      <c r="CW121" s="22">
        <f t="shared" si="67"/>
        <v>623.16257179744491</v>
      </c>
      <c r="CX121" s="60">
        <f t="shared" si="68"/>
        <v>916.49590513077828</v>
      </c>
      <c r="CY121" s="60">
        <f ca="1">AVERAGE(OFFSET($CX$3,0,0,'Données projet'!$E$13+1,1))-AVERAGE(OFFSET($H$3,0,0,'Données projet'!$E$13+1,1))</f>
        <v>495.77338291316386</v>
      </c>
      <c r="CZ121" s="60">
        <f t="shared" si="96"/>
        <v>261.95434270986397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2.2737367544323206E-13</v>
      </c>
      <c r="DP121" s="18">
        <f>DO121*VLOOKUP('Données projet'!$B$14,Paramètres!$A$1:$I$89,3,0)*VLOOKUP('Données projet'!$B$14,Paramètres!$A$1:$I$89,5,0)</f>
        <v>1.4897523215040565E-13</v>
      </c>
      <c r="DQ121" s="14">
        <f t="shared" si="97"/>
        <v>2.136562777003313E-12</v>
      </c>
      <c r="DR121" s="22">
        <f t="shared" si="70"/>
        <v>3.9806453659427267E-12</v>
      </c>
      <c r="DS121" s="60">
        <f t="shared" si="71"/>
        <v>293.33333333333729</v>
      </c>
      <c r="DT121" s="60">
        <f ca="1">AVERAGE(OFFSET($DS$3,0,0,'Données projet'!$E$14+1,1))-AVERAGE(OFFSET($H$3,0,0,'Données projet'!$E$14+1,1))</f>
        <v>275.11574966125522</v>
      </c>
      <c r="DU121" s="60">
        <f t="shared" si="98"/>
        <v>299.21520121860345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369.34989412920129</v>
      </c>
      <c r="T122" s="60">
        <f t="shared" si="88"/>
        <v>371.26234252426553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-1.8089849618263545E-13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370.79299728190904</v>
      </c>
      <c r="AO122" s="60">
        <f t="shared" si="90"/>
        <v>404.95703400805775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-1.6671037883497774E-13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344.63665697794022</v>
      </c>
      <c r="BJ122" s="60">
        <f t="shared" si="92"/>
        <v>376.72762011188041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4.5</v>
      </c>
      <c r="BY122" s="13">
        <f>IF('Données projet'!$A$114&gt;35,BY121+BX122-CG121,IF(A122&lt;'Données projet'!$A$114,$BV$205^A122,IF(A122='Données projet'!$A$114,'Données projet'!$B$114,BY121+BX122-CG121)))</f>
        <v>347.49999999999989</v>
      </c>
      <c r="BZ122" s="14">
        <f>BY122*VLOOKUP('Données projet'!$B$12,Paramètres!$A$1:$I$89,3,0)*VLOOKUP('Données projet'!$B$12,Paramètres!$A$1:$I$89,5,0)</f>
        <v>314.41799999999989</v>
      </c>
      <c r="CA122" s="14">
        <f t="shared" si="93"/>
        <v>74.190723151497338</v>
      </c>
      <c r="CB122" s="22">
        <f t="shared" si="64"/>
        <v>676.82685948885762</v>
      </c>
      <c r="CC122" s="60">
        <f t="shared" si="65"/>
        <v>970.16019282219099</v>
      </c>
      <c r="CD122" s="60">
        <f ca="1">AVERAGE(OFFSET($CC$3,0,0,'Données projet'!$E$12+1,1))-AVERAGE(OFFSET($H$3,0,0,'Données projet'!$E$12+1,1))</f>
        <v>529.25712986118265</v>
      </c>
      <c r="CE122" s="60">
        <f t="shared" si="94"/>
        <v>278.21741231699929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4.5</v>
      </c>
      <c r="CT122" s="13">
        <f>IF('Données projet'!$A$140&gt;35,CT121+CS122-DB121,IF(A122&lt;'Données projet'!$A$140,$CQ$205^A122,IF(A122='Données projet'!$A$140,'Données projet'!$B$140,CT121+CS122-DB121)))</f>
        <v>347.49999999999989</v>
      </c>
      <c r="CU122" s="18">
        <f>CT122*VLOOKUP('Données projet'!$B$13,Paramètres!$A$1:$I$89,3,0)*VLOOKUP('Données projet'!$B$13,Paramètres!$A$1:$I$89,5,0)</f>
        <v>292.73399999999992</v>
      </c>
      <c r="CV122" s="14">
        <f t="shared" si="95"/>
        <v>69.651064026395645</v>
      </c>
      <c r="CW122" s="22">
        <f t="shared" si="67"/>
        <v>631.15398651263888</v>
      </c>
      <c r="CX122" s="60">
        <f t="shared" si="68"/>
        <v>924.48731984597225</v>
      </c>
      <c r="CY122" s="60">
        <f ca="1">AVERAGE(OFFSET($CX$3,0,0,'Données projet'!$E$13+1,1))-AVERAGE(OFFSET($H$3,0,0,'Données projet'!$E$13+1,1))</f>
        <v>495.77338291316386</v>
      </c>
      <c r="CZ122" s="60">
        <f t="shared" si="96"/>
        <v>261.95434270986397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2.2737367544323206E-13</v>
      </c>
      <c r="DP122" s="18">
        <f>DO122*VLOOKUP('Données projet'!$B$14,Paramètres!$A$1:$I$89,3,0)*VLOOKUP('Données projet'!$B$14,Paramètres!$A$1:$I$89,5,0)</f>
        <v>1.4897523215040565E-13</v>
      </c>
      <c r="DQ122" s="14">
        <f t="shared" si="97"/>
        <v>2.136562777003313E-12</v>
      </c>
      <c r="DR122" s="22">
        <f t="shared" si="70"/>
        <v>3.9806453659427267E-12</v>
      </c>
      <c r="DS122" s="60">
        <f t="shared" si="71"/>
        <v>293.33333333333729</v>
      </c>
      <c r="DT122" s="60">
        <f ca="1">AVERAGE(OFFSET($DS$3,0,0,'Données projet'!$E$14+1,1))-AVERAGE(OFFSET($H$3,0,0,'Données projet'!$E$14+1,1))</f>
        <v>275.11574966125522</v>
      </c>
      <c r="DU122" s="60">
        <f t="shared" si="98"/>
        <v>299.21520121860345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369.34989412920129</v>
      </c>
      <c r="T123" s="60">
        <f t="shared" si="88"/>
        <v>371.26234252426553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-1.8089849618263545E-13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370.79299728190904</v>
      </c>
      <c r="AO123" s="60">
        <f t="shared" si="90"/>
        <v>404.95703400805775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-1.6671037883497774E-13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344.63665697794022</v>
      </c>
      <c r="BJ123" s="60">
        <f t="shared" si="92"/>
        <v>376.72762011188041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352</v>
      </c>
      <c r="BW123" s="13">
        <f>VLOOKUP(A123,'Données projet'!$A$113:$I$133,9,0)</f>
        <v>4.5</v>
      </c>
      <c r="BX123" s="13">
        <f t="array" ref="BX123">INDEX(BW:BW,MIN(IF(ISNUMBER(BW123:BW319),ROW(BW123:BW319),"")))</f>
        <v>4.5</v>
      </c>
      <c r="BY123" s="13">
        <f>IF('Données projet'!$A$114&gt;35,BY122+BX123-CG122,IF(A123&lt;'Données projet'!$A$114,$BV$205^A123,IF(A123='Données projet'!$A$114,'Données projet'!$B$114,BY122+BX123-CG122)))</f>
        <v>351.99999999999989</v>
      </c>
      <c r="BZ123" s="14">
        <f>BY123*VLOOKUP('Données projet'!$B$12,Paramètres!$A$1:$I$89,3,0)*VLOOKUP('Données projet'!$B$12,Paramètres!$A$1:$I$89,5,0)</f>
        <v>318.48959999999988</v>
      </c>
      <c r="CA123" s="14">
        <f t="shared" si="93"/>
        <v>75.038999086150227</v>
      </c>
      <c r="CB123" s="22">
        <f t="shared" si="64"/>
        <v>685.39564340837808</v>
      </c>
      <c r="CC123" s="60">
        <f t="shared" si="65"/>
        <v>978.72897674171145</v>
      </c>
      <c r="CD123" s="60">
        <f ca="1">AVERAGE(OFFSET($CC$3,0,0,'Données projet'!$E$12+1,1))-AVERAGE(OFFSET($H$3,0,0,'Données projet'!$E$12+1,1))</f>
        <v>529.25712986118265</v>
      </c>
      <c r="CE123" s="60">
        <f t="shared" si="94"/>
        <v>278.21741231699929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352</v>
      </c>
      <c r="CR123" s="13">
        <f>VLOOKUP(A123,'Données projet'!$A$139:$I$159,9,0)</f>
        <v>4.5</v>
      </c>
      <c r="CS123" s="13">
        <f t="array" ref="CS123">INDEX(CR:CR,MIN(IF(ISNUMBER(CR123:CR319),ROW(CR123:CR319),"")))</f>
        <v>4.5</v>
      </c>
      <c r="CT123" s="13">
        <f>IF('Données projet'!$A$140&gt;35,CT122+CS123-DB122,IF(A123&lt;'Données projet'!$A$140,$CQ$205^A123,IF(A123='Données projet'!$A$140,'Données projet'!$B$140,CT122+CS123-DB122)))</f>
        <v>351.99999999999989</v>
      </c>
      <c r="CU123" s="18">
        <f>CT123*VLOOKUP('Données projet'!$B$13,Paramètres!$A$1:$I$89,3,0)*VLOOKUP('Données projet'!$B$13,Paramètres!$A$1:$I$89,5,0)</f>
        <v>296.52479999999991</v>
      </c>
      <c r="CV123" s="14">
        <f t="shared" si="95"/>
        <v>70.447434770968528</v>
      </c>
      <c r="CW123" s="22">
        <f t="shared" si="67"/>
        <v>639.14330889277005</v>
      </c>
      <c r="CX123" s="60">
        <f t="shared" si="68"/>
        <v>932.47664222610342</v>
      </c>
      <c r="CY123" s="60">
        <f ca="1">AVERAGE(OFFSET($CX$3,0,0,'Données projet'!$E$13+1,1))-AVERAGE(OFFSET($H$3,0,0,'Données projet'!$E$13+1,1))</f>
        <v>495.77338291316386</v>
      </c>
      <c r="CZ123" s="60">
        <f t="shared" si="96"/>
        <v>261.95434270986397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2.2737367544323206E-13</v>
      </c>
      <c r="DP123" s="18">
        <f>DO123*VLOOKUP('Données projet'!$B$14,Paramètres!$A$1:$I$89,3,0)*VLOOKUP('Données projet'!$B$14,Paramètres!$A$1:$I$89,5,0)</f>
        <v>1.4897523215040565E-13</v>
      </c>
      <c r="DQ123" s="14">
        <f t="shared" si="97"/>
        <v>2.136562777003313E-12</v>
      </c>
      <c r="DR123" s="22">
        <f t="shared" si="70"/>
        <v>3.9806453659427267E-12</v>
      </c>
      <c r="DS123" s="60">
        <f t="shared" si="71"/>
        <v>293.33333333333729</v>
      </c>
      <c r="DT123" s="60">
        <f ca="1">AVERAGE(OFFSET($DS$3,0,0,'Données projet'!$E$14+1,1))-AVERAGE(OFFSET($H$3,0,0,'Données projet'!$E$14+1,1))</f>
        <v>275.11574966125522</v>
      </c>
      <c r="DU123" s="60">
        <f t="shared" si="98"/>
        <v>299.21520121860345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369.34989412920129</v>
      </c>
      <c r="T124" s="60">
        <f t="shared" si="88"/>
        <v>371.26234252426553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-1.8089849618263545E-13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370.79299728190904</v>
      </c>
      <c r="AO124" s="60">
        <f t="shared" si="90"/>
        <v>404.95703400805775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-1.6671037883497774E-13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344.63665697794022</v>
      </c>
      <c r="BJ124" s="60">
        <f t="shared" si="92"/>
        <v>376.72762011188041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4.2</v>
      </c>
      <c r="BY124" s="13">
        <f>IF('Données projet'!$A$114&gt;35,BY123+BX124-CG123,IF(A124&lt;'Données projet'!$A$114,$BV$205^A124,IF(A124='Données projet'!$A$114,'Données projet'!$B$114,BY123+BX124-CG123)))</f>
        <v>356.19999999999987</v>
      </c>
      <c r="BZ124" s="14">
        <f>BY124*VLOOKUP('Données projet'!$B$12,Paramètres!$A$1:$I$89,3,0)*VLOOKUP('Données projet'!$B$12,Paramètres!$A$1:$I$89,5,0)</f>
        <v>322.28975999999989</v>
      </c>
      <c r="CA124" s="14">
        <f t="shared" si="93"/>
        <v>75.829584879013211</v>
      </c>
      <c r="CB124" s="22">
        <f t="shared" si="64"/>
        <v>693.39119233094789</v>
      </c>
      <c r="CC124" s="60">
        <f t="shared" si="65"/>
        <v>986.72452566428115</v>
      </c>
      <c r="CD124" s="60">
        <f ca="1">AVERAGE(OFFSET($CC$3,0,0,'Données projet'!$E$12+1,1))-AVERAGE(OFFSET($H$3,0,0,'Données projet'!$E$12+1,1))</f>
        <v>529.25712986118265</v>
      </c>
      <c r="CE124" s="60">
        <f t="shared" si="94"/>
        <v>278.21741231699929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4.2</v>
      </c>
      <c r="CT124" s="13">
        <f>IF('Données projet'!$A$140&gt;35,CT123+CS124-DB123,IF(A124&lt;'Données projet'!$A$140,$CQ$205^A124,IF(A124='Données projet'!$A$140,'Données projet'!$B$140,CT123+CS124-DB123)))</f>
        <v>356.19999999999987</v>
      </c>
      <c r="CU124" s="18">
        <f>CT124*VLOOKUP('Données projet'!$B$13,Paramètres!$A$1:$I$89,3,0)*VLOOKUP('Données projet'!$B$13,Paramètres!$A$1:$I$89,5,0)</f>
        <v>300.06287999999995</v>
      </c>
      <c r="CV124" s="14">
        <f t="shared" si="95"/>
        <v>71.189645378143979</v>
      </c>
      <c r="CW124" s="22">
        <f t="shared" si="67"/>
        <v>646.59814836693397</v>
      </c>
      <c r="CX124" s="60">
        <f t="shared" si="68"/>
        <v>939.93148170026734</v>
      </c>
      <c r="CY124" s="60">
        <f ca="1">AVERAGE(OFFSET($CX$3,0,0,'Données projet'!$E$13+1,1))-AVERAGE(OFFSET($H$3,0,0,'Données projet'!$E$13+1,1))</f>
        <v>495.77338291316386</v>
      </c>
      <c r="CZ124" s="60">
        <f t="shared" si="96"/>
        <v>261.95434270986397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2.2737367544323206E-13</v>
      </c>
      <c r="DP124" s="18">
        <f>DO124*VLOOKUP('Données projet'!$B$14,Paramètres!$A$1:$I$89,3,0)*VLOOKUP('Données projet'!$B$14,Paramètres!$A$1:$I$89,5,0)</f>
        <v>1.4897523215040565E-13</v>
      </c>
      <c r="DQ124" s="14">
        <f t="shared" si="97"/>
        <v>2.136562777003313E-12</v>
      </c>
      <c r="DR124" s="22">
        <f t="shared" si="70"/>
        <v>3.9806453659427267E-12</v>
      </c>
      <c r="DS124" s="60">
        <f t="shared" si="71"/>
        <v>293.33333333333729</v>
      </c>
      <c r="DT124" s="60">
        <f ca="1">AVERAGE(OFFSET($DS$3,0,0,'Données projet'!$E$14+1,1))-AVERAGE(OFFSET($H$3,0,0,'Données projet'!$E$14+1,1))</f>
        <v>275.11574966125522</v>
      </c>
      <c r="DU124" s="60">
        <f t="shared" si="98"/>
        <v>299.21520121860345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369.34989412920129</v>
      </c>
      <c r="T125" s="60">
        <f t="shared" si="88"/>
        <v>371.26234252426553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-1.8089849618263545E-13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370.79299728190904</v>
      </c>
      <c r="AO125" s="60">
        <f t="shared" si="90"/>
        <v>404.95703400805775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-1.6671037883497774E-13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344.63665697794022</v>
      </c>
      <c r="BJ125" s="60">
        <f t="shared" si="92"/>
        <v>376.72762011188041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4.2</v>
      </c>
      <c r="BY125" s="13">
        <f>IF('Données projet'!$A$114&gt;35,BY124+BX125-CG124,IF(A125&lt;'Données projet'!$A$114,$BV$205^A125,IF(A125='Données projet'!$A$114,'Données projet'!$B$114,BY124+BX125-CG124)))</f>
        <v>360.39999999999986</v>
      </c>
      <c r="BZ125" s="14">
        <f>BY125*VLOOKUP('Données projet'!$B$12,Paramètres!$A$1:$I$89,3,0)*VLOOKUP('Données projet'!$B$12,Paramètres!$A$1:$I$89,5,0)</f>
        <v>326.08991999999984</v>
      </c>
      <c r="CA125" s="14">
        <f t="shared" si="93"/>
        <v>76.619086320573132</v>
      </c>
      <c r="CB125" s="22">
        <f t="shared" si="64"/>
        <v>701.38485267499789</v>
      </c>
      <c r="CC125" s="60">
        <f t="shared" si="65"/>
        <v>994.71818600833126</v>
      </c>
      <c r="CD125" s="60">
        <f ca="1">AVERAGE(OFFSET($CC$3,0,0,'Données projet'!$E$12+1,1))-AVERAGE(OFFSET($H$3,0,0,'Données projet'!$E$12+1,1))</f>
        <v>529.25712986118265</v>
      </c>
      <c r="CE125" s="60">
        <f t="shared" si="94"/>
        <v>278.21741231699929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4.2</v>
      </c>
      <c r="CT125" s="13">
        <f>IF('Données projet'!$A$140&gt;35,CT124+CS125-DB124,IF(A125&lt;'Données projet'!$A$140,$CQ$205^A125,IF(A125='Données projet'!$A$140,'Données projet'!$B$140,CT124+CS125-DB124)))</f>
        <v>360.39999999999986</v>
      </c>
      <c r="CU125" s="18">
        <f>CT125*VLOOKUP('Données projet'!$B$13,Paramètres!$A$1:$I$89,3,0)*VLOOKUP('Données projet'!$B$13,Paramètres!$A$1:$I$89,5,0)</f>
        <v>303.60095999999987</v>
      </c>
      <c r="CV125" s="14">
        <f t="shared" si="95"/>
        <v>71.930837984431591</v>
      </c>
      <c r="CW125" s="22">
        <f t="shared" si="67"/>
        <v>654.05121482288484</v>
      </c>
      <c r="CX125" s="60">
        <f t="shared" si="68"/>
        <v>947.38454815621822</v>
      </c>
      <c r="CY125" s="60">
        <f ca="1">AVERAGE(OFFSET($CX$3,0,0,'Données projet'!$E$13+1,1))-AVERAGE(OFFSET($H$3,0,0,'Données projet'!$E$13+1,1))</f>
        <v>495.77338291316386</v>
      </c>
      <c r="CZ125" s="60">
        <f t="shared" si="96"/>
        <v>261.95434270986397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2.2737367544323206E-13</v>
      </c>
      <c r="DP125" s="18">
        <f>DO125*VLOOKUP('Données projet'!$B$14,Paramètres!$A$1:$I$89,3,0)*VLOOKUP('Données projet'!$B$14,Paramètres!$A$1:$I$89,5,0)</f>
        <v>1.4897523215040565E-13</v>
      </c>
      <c r="DQ125" s="14">
        <f t="shared" si="97"/>
        <v>2.136562777003313E-12</v>
      </c>
      <c r="DR125" s="22">
        <f t="shared" si="70"/>
        <v>3.9806453659427267E-12</v>
      </c>
      <c r="DS125" s="60">
        <f t="shared" si="71"/>
        <v>293.33333333333729</v>
      </c>
      <c r="DT125" s="60">
        <f ca="1">AVERAGE(OFFSET($DS$3,0,0,'Données projet'!$E$14+1,1))-AVERAGE(OFFSET($H$3,0,0,'Données projet'!$E$14+1,1))</f>
        <v>275.11574966125522</v>
      </c>
      <c r="DU125" s="60">
        <f t="shared" si="98"/>
        <v>299.21520121860345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369.34989412920129</v>
      </c>
      <c r="T126" s="60">
        <f t="shared" si="88"/>
        <v>371.26234252426553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-1.8089849618263545E-13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370.79299728190904</v>
      </c>
      <c r="AO126" s="60">
        <f t="shared" si="90"/>
        <v>404.95703400805775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-1.6671037883497774E-13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344.63665697794022</v>
      </c>
      <c r="BJ126" s="60">
        <f t="shared" si="92"/>
        <v>376.72762011188041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4.2</v>
      </c>
      <c r="BY126" s="13">
        <f>IF('Données projet'!$A$114&gt;35,BY125+BX126-CG125,IF(A126&lt;'Données projet'!$A$114,$BV$205^A126,IF(A126='Données projet'!$A$114,'Données projet'!$B$114,BY125+BX126-CG125)))</f>
        <v>364.59999999999985</v>
      </c>
      <c r="BZ126" s="14">
        <f>BY126*VLOOKUP('Données projet'!$B$12,Paramètres!$A$1:$I$89,3,0)*VLOOKUP('Données projet'!$B$12,Paramètres!$A$1:$I$89,5,0)</f>
        <v>329.89007999999984</v>
      </c>
      <c r="CA126" s="14">
        <f t="shared" si="93"/>
        <v>77.407517509546452</v>
      </c>
      <c r="CB126" s="22">
        <f t="shared" si="64"/>
        <v>709.37664899579306</v>
      </c>
      <c r="CC126" s="60">
        <f t="shared" si="65"/>
        <v>1002.7099823291264</v>
      </c>
      <c r="CD126" s="60">
        <f ca="1">AVERAGE(OFFSET($CC$3,0,0,'Données projet'!$E$12+1,1))-AVERAGE(OFFSET($H$3,0,0,'Données projet'!$E$12+1,1))</f>
        <v>529.25712986118265</v>
      </c>
      <c r="CE126" s="60">
        <f t="shared" si="94"/>
        <v>278.21741231699929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4.2</v>
      </c>
      <c r="CT126" s="13">
        <f>IF('Données projet'!$A$140&gt;35,CT125+CS126-DB125,IF(A126&lt;'Données projet'!$A$140,$CQ$205^A126,IF(A126='Données projet'!$A$140,'Données projet'!$B$140,CT125+CS126-DB125)))</f>
        <v>364.59999999999985</v>
      </c>
      <c r="CU126" s="18">
        <f>CT126*VLOOKUP('Données projet'!$B$13,Paramètres!$A$1:$I$89,3,0)*VLOOKUP('Données projet'!$B$13,Paramètres!$A$1:$I$89,5,0)</f>
        <v>307.13903999999991</v>
      </c>
      <c r="CV126" s="14">
        <f t="shared" si="95"/>
        <v>72.671025825860937</v>
      </c>
      <c r="CW126" s="22">
        <f t="shared" si="67"/>
        <v>661.50253131337433</v>
      </c>
      <c r="CX126" s="60">
        <f t="shared" si="68"/>
        <v>954.83586464670771</v>
      </c>
      <c r="CY126" s="60">
        <f ca="1">AVERAGE(OFFSET($CX$3,0,0,'Données projet'!$E$13+1,1))-AVERAGE(OFFSET($H$3,0,0,'Données projet'!$E$13+1,1))</f>
        <v>495.77338291316386</v>
      </c>
      <c r="CZ126" s="60">
        <f t="shared" si="96"/>
        <v>261.95434270986397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2.2737367544323206E-13</v>
      </c>
      <c r="DP126" s="18">
        <f>DO126*VLOOKUP('Données projet'!$B$14,Paramètres!$A$1:$I$89,3,0)*VLOOKUP('Données projet'!$B$14,Paramètres!$A$1:$I$89,5,0)</f>
        <v>1.4897523215040565E-13</v>
      </c>
      <c r="DQ126" s="14">
        <f t="shared" si="97"/>
        <v>2.136562777003313E-12</v>
      </c>
      <c r="DR126" s="22">
        <f t="shared" si="70"/>
        <v>3.9806453659427267E-12</v>
      </c>
      <c r="DS126" s="60">
        <f t="shared" si="71"/>
        <v>293.33333333333729</v>
      </c>
      <c r="DT126" s="60">
        <f ca="1">AVERAGE(OFFSET($DS$3,0,0,'Données projet'!$E$14+1,1))-AVERAGE(OFFSET($H$3,0,0,'Données projet'!$E$14+1,1))</f>
        <v>275.11574966125522</v>
      </c>
      <c r="DU126" s="60">
        <f t="shared" si="98"/>
        <v>299.21520121860345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369.34989412920129</v>
      </c>
      <c r="T127" s="60">
        <f t="shared" si="88"/>
        <v>371.26234252426553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-1.8089849618263545E-13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370.79299728190904</v>
      </c>
      <c r="AO127" s="60">
        <f t="shared" si="90"/>
        <v>404.95703400805775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-1.6671037883497774E-13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344.63665697794022</v>
      </c>
      <c r="BJ127" s="60">
        <f t="shared" si="92"/>
        <v>376.72762011188041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4.2</v>
      </c>
      <c r="BY127" s="13">
        <f>IF('Données projet'!$A$114&gt;35,BY126+BX127-CG126,IF(A127&lt;'Données projet'!$A$114,$BV$205^A127,IF(A127='Données projet'!$A$114,'Données projet'!$B$114,BY126+BX127-CG126)))</f>
        <v>368.79999999999984</v>
      </c>
      <c r="BZ127" s="14">
        <f>BY127*VLOOKUP('Données projet'!$B$12,Paramètres!$A$1:$I$89,3,0)*VLOOKUP('Données projet'!$B$12,Paramètres!$A$1:$I$89,5,0)</f>
        <v>333.69023999999985</v>
      </c>
      <c r="CA127" s="14">
        <f t="shared" si="93"/>
        <v>78.194892201133555</v>
      </c>
      <c r="CB127" s="22">
        <f t="shared" si="64"/>
        <v>717.36660525030732</v>
      </c>
      <c r="CC127" s="60">
        <f t="shared" si="65"/>
        <v>1010.6999385836407</v>
      </c>
      <c r="CD127" s="60">
        <f ca="1">AVERAGE(OFFSET($CC$3,0,0,'Données projet'!$E$12+1,1))-AVERAGE(OFFSET($H$3,0,0,'Données projet'!$E$12+1,1))</f>
        <v>529.25712986118265</v>
      </c>
      <c r="CE127" s="60">
        <f t="shared" si="94"/>
        <v>278.21741231699929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4.2</v>
      </c>
      <c r="CT127" s="13">
        <f>IF('Données projet'!$A$140&gt;35,CT126+CS127-DB126,IF(A127&lt;'Données projet'!$A$140,$CQ$205^A127,IF(A127='Données projet'!$A$140,'Données projet'!$B$140,CT126+CS127-DB126)))</f>
        <v>368.79999999999984</v>
      </c>
      <c r="CU127" s="18">
        <f>CT127*VLOOKUP('Données projet'!$B$13,Paramètres!$A$1:$I$89,3,0)*VLOOKUP('Données projet'!$B$13,Paramètres!$A$1:$I$89,5,0)</f>
        <v>310.67711999999989</v>
      </c>
      <c r="CV127" s="14">
        <f t="shared" si="95"/>
        <v>73.410221815964775</v>
      </c>
      <c r="CW127" s="22">
        <f t="shared" si="67"/>
        <v>668.95212032947177</v>
      </c>
      <c r="CX127" s="60">
        <f t="shared" si="68"/>
        <v>962.28545366280514</v>
      </c>
      <c r="CY127" s="60">
        <f ca="1">AVERAGE(OFFSET($CX$3,0,0,'Données projet'!$E$13+1,1))-AVERAGE(OFFSET($H$3,0,0,'Données projet'!$E$13+1,1))</f>
        <v>495.77338291316386</v>
      </c>
      <c r="CZ127" s="60">
        <f t="shared" si="96"/>
        <v>261.95434270986397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2.2737367544323206E-13</v>
      </c>
      <c r="DP127" s="18">
        <f>DO127*VLOOKUP('Données projet'!$B$14,Paramètres!$A$1:$I$89,3,0)*VLOOKUP('Données projet'!$B$14,Paramètres!$A$1:$I$89,5,0)</f>
        <v>1.4897523215040565E-13</v>
      </c>
      <c r="DQ127" s="14">
        <f t="shared" si="97"/>
        <v>2.136562777003313E-12</v>
      </c>
      <c r="DR127" s="22">
        <f t="shared" si="70"/>
        <v>3.9806453659427267E-12</v>
      </c>
      <c r="DS127" s="60">
        <f t="shared" si="71"/>
        <v>293.33333333333729</v>
      </c>
      <c r="DT127" s="60">
        <f ca="1">AVERAGE(OFFSET($DS$3,0,0,'Données projet'!$E$14+1,1))-AVERAGE(OFFSET($H$3,0,0,'Données projet'!$E$14+1,1))</f>
        <v>275.11574966125522</v>
      </c>
      <c r="DU127" s="60">
        <f t="shared" si="98"/>
        <v>299.21520121860345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369.34989412920129</v>
      </c>
      <c r="T128" s="60">
        <f t="shared" si="88"/>
        <v>371.26234252426553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-1.8089849618263545E-13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370.79299728190904</v>
      </c>
      <c r="AO128" s="60">
        <f t="shared" si="90"/>
        <v>404.95703400805775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-1.6671037883497774E-13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344.63665697794022</v>
      </c>
      <c r="BJ128" s="60">
        <f t="shared" si="92"/>
        <v>376.72762011188041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4.2</v>
      </c>
      <c r="BY128" s="13">
        <f>IF('Données projet'!$A$114&gt;35,BY127+BX128-CG127,IF(A128&lt;'Données projet'!$A$114,$BV$205^A128,IF(A128='Données projet'!$A$114,'Données projet'!$B$114,BY127+BX128-CG127)))</f>
        <v>372.99999999999983</v>
      </c>
      <c r="BZ128" s="14">
        <f>BY128*VLOOKUP('Données projet'!$B$12,Paramètres!$A$1:$I$89,3,0)*VLOOKUP('Données projet'!$B$12,Paramètres!$A$1:$I$89,5,0)</f>
        <v>337.49039999999985</v>
      </c>
      <c r="CA128" s="14">
        <f t="shared" si="93"/>
        <v>78.981223819202711</v>
      </c>
      <c r="CB128" s="22">
        <f t="shared" si="64"/>
        <v>725.35474481844449</v>
      </c>
      <c r="CC128" s="60">
        <f t="shared" si="65"/>
        <v>1018.6880781517777</v>
      </c>
      <c r="CD128" s="60">
        <f ca="1">AVERAGE(OFFSET($CC$3,0,0,'Données projet'!$E$12+1,1))-AVERAGE(OFFSET($H$3,0,0,'Données projet'!$E$12+1,1))</f>
        <v>529.25712986118265</v>
      </c>
      <c r="CE128" s="60">
        <f t="shared" si="94"/>
        <v>278.21741231699929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4.2</v>
      </c>
      <c r="CT128" s="13">
        <f>IF('Données projet'!$A$140&gt;35,CT127+CS128-DB127,IF(A128&lt;'Données projet'!$A$140,$CQ$205^A128,IF(A128='Données projet'!$A$140,'Données projet'!$B$140,CT127+CS128-DB127)))</f>
        <v>372.99999999999983</v>
      </c>
      <c r="CU128" s="18">
        <f>CT128*VLOOKUP('Données projet'!$B$13,Paramètres!$A$1:$I$89,3,0)*VLOOKUP('Données projet'!$B$13,Paramètres!$A$1:$I$89,5,0)</f>
        <v>314.21519999999992</v>
      </c>
      <c r="CV128" s="14">
        <f t="shared" si="95"/>
        <v>74.148438557218014</v>
      </c>
      <c r="CW128" s="22">
        <f t="shared" si="67"/>
        <v>676.40000382048788</v>
      </c>
      <c r="CX128" s="60">
        <f t="shared" si="68"/>
        <v>969.73333715382114</v>
      </c>
      <c r="CY128" s="60">
        <f ca="1">AVERAGE(OFFSET($CX$3,0,0,'Données projet'!$E$13+1,1))-AVERAGE(OFFSET($H$3,0,0,'Données projet'!$E$13+1,1))</f>
        <v>495.77338291316386</v>
      </c>
      <c r="CZ128" s="60">
        <f t="shared" si="96"/>
        <v>261.95434270986397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2.2737367544323206E-13</v>
      </c>
      <c r="DP128" s="18">
        <f>DO128*VLOOKUP('Données projet'!$B$14,Paramètres!$A$1:$I$89,3,0)*VLOOKUP('Données projet'!$B$14,Paramètres!$A$1:$I$89,5,0)</f>
        <v>1.4897523215040565E-13</v>
      </c>
      <c r="DQ128" s="14">
        <f t="shared" si="97"/>
        <v>2.136562777003313E-12</v>
      </c>
      <c r="DR128" s="22">
        <f t="shared" si="70"/>
        <v>3.9806453659427267E-12</v>
      </c>
      <c r="DS128" s="60">
        <f t="shared" si="71"/>
        <v>293.33333333333729</v>
      </c>
      <c r="DT128" s="60">
        <f ca="1">AVERAGE(OFFSET($DS$3,0,0,'Données projet'!$E$14+1,1))-AVERAGE(OFFSET($H$3,0,0,'Données projet'!$E$14+1,1))</f>
        <v>275.11574966125522</v>
      </c>
      <c r="DU128" s="60">
        <f t="shared" si="98"/>
        <v>299.21520121860345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369.34989412920129</v>
      </c>
      <c r="T129" s="60">
        <f t="shared" si="88"/>
        <v>371.26234252426553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-1.8089849618263545E-13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370.79299728190904</v>
      </c>
      <c r="AO129" s="60">
        <f t="shared" si="90"/>
        <v>404.95703400805775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-1.6671037883497774E-13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344.63665697794022</v>
      </c>
      <c r="BJ129" s="60">
        <f t="shared" si="92"/>
        <v>376.72762011188041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4.2</v>
      </c>
      <c r="BY129" s="13">
        <f>IF('Données projet'!$A$114&gt;35,BY128+BX129-CG128,IF(A129&lt;'Données projet'!$A$114,$BV$205^A129,IF(A129='Données projet'!$A$114,'Données projet'!$B$114,BY128+BX129-CG128)))</f>
        <v>377.19999999999982</v>
      </c>
      <c r="BZ129" s="14">
        <f>BY129*VLOOKUP('Données projet'!$B$12,Paramètres!$A$1:$I$89,3,0)*VLOOKUP('Données projet'!$B$12,Paramètres!$A$1:$I$89,5,0)</f>
        <v>341.2905599999998</v>
      </c>
      <c r="CA129" s="14">
        <f t="shared" si="93"/>
        <v>79.766525467910597</v>
      </c>
      <c r="CB129" s="22">
        <f t="shared" si="64"/>
        <v>733.34109052327722</v>
      </c>
      <c r="CC129" s="60">
        <f t="shared" si="65"/>
        <v>1026.6744238566105</v>
      </c>
      <c r="CD129" s="60">
        <f ca="1">AVERAGE(OFFSET($CC$3,0,0,'Données projet'!$E$12+1,1))-AVERAGE(OFFSET($H$3,0,0,'Données projet'!$E$12+1,1))</f>
        <v>529.25712986118265</v>
      </c>
      <c r="CE129" s="60">
        <f t="shared" si="94"/>
        <v>278.21741231699929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4.2</v>
      </c>
      <c r="CT129" s="13">
        <f>IF('Données projet'!$A$140&gt;35,CT128+CS129-DB128,IF(A129&lt;'Données projet'!$A$140,$CQ$205^A129,IF(A129='Données projet'!$A$140,'Données projet'!$B$140,CT128+CS129-DB128)))</f>
        <v>377.19999999999982</v>
      </c>
      <c r="CU129" s="18">
        <f>CT129*VLOOKUP('Données projet'!$B$13,Paramètres!$A$1:$I$89,3,0)*VLOOKUP('Données projet'!$B$13,Paramètres!$A$1:$I$89,5,0)</f>
        <v>317.75327999999985</v>
      </c>
      <c r="CV129" s="14">
        <f t="shared" si="95"/>
        <v>74.885688351946342</v>
      </c>
      <c r="CW129" s="22">
        <f t="shared" si="67"/>
        <v>683.84620321297291</v>
      </c>
      <c r="CX129" s="60">
        <f t="shared" si="68"/>
        <v>977.17953654630628</v>
      </c>
      <c r="CY129" s="60">
        <f ca="1">AVERAGE(OFFSET($CX$3,0,0,'Données projet'!$E$13+1,1))-AVERAGE(OFFSET($H$3,0,0,'Données projet'!$E$13+1,1))</f>
        <v>495.77338291316386</v>
      </c>
      <c r="CZ129" s="60">
        <f t="shared" si="96"/>
        <v>261.95434270986397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2.2737367544323206E-13</v>
      </c>
      <c r="DP129" s="18">
        <f>DO129*VLOOKUP('Données projet'!$B$14,Paramètres!$A$1:$I$89,3,0)*VLOOKUP('Données projet'!$B$14,Paramètres!$A$1:$I$89,5,0)</f>
        <v>1.4897523215040565E-13</v>
      </c>
      <c r="DQ129" s="14">
        <f t="shared" si="97"/>
        <v>2.136562777003313E-12</v>
      </c>
      <c r="DR129" s="22">
        <f t="shared" si="70"/>
        <v>3.9806453659427267E-12</v>
      </c>
      <c r="DS129" s="60">
        <f t="shared" si="71"/>
        <v>293.33333333333729</v>
      </c>
      <c r="DT129" s="60">
        <f ca="1">AVERAGE(OFFSET($DS$3,0,0,'Données projet'!$E$14+1,1))-AVERAGE(OFFSET($H$3,0,0,'Données projet'!$E$14+1,1))</f>
        <v>275.11574966125522</v>
      </c>
      <c r="DU129" s="60">
        <f t="shared" si="98"/>
        <v>299.21520121860345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369.34989412920129</v>
      </c>
      <c r="T130" s="60">
        <f t="shared" si="88"/>
        <v>371.26234252426553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-1.8089849618263545E-13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370.79299728190904</v>
      </c>
      <c r="AO130" s="60">
        <f t="shared" si="90"/>
        <v>404.95703400805775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-1.6671037883497774E-13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344.63665697794022</v>
      </c>
      <c r="BJ130" s="60">
        <f t="shared" si="92"/>
        <v>376.72762011188041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4.2</v>
      </c>
      <c r="BY130" s="13">
        <f>IF('Données projet'!$A$114&gt;35,BY129+BX130-CG129,IF(A130&lt;'Données projet'!$A$114,$BV$205^A130,IF(A130='Données projet'!$A$114,'Données projet'!$B$114,BY129+BX130-CG129)))</f>
        <v>381.39999999999981</v>
      </c>
      <c r="BZ130" s="14">
        <f>BY130*VLOOKUP('Données projet'!$B$12,Paramètres!$A$1:$I$89,3,0)*VLOOKUP('Données projet'!$B$12,Paramètres!$A$1:$I$89,5,0)</f>
        <v>345.09071999999981</v>
      </c>
      <c r="CA130" s="14">
        <f t="shared" si="93"/>
        <v>80.550809942790039</v>
      </c>
      <c r="CB130" s="22">
        <f t="shared" si="64"/>
        <v>741.32566465035904</v>
      </c>
      <c r="CC130" s="60">
        <f t="shared" si="65"/>
        <v>1034.6589979836924</v>
      </c>
      <c r="CD130" s="60">
        <f ca="1">AVERAGE(OFFSET($CC$3,0,0,'Données projet'!$E$12+1,1))-AVERAGE(OFFSET($H$3,0,0,'Données projet'!$E$12+1,1))</f>
        <v>529.25712986118265</v>
      </c>
      <c r="CE130" s="60">
        <f t="shared" si="94"/>
        <v>278.21741231699929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4.2</v>
      </c>
      <c r="CT130" s="13">
        <f>IF('Données projet'!$A$140&gt;35,CT129+CS130-DB129,IF(A130&lt;'Données projet'!$A$140,$CQ$205^A130,IF(A130='Données projet'!$A$140,'Données projet'!$B$140,CT129+CS130-DB129)))</f>
        <v>381.39999999999981</v>
      </c>
      <c r="CU130" s="18">
        <f>CT130*VLOOKUP('Données projet'!$B$13,Paramètres!$A$1:$I$89,3,0)*VLOOKUP('Données projet'!$B$13,Paramètres!$A$1:$I$89,5,0)</f>
        <v>321.29135999999988</v>
      </c>
      <c r="CV130" s="14">
        <f t="shared" si="95"/>
        <v>75.621983212736268</v>
      </c>
      <c r="CW130" s="22">
        <f t="shared" si="67"/>
        <v>691.29073942884872</v>
      </c>
      <c r="CX130" s="60">
        <f t="shared" si="68"/>
        <v>984.6240727621821</v>
      </c>
      <c r="CY130" s="60">
        <f ca="1">AVERAGE(OFFSET($CX$3,0,0,'Données projet'!$E$13+1,1))-AVERAGE(OFFSET($H$3,0,0,'Données projet'!$E$13+1,1))</f>
        <v>495.77338291316386</v>
      </c>
      <c r="CZ130" s="60">
        <f t="shared" si="96"/>
        <v>261.95434270986397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2.2737367544323206E-13</v>
      </c>
      <c r="DP130" s="18">
        <f>DO130*VLOOKUP('Données projet'!$B$14,Paramètres!$A$1:$I$89,3,0)*VLOOKUP('Données projet'!$B$14,Paramètres!$A$1:$I$89,5,0)</f>
        <v>1.4897523215040565E-13</v>
      </c>
      <c r="DQ130" s="14">
        <f t="shared" si="97"/>
        <v>2.136562777003313E-12</v>
      </c>
      <c r="DR130" s="22">
        <f t="shared" si="70"/>
        <v>3.9806453659427267E-12</v>
      </c>
      <c r="DS130" s="60">
        <f t="shared" si="71"/>
        <v>293.33333333333729</v>
      </c>
      <c r="DT130" s="60">
        <f ca="1">AVERAGE(OFFSET($DS$3,0,0,'Données projet'!$E$14+1,1))-AVERAGE(OFFSET($H$3,0,0,'Données projet'!$E$14+1,1))</f>
        <v>275.11574966125522</v>
      </c>
      <c r="DU130" s="60">
        <f t="shared" si="98"/>
        <v>299.21520121860345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369.34989412920129</v>
      </c>
      <c r="T131" s="60">
        <f t="shared" si="88"/>
        <v>371.26234252426553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-1.8089849618263545E-13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370.79299728190904</v>
      </c>
      <c r="AO131" s="60">
        <f t="shared" si="90"/>
        <v>404.95703400805775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-1.6671037883497774E-13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344.63665697794022</v>
      </c>
      <c r="BJ131" s="60">
        <f t="shared" si="92"/>
        <v>376.72762011188041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4.2</v>
      </c>
      <c r="BY131" s="13">
        <f>IF('Données projet'!$A$114&gt;35,BY130+BX131-CG130,IF(A131&lt;'Données projet'!$A$114,$BV$205^A131,IF(A131='Données projet'!$A$114,'Données projet'!$B$114,BY130+BX131-CG130)))</f>
        <v>385.5999999999998</v>
      </c>
      <c r="BZ131" s="14">
        <f>BY131*VLOOKUP('Données projet'!$B$12,Paramètres!$A$1:$I$89,3,0)*VLOOKUP('Données projet'!$B$12,Paramètres!$A$1:$I$89,5,0)</f>
        <v>348.89087999999981</v>
      </c>
      <c r="CA131" s="14">
        <f t="shared" si="93"/>
        <v>81.33408974133495</v>
      </c>
      <c r="CB131" s="22">
        <f t="shared" si="64"/>
        <v>749.30848896615805</v>
      </c>
      <c r="CC131" s="60">
        <f t="shared" si="65"/>
        <v>1042.6418222994914</v>
      </c>
      <c r="CD131" s="60">
        <f ca="1">AVERAGE(OFFSET($CC$3,0,0,'Données projet'!$E$12+1,1))-AVERAGE(OFFSET($H$3,0,0,'Données projet'!$E$12+1,1))</f>
        <v>529.25712986118265</v>
      </c>
      <c r="CE131" s="60">
        <f t="shared" si="94"/>
        <v>278.21741231699929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4.2</v>
      </c>
      <c r="CT131" s="13">
        <f>IF('Données projet'!$A$140&gt;35,CT130+CS131-DB130,IF(A131&lt;'Données projet'!$A$140,$CQ$205^A131,IF(A131='Données projet'!$A$140,'Données projet'!$B$140,CT130+CS131-DB130)))</f>
        <v>385.5999999999998</v>
      </c>
      <c r="CU131" s="18">
        <f>CT131*VLOOKUP('Données projet'!$B$13,Paramètres!$A$1:$I$89,3,0)*VLOOKUP('Données projet'!$B$13,Paramètres!$A$1:$I$89,5,0)</f>
        <v>324.82943999999986</v>
      </c>
      <c r="CV131" s="14">
        <f t="shared" si="95"/>
        <v>76.357334872371993</v>
      </c>
      <c r="CW131" s="22">
        <f t="shared" si="67"/>
        <v>698.73363290271425</v>
      </c>
      <c r="CX131" s="60">
        <f t="shared" si="68"/>
        <v>992.06696623604762</v>
      </c>
      <c r="CY131" s="60">
        <f ca="1">AVERAGE(OFFSET($CX$3,0,0,'Données projet'!$E$13+1,1))-AVERAGE(OFFSET($H$3,0,0,'Données projet'!$E$13+1,1))</f>
        <v>495.77338291316386</v>
      </c>
      <c r="CZ131" s="60">
        <f t="shared" si="96"/>
        <v>261.95434270986397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2.2737367544323206E-13</v>
      </c>
      <c r="DP131" s="18">
        <f>DO131*VLOOKUP('Données projet'!$B$14,Paramètres!$A$1:$I$89,3,0)*VLOOKUP('Données projet'!$B$14,Paramètres!$A$1:$I$89,5,0)</f>
        <v>1.4897523215040565E-13</v>
      </c>
      <c r="DQ131" s="14">
        <f t="shared" si="97"/>
        <v>2.136562777003313E-12</v>
      </c>
      <c r="DR131" s="22">
        <f t="shared" si="70"/>
        <v>3.9806453659427267E-12</v>
      </c>
      <c r="DS131" s="60">
        <f t="shared" si="71"/>
        <v>293.33333333333729</v>
      </c>
      <c r="DT131" s="60">
        <f ca="1">AVERAGE(OFFSET($DS$3,0,0,'Données projet'!$E$14+1,1))-AVERAGE(OFFSET($H$3,0,0,'Données projet'!$E$14+1,1))</f>
        <v>275.11574966125522</v>
      </c>
      <c r="DU131" s="60">
        <f t="shared" si="98"/>
        <v>299.21520121860345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369.34989412920129</v>
      </c>
      <c r="T132" s="60">
        <f t="shared" si="88"/>
        <v>371.26234252426553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-1.8089849618263545E-13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370.79299728190904</v>
      </c>
      <c r="AO132" s="60">
        <f t="shared" si="90"/>
        <v>404.95703400805775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-1.6671037883497774E-13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344.63665697794022</v>
      </c>
      <c r="BJ132" s="60">
        <f t="shared" si="92"/>
        <v>376.72762011188041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4.2</v>
      </c>
      <c r="BY132" s="13">
        <f>IF('Données projet'!$A$114&gt;35,BY131+BX132-CG131,IF(A132&lt;'Données projet'!$A$114,$BV$205^A132,IF(A132='Données projet'!$A$114,'Données projet'!$B$114,BY131+BX132-CG131)))</f>
        <v>389.79999999999978</v>
      </c>
      <c r="BZ132" s="14">
        <f>BY132*VLOOKUP('Données projet'!$B$12,Paramètres!$A$1:$I$89,3,0)*VLOOKUP('Données projet'!$B$12,Paramètres!$A$1:$I$89,5,0)</f>
        <v>352.69103999999982</v>
      </c>
      <c r="CA132" s="14">
        <f t="shared" si="93"/>
        <v>82.116377073111735</v>
      </c>
      <c r="CB132" s="22">
        <f t="shared" ref="CB132:CB153" si="118">(BZ132+CA132)*0.475*44/12</f>
        <v>757.28958473566934</v>
      </c>
      <c r="CC132" s="60">
        <f t="shared" ref="CC132:CC195" si="119">CB132+(BT132+BU132)*44/12</f>
        <v>1050.6229180690027</v>
      </c>
      <c r="CD132" s="60">
        <f ca="1">AVERAGE(OFFSET($CC$3,0,0,'Données projet'!$E$12+1,1))-AVERAGE(OFFSET($H$3,0,0,'Données projet'!$E$12+1,1))</f>
        <v>529.25712986118265</v>
      </c>
      <c r="CE132" s="60">
        <f t="shared" si="94"/>
        <v>278.21741231699929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4.2</v>
      </c>
      <c r="CT132" s="13">
        <f>IF('Données projet'!$A$140&gt;35,CT131+CS132-DB131,IF(A132&lt;'Données projet'!$A$140,$CQ$205^A132,IF(A132='Données projet'!$A$140,'Données projet'!$B$140,CT131+CS132-DB131)))</f>
        <v>389.79999999999978</v>
      </c>
      <c r="CU132" s="18">
        <f>CT132*VLOOKUP('Données projet'!$B$13,Paramètres!$A$1:$I$89,3,0)*VLOOKUP('Données projet'!$B$13,Paramètres!$A$1:$I$89,5,0)</f>
        <v>328.36751999999984</v>
      </c>
      <c r="CV132" s="14">
        <f t="shared" si="95"/>
        <v>77.091754793328491</v>
      </c>
      <c r="CW132" s="22">
        <f t="shared" ref="CW132:CW153" si="121">(CU132+CV132)*0.475*44/12</f>
        <v>706.1749035983803</v>
      </c>
      <c r="CX132" s="60">
        <f t="shared" ref="CX132:CX195" si="122">CW132+(CO132+CP132)*44/12</f>
        <v>999.50823693171355</v>
      </c>
      <c r="CY132" s="60">
        <f ca="1">AVERAGE(OFFSET($CX$3,0,0,'Données projet'!$E$13+1,1))-AVERAGE(OFFSET($H$3,0,0,'Données projet'!$E$13+1,1))</f>
        <v>495.77338291316386</v>
      </c>
      <c r="CZ132" s="60">
        <f t="shared" si="96"/>
        <v>261.95434270986397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2.2737367544323206E-13</v>
      </c>
      <c r="DP132" s="18">
        <f>DO132*VLOOKUP('Données projet'!$B$14,Paramètres!$A$1:$I$89,3,0)*VLOOKUP('Données projet'!$B$14,Paramètres!$A$1:$I$89,5,0)</f>
        <v>1.4897523215040565E-13</v>
      </c>
      <c r="DQ132" s="14">
        <f t="shared" si="97"/>
        <v>2.136562777003313E-12</v>
      </c>
      <c r="DR132" s="22">
        <f t="shared" ref="DR132:DR153" si="124">(DP132+DQ132)*0.475*44/12</f>
        <v>3.9806453659427267E-12</v>
      </c>
      <c r="DS132" s="60">
        <f t="shared" ref="DS132:DS195" si="125">DR132+(DJ132+DK132)*44/12</f>
        <v>293.33333333333729</v>
      </c>
      <c r="DT132" s="60">
        <f ca="1">AVERAGE(OFFSET($DS$3,0,0,'Données projet'!$E$14+1,1))-AVERAGE(OFFSET($H$3,0,0,'Données projet'!$E$14+1,1))</f>
        <v>275.11574966125522</v>
      </c>
      <c r="DU132" s="60">
        <f t="shared" si="98"/>
        <v>299.21520121860345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369.34989412920129</v>
      </c>
      <c r="T133" s="60">
        <f t="shared" ref="T133:T196" si="142">$T$3</f>
        <v>371.26234252426553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-1.8089849618263545E-13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370.79299728190904</v>
      </c>
      <c r="AO133" s="60">
        <f t="shared" ref="AO133:AO196" si="144">$AO$3</f>
        <v>404.95703400805775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-1.6671037883497774E-13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344.63665697794022</v>
      </c>
      <c r="BJ133" s="60">
        <f t="shared" ref="BJ133:BJ196" si="146">$BJ$3</f>
        <v>376.72762011188041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394</v>
      </c>
      <c r="BW133" s="13">
        <f>VLOOKUP(A133,'Données projet'!$A$113:$I$133,9,0)</f>
        <v>4.2</v>
      </c>
      <c r="BX133" s="13">
        <f t="array" ref="BX133">INDEX(BW:BW,MIN(IF(ISNUMBER(BW133:BW329),ROW(BW133:BW329),"")))</f>
        <v>4.2</v>
      </c>
      <c r="BY133" s="13">
        <f>IF('Données projet'!$A$114&gt;35,BY132+BX133-CG132,IF(A133&lt;'Données projet'!$A$114,$BV$205^A133,IF(A133='Données projet'!$A$114,'Données projet'!$B$114,BY132+BX133-CG132)))</f>
        <v>393.99999999999977</v>
      </c>
      <c r="BZ133" s="14">
        <f>BY133*VLOOKUP('Données projet'!$B$12,Paramètres!$A$1:$I$89,3,0)*VLOOKUP('Données projet'!$B$12,Paramètres!$A$1:$I$89,5,0)</f>
        <v>356.49119999999976</v>
      </c>
      <c r="CA133" s="14">
        <f t="shared" ref="CA133:CA153" si="147">EXP(-1.0587+0.8836*LN(BZ133)+0.284)</f>
        <v>82.897683869422281</v>
      </c>
      <c r="CB133" s="22">
        <f t="shared" si="118"/>
        <v>765.2689727392434</v>
      </c>
      <c r="CC133" s="60">
        <f t="shared" si="119"/>
        <v>1058.6023060725768</v>
      </c>
      <c r="CD133" s="60">
        <f ca="1">AVERAGE(OFFSET($CC$3,0,0,'Données projet'!$E$12+1,1))-AVERAGE(OFFSET($H$3,0,0,'Données projet'!$E$12+1,1))</f>
        <v>529.25712986118265</v>
      </c>
      <c r="CE133" s="60">
        <f t="shared" ref="CE133:CE196" si="148">$CE$3</f>
        <v>278.21741231699929</v>
      </c>
      <c r="CF133" s="16">
        <f>IF(ISNA(VLOOKUP(A133,'Données projet'!$A$113:$I$133,3,0)),0,VLOOKUP(A133,'Données projet'!$A$113:$I$133,3,0))</f>
        <v>9</v>
      </c>
      <c r="CG133" s="16">
        <f>IF(ISNA(VLOOKUP(A133,'Données projet'!$A$113:$I$133,4,0)),0,VLOOKUP(A133,'Données projet'!$A$113:$I$133,4,0))</f>
        <v>91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394</v>
      </c>
      <c r="CR133" s="13">
        <f>VLOOKUP(A133,'Données projet'!$A$139:$I$159,9,0)</f>
        <v>4.2</v>
      </c>
      <c r="CS133" s="13">
        <f t="array" ref="CS133">INDEX(CR:CR,MIN(IF(ISNUMBER(CR133:CR329),ROW(CR133:CR329),"")))</f>
        <v>4.2</v>
      </c>
      <c r="CT133" s="13">
        <f>IF('Données projet'!$A$140&gt;35,CT132+CS133-DB132,IF(A133&lt;'Données projet'!$A$140,$CQ$205^A133,IF(A133='Données projet'!$A$140,'Données projet'!$B$140,CT132+CS133-DB132)))</f>
        <v>393.99999999999977</v>
      </c>
      <c r="CU133" s="18">
        <f>CT133*VLOOKUP('Données projet'!$B$13,Paramètres!$A$1:$I$89,3,0)*VLOOKUP('Données projet'!$B$13,Paramètres!$A$1:$I$89,5,0)</f>
        <v>331.90559999999982</v>
      </c>
      <c r="CV133" s="14">
        <f t="shared" ref="CV133:CV153" si="149">EXP(-1.0587+0.8836*LN(CU133)+0.284)</f>
        <v>77.825254176842535</v>
      </c>
      <c r="CW133" s="22">
        <f t="shared" si="121"/>
        <v>713.61457102466704</v>
      </c>
      <c r="CX133" s="60">
        <f t="shared" si="122"/>
        <v>1006.9479043580004</v>
      </c>
      <c r="CY133" s="60">
        <f ca="1">AVERAGE(OFFSET($CX$3,0,0,'Données projet'!$E$13+1,1))-AVERAGE(OFFSET($H$3,0,0,'Données projet'!$E$13+1,1))</f>
        <v>495.77338291316386</v>
      </c>
      <c r="CZ133" s="60">
        <f t="shared" ref="CZ133:CZ196" si="150">$CZ$3</f>
        <v>261.95434270986397</v>
      </c>
      <c r="DA133" s="16">
        <f>IF(ISNA(VLOOKUP(A133,'Données projet'!$A$139:$I$159,3,0)),0,VLOOKUP(A133,'Données projet'!$A$139:$I$159,3,0))</f>
        <v>9</v>
      </c>
      <c r="DB133" s="16">
        <f>IF(ISNA(VLOOKUP(A133,'Données projet'!$A$139:$I$159,4,0)),0,VLOOKUP(A133,'Données projet'!$A$139:$I$159,4,0))</f>
        <v>91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2.2737367544323206E-13</v>
      </c>
      <c r="DP133" s="18">
        <f>DO133*VLOOKUP('Données projet'!$B$14,Paramètres!$A$1:$I$89,3,0)*VLOOKUP('Données projet'!$B$14,Paramètres!$A$1:$I$89,5,0)</f>
        <v>1.4897523215040565E-13</v>
      </c>
      <c r="DQ133" s="14">
        <f t="shared" ref="DQ133:DQ153" si="151">EXP(-1.0587+0.8836*LN(DP133)+0.284)</f>
        <v>2.136562777003313E-12</v>
      </c>
      <c r="DR133" s="22">
        <f t="shared" si="124"/>
        <v>3.9806453659427267E-12</v>
      </c>
      <c r="DS133" s="60">
        <f t="shared" si="125"/>
        <v>293.33333333333729</v>
      </c>
      <c r="DT133" s="60">
        <f ca="1">AVERAGE(OFFSET($DS$3,0,0,'Données projet'!$E$14+1,1))-AVERAGE(OFFSET($H$3,0,0,'Données projet'!$E$14+1,1))</f>
        <v>275.11574966125522</v>
      </c>
      <c r="DU133" s="60">
        <f t="shared" ref="DU133:DU196" si="152">$DU$3</f>
        <v>299.21520121860345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369.34989412920129</v>
      </c>
      <c r="T134" s="60">
        <f t="shared" si="142"/>
        <v>371.26234252426553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-1.8089849618263545E-13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370.79299728190904</v>
      </c>
      <c r="AO134" s="60">
        <f t="shared" si="144"/>
        <v>404.95703400805775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-1.6671037883497774E-13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344.63665697794022</v>
      </c>
      <c r="BJ134" s="60">
        <f t="shared" si="146"/>
        <v>376.72762011188041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3.8</v>
      </c>
      <c r="BY134" s="13">
        <f>IF('Données projet'!$A$114&gt;35,BY133+BX134-CG133,IF(A134&lt;'Données projet'!$A$114,$BV$205^A134,IF(A134='Données projet'!$A$114,'Données projet'!$B$114,BY133+BX134-CG133)))</f>
        <v>306.79999999999978</v>
      </c>
      <c r="BZ134" s="14">
        <f>BY134*VLOOKUP('Données projet'!$B$12,Paramètres!$A$1:$I$89,3,0)*VLOOKUP('Données projet'!$B$12,Paramètres!$A$1:$I$89,5,0)</f>
        <v>277.59263999999979</v>
      </c>
      <c r="CA134" s="14">
        <f t="shared" si="147"/>
        <v>66.458009122425523</v>
      </c>
      <c r="CB134" s="22">
        <f t="shared" si="118"/>
        <v>599.22154722155733</v>
      </c>
      <c r="CC134" s="60">
        <f t="shared" si="119"/>
        <v>892.55488055489059</v>
      </c>
      <c r="CD134" s="60">
        <f ca="1">AVERAGE(OFFSET($CC$3,0,0,'Données projet'!$E$12+1,1))-AVERAGE(OFFSET($H$3,0,0,'Données projet'!$E$12+1,1))</f>
        <v>529.25712986118265</v>
      </c>
      <c r="CE134" s="60">
        <f t="shared" si="148"/>
        <v>278.21741231699929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3.8</v>
      </c>
      <c r="CT134" s="13">
        <f>IF('Données projet'!$A$140&gt;35,CT133+CS134-DB133,IF(A134&lt;'Données projet'!$A$140,$CQ$205^A134,IF(A134='Données projet'!$A$140,'Données projet'!$B$140,CT133+CS134-DB133)))</f>
        <v>306.79999999999978</v>
      </c>
      <c r="CU134" s="18">
        <f>CT134*VLOOKUP('Données projet'!$B$13,Paramètres!$A$1:$I$89,3,0)*VLOOKUP('Données projet'!$B$13,Paramètres!$A$1:$I$89,5,0)</f>
        <v>258.44831999999985</v>
      </c>
      <c r="CV134" s="14">
        <f t="shared" si="149"/>
        <v>62.391507345206676</v>
      </c>
      <c r="CW134" s="22">
        <f t="shared" si="121"/>
        <v>558.79603262623471</v>
      </c>
      <c r="CX134" s="60">
        <f t="shared" si="122"/>
        <v>852.12936595956808</v>
      </c>
      <c r="CY134" s="60">
        <f ca="1">AVERAGE(OFFSET($CX$3,0,0,'Données projet'!$E$13+1,1))-AVERAGE(OFFSET($H$3,0,0,'Données projet'!$E$13+1,1))</f>
        <v>495.77338291316386</v>
      </c>
      <c r="CZ134" s="60">
        <f t="shared" si="150"/>
        <v>261.95434270986397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2.2737367544323206E-13</v>
      </c>
      <c r="DP134" s="18">
        <f>DO134*VLOOKUP('Données projet'!$B$14,Paramètres!$A$1:$I$89,3,0)*VLOOKUP('Données projet'!$B$14,Paramètres!$A$1:$I$89,5,0)</f>
        <v>1.4897523215040565E-13</v>
      </c>
      <c r="DQ134" s="14">
        <f t="shared" si="151"/>
        <v>2.136562777003313E-12</v>
      </c>
      <c r="DR134" s="22">
        <f t="shared" si="124"/>
        <v>3.9806453659427267E-12</v>
      </c>
      <c r="DS134" s="60">
        <f t="shared" si="125"/>
        <v>293.33333333333729</v>
      </c>
      <c r="DT134" s="60">
        <f ca="1">AVERAGE(OFFSET($DS$3,0,0,'Données projet'!$E$14+1,1))-AVERAGE(OFFSET($H$3,0,0,'Données projet'!$E$14+1,1))</f>
        <v>275.11574966125522</v>
      </c>
      <c r="DU134" s="60">
        <f t="shared" si="152"/>
        <v>299.21520121860345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369.34989412920129</v>
      </c>
      <c r="T135" s="60">
        <f t="shared" si="142"/>
        <v>371.26234252426553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-1.8089849618263545E-13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370.79299728190904</v>
      </c>
      <c r="AO135" s="60">
        <f t="shared" si="144"/>
        <v>404.95703400805775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-1.6671037883497774E-13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344.63665697794022</v>
      </c>
      <c r="BJ135" s="60">
        <f t="shared" si="146"/>
        <v>376.72762011188041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3.8</v>
      </c>
      <c r="BY135" s="13">
        <f>IF('Données projet'!$A$114&gt;35,BY134+BX135-CG134,IF(A135&lt;'Données projet'!$A$114,$BV$205^A135,IF(A135='Données projet'!$A$114,'Données projet'!$B$114,BY134+BX135-CG134)))</f>
        <v>310.5999999999998</v>
      </c>
      <c r="BZ135" s="14">
        <f>BY135*VLOOKUP('Données projet'!$B$12,Paramètres!$A$1:$I$89,3,0)*VLOOKUP('Données projet'!$B$12,Paramètres!$A$1:$I$89,5,0)</f>
        <v>281.03087999999985</v>
      </c>
      <c r="CA135" s="14">
        <f t="shared" si="147"/>
        <v>67.184816842275467</v>
      </c>
      <c r="CB135" s="22">
        <f t="shared" si="118"/>
        <v>606.47567200029607</v>
      </c>
      <c r="CC135" s="60">
        <f t="shared" si="119"/>
        <v>899.80900533362933</v>
      </c>
      <c r="CD135" s="60">
        <f ca="1">AVERAGE(OFFSET($CC$3,0,0,'Données projet'!$E$12+1,1))-AVERAGE(OFFSET($H$3,0,0,'Données projet'!$E$12+1,1))</f>
        <v>529.25712986118265</v>
      </c>
      <c r="CE135" s="60">
        <f t="shared" si="148"/>
        <v>278.21741231699929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3.8</v>
      </c>
      <c r="CT135" s="13">
        <f>IF('Données projet'!$A$140&gt;35,CT134+CS135-DB134,IF(A135&lt;'Données projet'!$A$140,$CQ$205^A135,IF(A135='Données projet'!$A$140,'Données projet'!$B$140,CT134+CS135-DB134)))</f>
        <v>310.5999999999998</v>
      </c>
      <c r="CU135" s="18">
        <f>CT135*VLOOKUP('Données projet'!$B$13,Paramètres!$A$1:$I$89,3,0)*VLOOKUP('Données projet'!$B$13,Paramètres!$A$1:$I$89,5,0)</f>
        <v>261.64943999999986</v>
      </c>
      <c r="CV135" s="14">
        <f t="shared" si="149"/>
        <v>63.073842398428624</v>
      </c>
      <c r="CW135" s="22">
        <f t="shared" si="121"/>
        <v>565.55971684392955</v>
      </c>
      <c r="CX135" s="60">
        <f t="shared" si="122"/>
        <v>858.89305017726292</v>
      </c>
      <c r="CY135" s="60">
        <f ca="1">AVERAGE(OFFSET($CX$3,0,0,'Données projet'!$E$13+1,1))-AVERAGE(OFFSET($H$3,0,0,'Données projet'!$E$13+1,1))</f>
        <v>495.77338291316386</v>
      </c>
      <c r="CZ135" s="60">
        <f t="shared" si="150"/>
        <v>261.95434270986397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2.2737367544323206E-13</v>
      </c>
      <c r="DP135" s="18">
        <f>DO135*VLOOKUP('Données projet'!$B$14,Paramètres!$A$1:$I$89,3,0)*VLOOKUP('Données projet'!$B$14,Paramètres!$A$1:$I$89,5,0)</f>
        <v>1.4897523215040565E-13</v>
      </c>
      <c r="DQ135" s="14">
        <f t="shared" si="151"/>
        <v>2.136562777003313E-12</v>
      </c>
      <c r="DR135" s="22">
        <f t="shared" si="124"/>
        <v>3.9806453659427267E-12</v>
      </c>
      <c r="DS135" s="60">
        <f t="shared" si="125"/>
        <v>293.33333333333729</v>
      </c>
      <c r="DT135" s="60">
        <f ca="1">AVERAGE(OFFSET($DS$3,0,0,'Données projet'!$E$14+1,1))-AVERAGE(OFFSET($H$3,0,0,'Données projet'!$E$14+1,1))</f>
        <v>275.11574966125522</v>
      </c>
      <c r="DU135" s="60">
        <f t="shared" si="152"/>
        <v>299.21520121860345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369.34989412920129</v>
      </c>
      <c r="T136" s="60">
        <f t="shared" si="142"/>
        <v>371.26234252426553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-1.8089849618263545E-13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370.79299728190904</v>
      </c>
      <c r="AO136" s="60">
        <f t="shared" si="144"/>
        <v>404.95703400805775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-1.6671037883497774E-13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344.63665697794022</v>
      </c>
      <c r="BJ136" s="60">
        <f t="shared" si="146"/>
        <v>376.72762011188041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3.8</v>
      </c>
      <c r="BY136" s="13">
        <f>IF('Données projet'!$A$114&gt;35,BY135+BX136-CG135,IF(A136&lt;'Données projet'!$A$114,$BV$205^A136,IF(A136='Données projet'!$A$114,'Données projet'!$B$114,BY135+BX136-CG135)))</f>
        <v>314.39999999999981</v>
      </c>
      <c r="BZ136" s="14">
        <f>BY136*VLOOKUP('Données projet'!$B$12,Paramètres!$A$1:$I$89,3,0)*VLOOKUP('Données projet'!$B$12,Paramètres!$A$1:$I$89,5,0)</f>
        <v>284.4691199999998</v>
      </c>
      <c r="CA136" s="14">
        <f t="shared" si="147"/>
        <v>67.910590237378983</v>
      </c>
      <c r="CB136" s="22">
        <f t="shared" si="118"/>
        <v>613.72799533010129</v>
      </c>
      <c r="CC136" s="60">
        <f t="shared" si="119"/>
        <v>907.06132866343455</v>
      </c>
      <c r="CD136" s="60">
        <f ca="1">AVERAGE(OFFSET($CC$3,0,0,'Données projet'!$E$12+1,1))-AVERAGE(OFFSET($H$3,0,0,'Données projet'!$E$12+1,1))</f>
        <v>529.25712986118265</v>
      </c>
      <c r="CE136" s="60">
        <f t="shared" si="148"/>
        <v>278.21741231699929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3.8</v>
      </c>
      <c r="CT136" s="13">
        <f>IF('Données projet'!$A$140&gt;35,CT135+CS136-DB135,IF(A136&lt;'Données projet'!$A$140,$CQ$205^A136,IF(A136='Données projet'!$A$140,'Données projet'!$B$140,CT135+CS136-DB135)))</f>
        <v>314.39999999999981</v>
      </c>
      <c r="CU136" s="18">
        <f>CT136*VLOOKUP('Données projet'!$B$13,Paramètres!$A$1:$I$89,3,0)*VLOOKUP('Données projet'!$B$13,Paramètres!$A$1:$I$89,5,0)</f>
        <v>264.85055999999986</v>
      </c>
      <c r="CV136" s="14">
        <f t="shared" si="149"/>
        <v>63.755206416242338</v>
      </c>
      <c r="CW136" s="22">
        <f t="shared" si="121"/>
        <v>572.32170984162178</v>
      </c>
      <c r="CX136" s="60">
        <f t="shared" si="122"/>
        <v>865.65504317495515</v>
      </c>
      <c r="CY136" s="60">
        <f ca="1">AVERAGE(OFFSET($CX$3,0,0,'Données projet'!$E$13+1,1))-AVERAGE(OFFSET($H$3,0,0,'Données projet'!$E$13+1,1))</f>
        <v>495.77338291316386</v>
      </c>
      <c r="CZ136" s="60">
        <f t="shared" si="150"/>
        <v>261.95434270986397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2.2737367544323206E-13</v>
      </c>
      <c r="DP136" s="18">
        <f>DO136*VLOOKUP('Données projet'!$B$14,Paramètres!$A$1:$I$89,3,0)*VLOOKUP('Données projet'!$B$14,Paramètres!$A$1:$I$89,5,0)</f>
        <v>1.4897523215040565E-13</v>
      </c>
      <c r="DQ136" s="14">
        <f t="shared" si="151"/>
        <v>2.136562777003313E-12</v>
      </c>
      <c r="DR136" s="22">
        <f t="shared" si="124"/>
        <v>3.9806453659427267E-12</v>
      </c>
      <c r="DS136" s="60">
        <f t="shared" si="125"/>
        <v>293.33333333333729</v>
      </c>
      <c r="DT136" s="60">
        <f ca="1">AVERAGE(OFFSET($DS$3,0,0,'Données projet'!$E$14+1,1))-AVERAGE(OFFSET($H$3,0,0,'Données projet'!$E$14+1,1))</f>
        <v>275.11574966125522</v>
      </c>
      <c r="DU136" s="60">
        <f t="shared" si="152"/>
        <v>299.21520121860345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369.34989412920129</v>
      </c>
      <c r="T137" s="60">
        <f t="shared" si="142"/>
        <v>371.26234252426553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-1.8089849618263545E-13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370.79299728190904</v>
      </c>
      <c r="AO137" s="60">
        <f t="shared" si="144"/>
        <v>404.95703400805775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-1.6671037883497774E-13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344.63665697794022</v>
      </c>
      <c r="BJ137" s="60">
        <f t="shared" si="146"/>
        <v>376.72762011188041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3.8</v>
      </c>
      <c r="BY137" s="13">
        <f>IF('Données projet'!$A$114&gt;35,BY136+BX137-CG136,IF(A137&lt;'Données projet'!$A$114,$BV$205^A137,IF(A137='Données projet'!$A$114,'Données projet'!$B$114,BY136+BX137-CG136)))</f>
        <v>318.19999999999982</v>
      </c>
      <c r="BZ137" s="14">
        <f>BY137*VLOOKUP('Données projet'!$B$12,Paramètres!$A$1:$I$89,3,0)*VLOOKUP('Données projet'!$B$12,Paramètres!$A$1:$I$89,5,0)</f>
        <v>287.90735999999981</v>
      </c>
      <c r="CA137" s="14">
        <f t="shared" si="147"/>
        <v>68.635343255147305</v>
      </c>
      <c r="CB137" s="22">
        <f t="shared" si="118"/>
        <v>620.97854150271451</v>
      </c>
      <c r="CC137" s="60">
        <f t="shared" si="119"/>
        <v>914.31187483604776</v>
      </c>
      <c r="CD137" s="60">
        <f ca="1">AVERAGE(OFFSET($CC$3,0,0,'Données projet'!$E$12+1,1))-AVERAGE(OFFSET($H$3,0,0,'Données projet'!$E$12+1,1))</f>
        <v>529.25712986118265</v>
      </c>
      <c r="CE137" s="60">
        <f t="shared" si="148"/>
        <v>278.21741231699929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3.8</v>
      </c>
      <c r="CT137" s="13">
        <f>IF('Données projet'!$A$140&gt;35,CT136+CS137-DB136,IF(A137&lt;'Données projet'!$A$140,$CQ$205^A137,IF(A137='Données projet'!$A$140,'Données projet'!$B$140,CT136+CS137-DB136)))</f>
        <v>318.19999999999982</v>
      </c>
      <c r="CU137" s="18">
        <f>CT137*VLOOKUP('Données projet'!$B$13,Paramètres!$A$1:$I$89,3,0)*VLOOKUP('Données projet'!$B$13,Paramètres!$A$1:$I$89,5,0)</f>
        <v>268.05167999999986</v>
      </c>
      <c r="CV137" s="14">
        <f t="shared" si="149"/>
        <v>64.435612492630369</v>
      </c>
      <c r="CW137" s="22">
        <f t="shared" si="121"/>
        <v>579.08203442466424</v>
      </c>
      <c r="CX137" s="60">
        <f t="shared" si="122"/>
        <v>872.4153677579975</v>
      </c>
      <c r="CY137" s="60">
        <f ca="1">AVERAGE(OFFSET($CX$3,0,0,'Données projet'!$E$13+1,1))-AVERAGE(OFFSET($H$3,0,0,'Données projet'!$E$13+1,1))</f>
        <v>495.77338291316386</v>
      </c>
      <c r="CZ137" s="60">
        <f t="shared" si="150"/>
        <v>261.95434270986397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2.2737367544323206E-13</v>
      </c>
      <c r="DP137" s="18">
        <f>DO137*VLOOKUP('Données projet'!$B$14,Paramètres!$A$1:$I$89,3,0)*VLOOKUP('Données projet'!$B$14,Paramètres!$A$1:$I$89,5,0)</f>
        <v>1.4897523215040565E-13</v>
      </c>
      <c r="DQ137" s="14">
        <f t="shared" si="151"/>
        <v>2.136562777003313E-12</v>
      </c>
      <c r="DR137" s="22">
        <f t="shared" si="124"/>
        <v>3.9806453659427267E-12</v>
      </c>
      <c r="DS137" s="60">
        <f t="shared" si="125"/>
        <v>293.33333333333729</v>
      </c>
      <c r="DT137" s="60">
        <f ca="1">AVERAGE(OFFSET($DS$3,0,0,'Données projet'!$E$14+1,1))-AVERAGE(OFFSET($H$3,0,0,'Données projet'!$E$14+1,1))</f>
        <v>275.11574966125522</v>
      </c>
      <c r="DU137" s="60">
        <f t="shared" si="152"/>
        <v>299.21520121860345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369.34989412920129</v>
      </c>
      <c r="T138" s="60">
        <f t="shared" si="142"/>
        <v>371.26234252426553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-1.8089849618263545E-13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370.79299728190904</v>
      </c>
      <c r="AO138" s="60">
        <f t="shared" si="144"/>
        <v>404.95703400805775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-1.6671037883497774E-13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344.63665697794022</v>
      </c>
      <c r="BJ138" s="60">
        <f t="shared" si="146"/>
        <v>376.72762011188041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3.8</v>
      </c>
      <c r="BY138" s="13">
        <f>IF('Données projet'!$A$114&gt;35,BY137+BX138-CG137,IF(A138&lt;'Données projet'!$A$114,$BV$205^A138,IF(A138='Données projet'!$A$114,'Données projet'!$B$114,BY137+BX138-CG137)))</f>
        <v>321.99999999999983</v>
      </c>
      <c r="BZ138" s="14">
        <f>BY138*VLOOKUP('Données projet'!$B$12,Paramètres!$A$1:$I$89,3,0)*VLOOKUP('Données projet'!$B$12,Paramètres!$A$1:$I$89,5,0)</f>
        <v>291.34559999999982</v>
      </c>
      <c r="CA138" s="14">
        <f t="shared" si="147"/>
        <v>69.359089490698651</v>
      </c>
      <c r="CB138" s="22">
        <f t="shared" si="118"/>
        <v>628.22733419629969</v>
      </c>
      <c r="CC138" s="60">
        <f t="shared" si="119"/>
        <v>921.56066752963306</v>
      </c>
      <c r="CD138" s="60">
        <f ca="1">AVERAGE(OFFSET($CC$3,0,0,'Données projet'!$E$12+1,1))-AVERAGE(OFFSET($H$3,0,0,'Données projet'!$E$12+1,1))</f>
        <v>529.25712986118265</v>
      </c>
      <c r="CE138" s="60">
        <f t="shared" si="148"/>
        <v>278.21741231699929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3.8</v>
      </c>
      <c r="CT138" s="13">
        <f>IF('Données projet'!$A$140&gt;35,CT137+CS138-DB137,IF(A138&lt;'Données projet'!$A$140,$CQ$205^A138,IF(A138='Données projet'!$A$140,'Données projet'!$B$140,CT137+CS138-DB137)))</f>
        <v>321.99999999999983</v>
      </c>
      <c r="CU138" s="18">
        <f>CT138*VLOOKUP('Données projet'!$B$13,Paramètres!$A$1:$I$89,3,0)*VLOOKUP('Données projet'!$B$13,Paramètres!$A$1:$I$89,5,0)</f>
        <v>271.25279999999987</v>
      </c>
      <c r="CV138" s="14">
        <f t="shared" si="149"/>
        <v>65.115073390838859</v>
      </c>
      <c r="CW138" s="22">
        <f t="shared" si="121"/>
        <v>585.84071282237744</v>
      </c>
      <c r="CX138" s="60">
        <f t="shared" si="122"/>
        <v>879.17404615571081</v>
      </c>
      <c r="CY138" s="60">
        <f ca="1">AVERAGE(OFFSET($CX$3,0,0,'Données projet'!$E$13+1,1))-AVERAGE(OFFSET($H$3,0,0,'Données projet'!$E$13+1,1))</f>
        <v>495.77338291316386</v>
      </c>
      <c r="CZ138" s="60">
        <f t="shared" si="150"/>
        <v>261.95434270986397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2.2737367544323206E-13</v>
      </c>
      <c r="DP138" s="18">
        <f>DO138*VLOOKUP('Données projet'!$B$14,Paramètres!$A$1:$I$89,3,0)*VLOOKUP('Données projet'!$B$14,Paramètres!$A$1:$I$89,5,0)</f>
        <v>1.4897523215040565E-13</v>
      </c>
      <c r="DQ138" s="14">
        <f t="shared" si="151"/>
        <v>2.136562777003313E-12</v>
      </c>
      <c r="DR138" s="22">
        <f t="shared" si="124"/>
        <v>3.9806453659427267E-12</v>
      </c>
      <c r="DS138" s="60">
        <f t="shared" si="125"/>
        <v>293.33333333333729</v>
      </c>
      <c r="DT138" s="60">
        <f ca="1">AVERAGE(OFFSET($DS$3,0,0,'Données projet'!$E$14+1,1))-AVERAGE(OFFSET($H$3,0,0,'Données projet'!$E$14+1,1))</f>
        <v>275.11574966125522</v>
      </c>
      <c r="DU138" s="60">
        <f t="shared" si="152"/>
        <v>299.21520121860345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369.34989412920129</v>
      </c>
      <c r="T139" s="60">
        <f t="shared" si="142"/>
        <v>371.26234252426553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-1.8089849618263545E-13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370.79299728190904</v>
      </c>
      <c r="AO139" s="60">
        <f t="shared" si="144"/>
        <v>404.95703400805775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-1.6671037883497774E-13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344.63665697794022</v>
      </c>
      <c r="BJ139" s="60">
        <f t="shared" si="146"/>
        <v>376.72762011188041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3.8</v>
      </c>
      <c r="BY139" s="13">
        <f>IF('Données projet'!$A$114&gt;35,BY138+BX139-CG138,IF(A139&lt;'Données projet'!$A$114,$BV$205^A139,IF(A139='Données projet'!$A$114,'Données projet'!$B$114,BY138+BX139-CG138)))</f>
        <v>325.79999999999984</v>
      </c>
      <c r="BZ139" s="14">
        <f>BY139*VLOOKUP('Données projet'!$B$12,Paramètres!$A$1:$I$89,3,0)*VLOOKUP('Données projet'!$B$12,Paramètres!$A$1:$I$89,5,0)</f>
        <v>294.78383999999983</v>
      </c>
      <c r="CA139" s="14">
        <f t="shared" si="147"/>
        <v>70.081842199807596</v>
      </c>
      <c r="CB139" s="22">
        <f t="shared" si="118"/>
        <v>635.47439649799799</v>
      </c>
      <c r="CC139" s="60">
        <f t="shared" si="119"/>
        <v>928.80772983133124</v>
      </c>
      <c r="CD139" s="60">
        <f ca="1">AVERAGE(OFFSET($CC$3,0,0,'Données projet'!$E$12+1,1))-AVERAGE(OFFSET($H$3,0,0,'Données projet'!$E$12+1,1))</f>
        <v>529.25712986118265</v>
      </c>
      <c r="CE139" s="60">
        <f t="shared" si="148"/>
        <v>278.21741231699929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3.8</v>
      </c>
      <c r="CT139" s="13">
        <f>IF('Données projet'!$A$140&gt;35,CT138+CS139-DB138,IF(A139&lt;'Données projet'!$A$140,$CQ$205^A139,IF(A139='Données projet'!$A$140,'Données projet'!$B$140,CT138+CS139-DB138)))</f>
        <v>325.79999999999984</v>
      </c>
      <c r="CU139" s="18">
        <f>CT139*VLOOKUP('Données projet'!$B$13,Paramètres!$A$1:$I$89,3,0)*VLOOKUP('Données projet'!$B$13,Paramètres!$A$1:$I$89,5,0)</f>
        <v>274.45391999999993</v>
      </c>
      <c r="CV139" s="14">
        <f t="shared" si="149"/>
        <v>65.793601555534096</v>
      </c>
      <c r="CW139" s="22">
        <f t="shared" si="121"/>
        <v>592.59776670922179</v>
      </c>
      <c r="CX139" s="60">
        <f t="shared" si="122"/>
        <v>885.93110004255504</v>
      </c>
      <c r="CY139" s="60">
        <f ca="1">AVERAGE(OFFSET($CX$3,0,0,'Données projet'!$E$13+1,1))-AVERAGE(OFFSET($H$3,0,0,'Données projet'!$E$13+1,1))</f>
        <v>495.77338291316386</v>
      </c>
      <c r="CZ139" s="60">
        <f t="shared" si="150"/>
        <v>261.95434270986397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2.2737367544323206E-13</v>
      </c>
      <c r="DP139" s="18">
        <f>DO139*VLOOKUP('Données projet'!$B$14,Paramètres!$A$1:$I$89,3,0)*VLOOKUP('Données projet'!$B$14,Paramètres!$A$1:$I$89,5,0)</f>
        <v>1.4897523215040565E-13</v>
      </c>
      <c r="DQ139" s="14">
        <f t="shared" si="151"/>
        <v>2.136562777003313E-12</v>
      </c>
      <c r="DR139" s="22">
        <f t="shared" si="124"/>
        <v>3.9806453659427267E-12</v>
      </c>
      <c r="DS139" s="60">
        <f t="shared" si="125"/>
        <v>293.33333333333729</v>
      </c>
      <c r="DT139" s="60">
        <f ca="1">AVERAGE(OFFSET($DS$3,0,0,'Données projet'!$E$14+1,1))-AVERAGE(OFFSET($H$3,0,0,'Données projet'!$E$14+1,1))</f>
        <v>275.11574966125522</v>
      </c>
      <c r="DU139" s="60">
        <f t="shared" si="152"/>
        <v>299.21520121860345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369.34989412920129</v>
      </c>
      <c r="T140" s="60">
        <f t="shared" si="142"/>
        <v>371.26234252426553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-1.8089849618263545E-13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370.79299728190904</v>
      </c>
      <c r="AO140" s="60">
        <f t="shared" si="144"/>
        <v>404.95703400805775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-1.6671037883497774E-13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344.63665697794022</v>
      </c>
      <c r="BJ140" s="60">
        <f t="shared" si="146"/>
        <v>376.72762011188041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3.8</v>
      </c>
      <c r="BY140" s="13">
        <f>IF('Données projet'!$A$114&gt;35,BY139+BX140-CG139,IF(A140&lt;'Données projet'!$A$114,$BV$205^A140,IF(A140='Données projet'!$A$114,'Données projet'!$B$114,BY139+BX140-CG139)))</f>
        <v>329.59999999999985</v>
      </c>
      <c r="BZ140" s="14">
        <f>BY140*VLOOKUP('Données projet'!$B$12,Paramètres!$A$1:$I$89,3,0)*VLOOKUP('Données projet'!$B$12,Paramètres!$A$1:$I$89,5,0)</f>
        <v>298.22207999999983</v>
      </c>
      <c r="CA140" s="14">
        <f t="shared" si="147"/>
        <v>70.803614311231783</v>
      </c>
      <c r="CB140" s="22">
        <f t="shared" si="118"/>
        <v>642.71975092539503</v>
      </c>
      <c r="CC140" s="60">
        <f t="shared" si="119"/>
        <v>936.0530842587284</v>
      </c>
      <c r="CD140" s="60">
        <f ca="1">AVERAGE(OFFSET($CC$3,0,0,'Données projet'!$E$12+1,1))-AVERAGE(OFFSET($H$3,0,0,'Données projet'!$E$12+1,1))</f>
        <v>529.25712986118265</v>
      </c>
      <c r="CE140" s="60">
        <f t="shared" si="148"/>
        <v>278.21741231699929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3.8</v>
      </c>
      <c r="CT140" s="13">
        <f>IF('Données projet'!$A$140&gt;35,CT139+CS140-DB139,IF(A140&lt;'Données projet'!$A$140,$CQ$205^A140,IF(A140='Données projet'!$A$140,'Données projet'!$B$140,CT139+CS140-DB139)))</f>
        <v>329.59999999999985</v>
      </c>
      <c r="CU140" s="18">
        <f>CT140*VLOOKUP('Données projet'!$B$13,Paramètres!$A$1:$I$89,3,0)*VLOOKUP('Données projet'!$B$13,Paramètres!$A$1:$I$89,5,0)</f>
        <v>277.65503999999987</v>
      </c>
      <c r="CV140" s="14">
        <f t="shared" si="149"/>
        <v>66.47120912437552</v>
      </c>
      <c r="CW140" s="22">
        <f t="shared" si="121"/>
        <v>599.35321722495371</v>
      </c>
      <c r="CX140" s="60">
        <f t="shared" si="122"/>
        <v>892.68655055828708</v>
      </c>
      <c r="CY140" s="60">
        <f ca="1">AVERAGE(OFFSET($CX$3,0,0,'Données projet'!$E$13+1,1))-AVERAGE(OFFSET($H$3,0,0,'Données projet'!$E$13+1,1))</f>
        <v>495.77338291316386</v>
      </c>
      <c r="CZ140" s="60">
        <f t="shared" si="150"/>
        <v>261.95434270986397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2.2737367544323206E-13</v>
      </c>
      <c r="DP140" s="18">
        <f>DO140*VLOOKUP('Données projet'!$B$14,Paramètres!$A$1:$I$89,3,0)*VLOOKUP('Données projet'!$B$14,Paramètres!$A$1:$I$89,5,0)</f>
        <v>1.4897523215040565E-13</v>
      </c>
      <c r="DQ140" s="14">
        <f t="shared" si="151"/>
        <v>2.136562777003313E-12</v>
      </c>
      <c r="DR140" s="22">
        <f t="shared" si="124"/>
        <v>3.9806453659427267E-12</v>
      </c>
      <c r="DS140" s="60">
        <f t="shared" si="125"/>
        <v>293.33333333333729</v>
      </c>
      <c r="DT140" s="60">
        <f ca="1">AVERAGE(OFFSET($DS$3,0,0,'Données projet'!$E$14+1,1))-AVERAGE(OFFSET($H$3,0,0,'Données projet'!$E$14+1,1))</f>
        <v>275.11574966125522</v>
      </c>
      <c r="DU140" s="60">
        <f t="shared" si="152"/>
        <v>299.21520121860345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369.34989412920129</v>
      </c>
      <c r="T141" s="60">
        <f t="shared" si="142"/>
        <v>371.26234252426553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-1.8089849618263545E-13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370.79299728190904</v>
      </c>
      <c r="AO141" s="60">
        <f t="shared" si="144"/>
        <v>404.95703400805775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-1.6671037883497774E-13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344.63665697794022</v>
      </c>
      <c r="BJ141" s="60">
        <f t="shared" si="146"/>
        <v>376.72762011188041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3.8</v>
      </c>
      <c r="BY141" s="13">
        <f>IF('Données projet'!$A$114&gt;35,BY140+BX141-CG140,IF(A141&lt;'Données projet'!$A$114,$BV$205^A141,IF(A141='Données projet'!$A$114,'Données projet'!$B$114,BY140+BX141-CG140)))</f>
        <v>333.39999999999986</v>
      </c>
      <c r="BZ141" s="14">
        <f>BY141*VLOOKUP('Données projet'!$B$12,Paramètres!$A$1:$I$89,3,0)*VLOOKUP('Données projet'!$B$12,Paramètres!$A$1:$I$89,5,0)</f>
        <v>301.66031999999984</v>
      </c>
      <c r="CA141" s="14">
        <f t="shared" si="147"/>
        <v>71.524418438455001</v>
      </c>
      <c r="CB141" s="22">
        <f t="shared" si="118"/>
        <v>649.96341944697554</v>
      </c>
      <c r="CC141" s="60">
        <f t="shared" si="119"/>
        <v>943.29675278030891</v>
      </c>
      <c r="CD141" s="60">
        <f ca="1">AVERAGE(OFFSET($CC$3,0,0,'Données projet'!$E$12+1,1))-AVERAGE(OFFSET($H$3,0,0,'Données projet'!$E$12+1,1))</f>
        <v>529.25712986118265</v>
      </c>
      <c r="CE141" s="60">
        <f t="shared" si="148"/>
        <v>278.21741231699929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3.8</v>
      </c>
      <c r="CT141" s="13">
        <f>IF('Données projet'!$A$140&gt;35,CT140+CS141-DB140,IF(A141&lt;'Données projet'!$A$140,$CQ$205^A141,IF(A141='Données projet'!$A$140,'Données projet'!$B$140,CT140+CS141-DB140)))</f>
        <v>333.39999999999986</v>
      </c>
      <c r="CU141" s="18">
        <f>CT141*VLOOKUP('Données projet'!$B$13,Paramètres!$A$1:$I$89,3,0)*VLOOKUP('Données projet'!$B$13,Paramètres!$A$1:$I$89,5,0)</f>
        <v>280.85615999999993</v>
      </c>
      <c r="CV141" s="14">
        <f t="shared" si="149"/>
        <v>67.147907939039882</v>
      </c>
      <c r="CW141" s="22">
        <f t="shared" si="121"/>
        <v>606.1070849938277</v>
      </c>
      <c r="CX141" s="60">
        <f t="shared" si="122"/>
        <v>899.44041832716107</v>
      </c>
      <c r="CY141" s="60">
        <f ca="1">AVERAGE(OFFSET($CX$3,0,0,'Données projet'!$E$13+1,1))-AVERAGE(OFFSET($H$3,0,0,'Données projet'!$E$13+1,1))</f>
        <v>495.77338291316386</v>
      </c>
      <c r="CZ141" s="60">
        <f t="shared" si="150"/>
        <v>261.95434270986397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2.2737367544323206E-13</v>
      </c>
      <c r="DP141" s="18">
        <f>DO141*VLOOKUP('Données projet'!$B$14,Paramètres!$A$1:$I$89,3,0)*VLOOKUP('Données projet'!$B$14,Paramètres!$A$1:$I$89,5,0)</f>
        <v>1.4897523215040565E-13</v>
      </c>
      <c r="DQ141" s="14">
        <f t="shared" si="151"/>
        <v>2.136562777003313E-12</v>
      </c>
      <c r="DR141" s="22">
        <f t="shared" si="124"/>
        <v>3.9806453659427267E-12</v>
      </c>
      <c r="DS141" s="60">
        <f t="shared" si="125"/>
        <v>293.33333333333729</v>
      </c>
      <c r="DT141" s="60">
        <f ca="1">AVERAGE(OFFSET($DS$3,0,0,'Données projet'!$E$14+1,1))-AVERAGE(OFFSET($H$3,0,0,'Données projet'!$E$14+1,1))</f>
        <v>275.11574966125522</v>
      </c>
      <c r="DU141" s="60">
        <f t="shared" si="152"/>
        <v>299.21520121860345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369.34989412920129</v>
      </c>
      <c r="T142" s="60">
        <f t="shared" si="142"/>
        <v>371.26234252426553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-1.8089849618263545E-13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370.79299728190904</v>
      </c>
      <c r="AO142" s="60">
        <f t="shared" si="144"/>
        <v>404.95703400805775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-1.6671037883497774E-13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344.63665697794022</v>
      </c>
      <c r="BJ142" s="60">
        <f t="shared" si="146"/>
        <v>376.72762011188041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3.8</v>
      </c>
      <c r="BY142" s="13">
        <f>IF('Données projet'!$A$114&gt;35,BY141+BX142-CG141,IF(A142&lt;'Données projet'!$A$114,$BV$205^A142,IF(A142='Données projet'!$A$114,'Données projet'!$B$114,BY141+BX142-CG141)))</f>
        <v>337.19999999999987</v>
      </c>
      <c r="BZ142" s="14">
        <f>BY142*VLOOKUP('Données projet'!$B$12,Paramètres!$A$1:$I$89,3,0)*VLOOKUP('Données projet'!$B$12,Paramètres!$A$1:$I$89,5,0)</f>
        <v>305.09855999999985</v>
      </c>
      <c r="CA142" s="14">
        <f t="shared" si="147"/>
        <v>72.244266890878791</v>
      </c>
      <c r="CB142" s="22">
        <f t="shared" si="118"/>
        <v>657.20542350161361</v>
      </c>
      <c r="CC142" s="60">
        <f t="shared" si="119"/>
        <v>950.53875683494698</v>
      </c>
      <c r="CD142" s="60">
        <f ca="1">AVERAGE(OFFSET($CC$3,0,0,'Données projet'!$E$12+1,1))-AVERAGE(OFFSET($H$3,0,0,'Données projet'!$E$12+1,1))</f>
        <v>529.25712986118265</v>
      </c>
      <c r="CE142" s="60">
        <f t="shared" si="148"/>
        <v>278.21741231699929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3.8</v>
      </c>
      <c r="CT142" s="13">
        <f>IF('Données projet'!$A$140&gt;35,CT141+CS142-DB141,IF(A142&lt;'Données projet'!$A$140,$CQ$205^A142,IF(A142='Données projet'!$A$140,'Données projet'!$B$140,CT141+CS142-DB141)))</f>
        <v>337.19999999999987</v>
      </c>
      <c r="CU142" s="18">
        <f>CT142*VLOOKUP('Données projet'!$B$13,Paramètres!$A$1:$I$89,3,0)*VLOOKUP('Données projet'!$B$13,Paramètres!$A$1:$I$89,5,0)</f>
        <v>284.05727999999993</v>
      </c>
      <c r="CV142" s="14">
        <f t="shared" si="149"/>
        <v>67.823709555728442</v>
      </c>
      <c r="CW142" s="22">
        <f t="shared" si="121"/>
        <v>612.85939014289363</v>
      </c>
      <c r="CX142" s="60">
        <f t="shared" si="122"/>
        <v>906.192723476227</v>
      </c>
      <c r="CY142" s="60">
        <f ca="1">AVERAGE(OFFSET($CX$3,0,0,'Données projet'!$E$13+1,1))-AVERAGE(OFFSET($H$3,0,0,'Données projet'!$E$13+1,1))</f>
        <v>495.77338291316386</v>
      </c>
      <c r="CZ142" s="60">
        <f t="shared" si="150"/>
        <v>261.95434270986397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2.2737367544323206E-13</v>
      </c>
      <c r="DP142" s="18">
        <f>DO142*VLOOKUP('Données projet'!$B$14,Paramètres!$A$1:$I$89,3,0)*VLOOKUP('Données projet'!$B$14,Paramètres!$A$1:$I$89,5,0)</f>
        <v>1.4897523215040565E-13</v>
      </c>
      <c r="DQ142" s="14">
        <f t="shared" si="151"/>
        <v>2.136562777003313E-12</v>
      </c>
      <c r="DR142" s="22">
        <f t="shared" si="124"/>
        <v>3.9806453659427267E-12</v>
      </c>
      <c r="DS142" s="60">
        <f t="shared" si="125"/>
        <v>293.33333333333729</v>
      </c>
      <c r="DT142" s="60">
        <f ca="1">AVERAGE(OFFSET($DS$3,0,0,'Données projet'!$E$14+1,1))-AVERAGE(OFFSET($H$3,0,0,'Données projet'!$E$14+1,1))</f>
        <v>275.11574966125522</v>
      </c>
      <c r="DU142" s="60">
        <f t="shared" si="152"/>
        <v>299.21520121860345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369.34989412920129</v>
      </c>
      <c r="T143" s="60">
        <f t="shared" si="142"/>
        <v>371.26234252426553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-1.8089849618263545E-13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370.79299728190904</v>
      </c>
      <c r="AO143" s="60">
        <f t="shared" si="144"/>
        <v>404.95703400805775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-1.6671037883497774E-13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344.63665697794022</v>
      </c>
      <c r="BJ143" s="60">
        <f t="shared" si="146"/>
        <v>376.72762011188041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341</v>
      </c>
      <c r="BW143" s="13">
        <f>VLOOKUP(A143,'Données projet'!$A$113:$I$133,9,0)</f>
        <v>3.8</v>
      </c>
      <c r="BX143" s="13">
        <f t="array" ref="BX143">INDEX(BW:BW,MIN(IF(ISNUMBER(BW143:BW339),ROW(BW143:BW339),"")))</f>
        <v>3.8</v>
      </c>
      <c r="BY143" s="13">
        <f>IF('Données projet'!$A$114&gt;35,BY142+BX143-CG142,IF(A143&lt;'Données projet'!$A$114,$BV$205^A143,IF(A143='Données projet'!$A$114,'Données projet'!$B$114,BY142+BX143-CG142)))</f>
        <v>340.99999999999989</v>
      </c>
      <c r="BZ143" s="14">
        <f>BY143*VLOOKUP('Données projet'!$B$12,Paramètres!$A$1:$I$89,3,0)*VLOOKUP('Données projet'!$B$12,Paramètres!$A$1:$I$89,5,0)</f>
        <v>308.53679999999986</v>
      </c>
      <c r="CA143" s="14">
        <f t="shared" si="147"/>
        <v>72.963171684496103</v>
      </c>
      <c r="CB143" s="22">
        <f t="shared" si="118"/>
        <v>664.44578401716376</v>
      </c>
      <c r="CC143" s="60">
        <f t="shared" si="119"/>
        <v>957.77911735049702</v>
      </c>
      <c r="CD143" s="60">
        <f ca="1">AVERAGE(OFFSET($CC$3,0,0,'Données projet'!$E$12+1,1))-AVERAGE(OFFSET($H$3,0,0,'Données projet'!$E$12+1,1))</f>
        <v>529.25712986118265</v>
      </c>
      <c r="CE143" s="60">
        <f t="shared" si="148"/>
        <v>278.21741231699929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341</v>
      </c>
      <c r="CR143" s="13">
        <f>VLOOKUP(A143,'Données projet'!$A$139:$I$159,9,0)</f>
        <v>3.8</v>
      </c>
      <c r="CS143" s="13">
        <f t="array" ref="CS143">INDEX(CR:CR,MIN(IF(ISNUMBER(CR143:CR339),ROW(CR143:CR339),"")))</f>
        <v>3.8</v>
      </c>
      <c r="CT143" s="13">
        <f>IF('Données projet'!$A$140&gt;35,CT142+CS143-DB142,IF(A143&lt;'Données projet'!$A$140,$CQ$205^A143,IF(A143='Données projet'!$A$140,'Données projet'!$B$140,CT142+CS143-DB142)))</f>
        <v>340.99999999999989</v>
      </c>
      <c r="CU143" s="18">
        <f>CT143*VLOOKUP('Données projet'!$B$13,Paramètres!$A$1:$I$89,3,0)*VLOOKUP('Données projet'!$B$13,Paramètres!$A$1:$I$89,5,0)</f>
        <v>287.25839999999994</v>
      </c>
      <c r="CV143" s="14">
        <f t="shared" si="149"/>
        <v>68.498625255186852</v>
      </c>
      <c r="CW143" s="22">
        <f t="shared" si="121"/>
        <v>619.61015231945032</v>
      </c>
      <c r="CX143" s="60">
        <f t="shared" si="122"/>
        <v>912.94348565278369</v>
      </c>
      <c r="CY143" s="60">
        <f ca="1">AVERAGE(OFFSET($CX$3,0,0,'Données projet'!$E$13+1,1))-AVERAGE(OFFSET($H$3,0,0,'Données projet'!$E$13+1,1))</f>
        <v>495.77338291316386</v>
      </c>
      <c r="CZ143" s="60">
        <f t="shared" si="150"/>
        <v>261.95434270986397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2.2737367544323206E-13</v>
      </c>
      <c r="DP143" s="18">
        <f>DO143*VLOOKUP('Données projet'!$B$14,Paramètres!$A$1:$I$89,3,0)*VLOOKUP('Données projet'!$B$14,Paramètres!$A$1:$I$89,5,0)</f>
        <v>1.4897523215040565E-13</v>
      </c>
      <c r="DQ143" s="14">
        <f t="shared" si="151"/>
        <v>2.136562777003313E-12</v>
      </c>
      <c r="DR143" s="22">
        <f t="shared" si="124"/>
        <v>3.9806453659427267E-12</v>
      </c>
      <c r="DS143" s="60">
        <f t="shared" si="125"/>
        <v>293.33333333333729</v>
      </c>
      <c r="DT143" s="60">
        <f ca="1">AVERAGE(OFFSET($DS$3,0,0,'Données projet'!$E$14+1,1))-AVERAGE(OFFSET($H$3,0,0,'Données projet'!$E$14+1,1))</f>
        <v>275.11574966125522</v>
      </c>
      <c r="DU143" s="60">
        <f t="shared" si="152"/>
        <v>299.21520121860345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369.34989412920129</v>
      </c>
      <c r="T144" s="60">
        <f t="shared" si="142"/>
        <v>371.26234252426553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-1.8089849618263545E-13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370.79299728190904</v>
      </c>
      <c r="AO144" s="60">
        <f t="shared" si="144"/>
        <v>404.95703400805775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-1.6671037883497774E-13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344.63665697794022</v>
      </c>
      <c r="BJ144" s="60">
        <f t="shared" si="146"/>
        <v>376.72762011188041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3.5</v>
      </c>
      <c r="BY144" s="13">
        <f>IF('Données projet'!$A$114&gt;35,BY143+BX144-CG143,IF(A144&lt;'Données projet'!$A$114,$BV$205^A144,IF(A144='Données projet'!$A$114,'Données projet'!$B$114,BY143+BX144-CG143)))</f>
        <v>344.49999999999989</v>
      </c>
      <c r="BZ144" s="14">
        <f>BY144*VLOOKUP('Données projet'!$B$12,Paramètres!$A$1:$I$89,3,0)*VLOOKUP('Données projet'!$B$12,Paramètres!$A$1:$I$89,5,0)</f>
        <v>311.70359999999988</v>
      </c>
      <c r="CA144" s="14">
        <f t="shared" si="147"/>
        <v>73.624496097462782</v>
      </c>
      <c r="CB144" s="22">
        <f t="shared" si="118"/>
        <v>671.1131007030807</v>
      </c>
      <c r="CC144" s="60">
        <f t="shared" si="119"/>
        <v>964.44643403641408</v>
      </c>
      <c r="CD144" s="60">
        <f ca="1">AVERAGE(OFFSET($CC$3,0,0,'Données projet'!$E$12+1,1))-AVERAGE(OFFSET($H$3,0,0,'Données projet'!$E$12+1,1))</f>
        <v>529.25712986118265</v>
      </c>
      <c r="CE144" s="60">
        <f t="shared" si="148"/>
        <v>278.21741231699929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3.5</v>
      </c>
      <c r="CT144" s="13">
        <f>IF('Données projet'!$A$140&gt;35,CT143+CS144-DB143,IF(A144&lt;'Données projet'!$A$140,$CQ$205^A144,IF(A144='Données projet'!$A$140,'Données projet'!$B$140,CT143+CS144-DB143)))</f>
        <v>344.49999999999989</v>
      </c>
      <c r="CU144" s="18">
        <f>CT144*VLOOKUP('Données projet'!$B$13,Paramètres!$A$1:$I$89,3,0)*VLOOKUP('Données projet'!$B$13,Paramètres!$A$1:$I$89,5,0)</f>
        <v>290.20679999999993</v>
      </c>
      <c r="CV144" s="14">
        <f t="shared" si="149"/>
        <v>69.119483862208398</v>
      </c>
      <c r="CW144" s="22">
        <f t="shared" si="121"/>
        <v>625.82661106001285</v>
      </c>
      <c r="CX144" s="60">
        <f t="shared" si="122"/>
        <v>919.15994439334622</v>
      </c>
      <c r="CY144" s="60">
        <f ca="1">AVERAGE(OFFSET($CX$3,0,0,'Données projet'!$E$13+1,1))-AVERAGE(OFFSET($H$3,0,0,'Données projet'!$E$13+1,1))</f>
        <v>495.77338291316386</v>
      </c>
      <c r="CZ144" s="60">
        <f t="shared" si="150"/>
        <v>261.95434270986397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2.2737367544323206E-13</v>
      </c>
      <c r="DP144" s="18">
        <f>DO144*VLOOKUP('Données projet'!$B$14,Paramètres!$A$1:$I$89,3,0)*VLOOKUP('Données projet'!$B$14,Paramètres!$A$1:$I$89,5,0)</f>
        <v>1.4897523215040565E-13</v>
      </c>
      <c r="DQ144" s="14">
        <f t="shared" si="151"/>
        <v>2.136562777003313E-12</v>
      </c>
      <c r="DR144" s="22">
        <f t="shared" si="124"/>
        <v>3.9806453659427267E-12</v>
      </c>
      <c r="DS144" s="60">
        <f t="shared" si="125"/>
        <v>293.33333333333729</v>
      </c>
      <c r="DT144" s="60">
        <f ca="1">AVERAGE(OFFSET($DS$3,0,0,'Données projet'!$E$14+1,1))-AVERAGE(OFFSET($H$3,0,0,'Données projet'!$E$14+1,1))</f>
        <v>275.11574966125522</v>
      </c>
      <c r="DU144" s="60">
        <f t="shared" si="152"/>
        <v>299.21520121860345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369.34989412920129</v>
      </c>
      <c r="T145" s="60">
        <f t="shared" si="142"/>
        <v>371.26234252426553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-1.8089849618263545E-13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370.79299728190904</v>
      </c>
      <c r="AO145" s="60">
        <f t="shared" si="144"/>
        <v>404.95703400805775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-1.6671037883497774E-13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344.63665697794022</v>
      </c>
      <c r="BJ145" s="60">
        <f t="shared" si="146"/>
        <v>376.72762011188041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3.5</v>
      </c>
      <c r="BY145" s="13">
        <f>IF('Données projet'!$A$114&gt;35,BY144+BX145-CG144,IF(A145&lt;'Données projet'!$A$114,$BV$205^A145,IF(A145='Données projet'!$A$114,'Données projet'!$B$114,BY144+BX145-CG144)))</f>
        <v>347.99999999999989</v>
      </c>
      <c r="BZ145" s="14">
        <f>BY145*VLOOKUP('Données projet'!$B$12,Paramètres!$A$1:$I$89,3,0)*VLOOKUP('Données projet'!$B$12,Paramètres!$A$1:$I$89,5,0)</f>
        <v>314.8703999999999</v>
      </c>
      <c r="CA145" s="14">
        <f t="shared" si="147"/>
        <v>74.285038887149952</v>
      </c>
      <c r="CB145" s="22">
        <f t="shared" si="118"/>
        <v>677.77905606178604</v>
      </c>
      <c r="CC145" s="60">
        <f t="shared" si="119"/>
        <v>971.11238939511941</v>
      </c>
      <c r="CD145" s="60">
        <f ca="1">AVERAGE(OFFSET($CC$3,0,0,'Données projet'!$E$12+1,1))-AVERAGE(OFFSET($H$3,0,0,'Données projet'!$E$12+1,1))</f>
        <v>529.25712986118265</v>
      </c>
      <c r="CE145" s="60">
        <f t="shared" si="148"/>
        <v>278.21741231699929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3.5</v>
      </c>
      <c r="CT145" s="13">
        <f>IF('Données projet'!$A$140&gt;35,CT144+CS145-DB144,IF(A145&lt;'Données projet'!$A$140,$CQ$205^A145,IF(A145='Données projet'!$A$140,'Données projet'!$B$140,CT144+CS145-DB144)))</f>
        <v>347.99999999999989</v>
      </c>
      <c r="CU145" s="18">
        <f>CT145*VLOOKUP('Données projet'!$B$13,Paramètres!$A$1:$I$89,3,0)*VLOOKUP('Données projet'!$B$13,Paramètres!$A$1:$I$89,5,0)</f>
        <v>293.15519999999992</v>
      </c>
      <c r="CV145" s="14">
        <f t="shared" si="149"/>
        <v>69.739608672728551</v>
      </c>
      <c r="CW145" s="22">
        <f t="shared" si="121"/>
        <v>632.04179177166873</v>
      </c>
      <c r="CX145" s="60">
        <f t="shared" si="122"/>
        <v>925.3751251050021</v>
      </c>
      <c r="CY145" s="60">
        <f ca="1">AVERAGE(OFFSET($CX$3,0,0,'Données projet'!$E$13+1,1))-AVERAGE(OFFSET($H$3,0,0,'Données projet'!$E$13+1,1))</f>
        <v>495.77338291316386</v>
      </c>
      <c r="CZ145" s="60">
        <f t="shared" si="150"/>
        <v>261.95434270986397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2.2737367544323206E-13</v>
      </c>
      <c r="DP145" s="18">
        <f>DO145*VLOOKUP('Données projet'!$B$14,Paramètres!$A$1:$I$89,3,0)*VLOOKUP('Données projet'!$B$14,Paramètres!$A$1:$I$89,5,0)</f>
        <v>1.4897523215040565E-13</v>
      </c>
      <c r="DQ145" s="14">
        <f t="shared" si="151"/>
        <v>2.136562777003313E-12</v>
      </c>
      <c r="DR145" s="22">
        <f t="shared" si="124"/>
        <v>3.9806453659427267E-12</v>
      </c>
      <c r="DS145" s="60">
        <f t="shared" si="125"/>
        <v>293.33333333333729</v>
      </c>
      <c r="DT145" s="60">
        <f ca="1">AVERAGE(OFFSET($DS$3,0,0,'Données projet'!$E$14+1,1))-AVERAGE(OFFSET($H$3,0,0,'Données projet'!$E$14+1,1))</f>
        <v>275.11574966125522</v>
      </c>
      <c r="DU145" s="60">
        <f t="shared" si="152"/>
        <v>299.21520121860345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369.34989412920129</v>
      </c>
      <c r="T146" s="60">
        <f t="shared" si="142"/>
        <v>371.26234252426553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-1.8089849618263545E-13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370.79299728190904</v>
      </c>
      <c r="AO146" s="60">
        <f t="shared" si="144"/>
        <v>404.95703400805775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-1.6671037883497774E-13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344.63665697794022</v>
      </c>
      <c r="BJ146" s="60">
        <f t="shared" si="146"/>
        <v>376.72762011188041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3.5</v>
      </c>
      <c r="BY146" s="13">
        <f>IF('Données projet'!$A$114&gt;35,BY145+BX146-CG145,IF(A146&lt;'Données projet'!$A$114,$BV$205^A146,IF(A146='Données projet'!$A$114,'Données projet'!$B$114,BY145+BX146-CG145)))</f>
        <v>351.49999999999989</v>
      </c>
      <c r="BZ146" s="14">
        <f>BY146*VLOOKUP('Données projet'!$B$12,Paramètres!$A$1:$I$89,3,0)*VLOOKUP('Données projet'!$B$12,Paramètres!$A$1:$I$89,5,0)</f>
        <v>318.03719999999987</v>
      </c>
      <c r="CA146" s="14">
        <f t="shared" si="147"/>
        <v>74.944808824911618</v>
      </c>
      <c r="CB146" s="22">
        <f t="shared" si="118"/>
        <v>684.44366537005408</v>
      </c>
      <c r="CC146" s="60">
        <f t="shared" si="119"/>
        <v>977.77699870338733</v>
      </c>
      <c r="CD146" s="60">
        <f ca="1">AVERAGE(OFFSET($CC$3,0,0,'Données projet'!$E$12+1,1))-AVERAGE(OFFSET($H$3,0,0,'Données projet'!$E$12+1,1))</f>
        <v>529.25712986118265</v>
      </c>
      <c r="CE146" s="60">
        <f t="shared" si="148"/>
        <v>278.21741231699929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3.5</v>
      </c>
      <c r="CT146" s="13">
        <f>IF('Données projet'!$A$140&gt;35,CT145+CS146-DB145,IF(A146&lt;'Données projet'!$A$140,$CQ$205^A146,IF(A146='Données projet'!$A$140,'Données projet'!$B$140,CT145+CS146-DB145)))</f>
        <v>351.49999999999989</v>
      </c>
      <c r="CU146" s="18">
        <f>CT146*VLOOKUP('Données projet'!$B$13,Paramètres!$A$1:$I$89,3,0)*VLOOKUP('Données projet'!$B$13,Paramètres!$A$1:$I$89,5,0)</f>
        <v>296.10359999999991</v>
      </c>
      <c r="CV146" s="14">
        <f t="shared" si="149"/>
        <v>70.359007921390557</v>
      </c>
      <c r="CW146" s="22">
        <f t="shared" si="121"/>
        <v>638.2557087964218</v>
      </c>
      <c r="CX146" s="60">
        <f t="shared" si="122"/>
        <v>931.58904212975517</v>
      </c>
      <c r="CY146" s="60">
        <f ca="1">AVERAGE(OFFSET($CX$3,0,0,'Données projet'!$E$13+1,1))-AVERAGE(OFFSET($H$3,0,0,'Données projet'!$E$13+1,1))</f>
        <v>495.77338291316386</v>
      </c>
      <c r="CZ146" s="60">
        <f t="shared" si="150"/>
        <v>261.95434270986397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2.2737367544323206E-13</v>
      </c>
      <c r="DP146" s="18">
        <f>DO146*VLOOKUP('Données projet'!$B$14,Paramètres!$A$1:$I$89,3,0)*VLOOKUP('Données projet'!$B$14,Paramètres!$A$1:$I$89,5,0)</f>
        <v>1.4897523215040565E-13</v>
      </c>
      <c r="DQ146" s="14">
        <f t="shared" si="151"/>
        <v>2.136562777003313E-12</v>
      </c>
      <c r="DR146" s="22">
        <f t="shared" si="124"/>
        <v>3.9806453659427267E-12</v>
      </c>
      <c r="DS146" s="60">
        <f t="shared" si="125"/>
        <v>293.33333333333729</v>
      </c>
      <c r="DT146" s="60">
        <f ca="1">AVERAGE(OFFSET($DS$3,0,0,'Données projet'!$E$14+1,1))-AVERAGE(OFFSET($H$3,0,0,'Données projet'!$E$14+1,1))</f>
        <v>275.11574966125522</v>
      </c>
      <c r="DU146" s="60">
        <f t="shared" si="152"/>
        <v>299.21520121860345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369.34989412920129</v>
      </c>
      <c r="T147" s="60">
        <f t="shared" si="142"/>
        <v>371.26234252426553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-1.8089849618263545E-13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370.79299728190904</v>
      </c>
      <c r="AO147" s="60">
        <f t="shared" si="144"/>
        <v>404.95703400805775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-1.6671037883497774E-13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344.63665697794022</v>
      </c>
      <c r="BJ147" s="60">
        <f t="shared" si="146"/>
        <v>376.72762011188041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3.5</v>
      </c>
      <c r="BY147" s="13">
        <f>IF('Données projet'!$A$114&gt;35,BY146+BX147-CG146,IF(A147&lt;'Données projet'!$A$114,$BV$205^A147,IF(A147='Données projet'!$A$114,'Données projet'!$B$114,BY146+BX147-CG146)))</f>
        <v>354.99999999999989</v>
      </c>
      <c r="BZ147" s="14">
        <f>BY147*VLOOKUP('Données projet'!$B$12,Paramètres!$A$1:$I$89,3,0)*VLOOKUP('Données projet'!$B$12,Paramètres!$A$1:$I$89,5,0)</f>
        <v>321.20399999999989</v>
      </c>
      <c r="CA147" s="14">
        <f t="shared" si="147"/>
        <v>75.603814497354989</v>
      </c>
      <c r="CB147" s="22">
        <f t="shared" si="118"/>
        <v>691.10694358289311</v>
      </c>
      <c r="CC147" s="60">
        <f t="shared" si="119"/>
        <v>984.44027691622637</v>
      </c>
      <c r="CD147" s="60">
        <f ca="1">AVERAGE(OFFSET($CC$3,0,0,'Données projet'!$E$12+1,1))-AVERAGE(OFFSET($H$3,0,0,'Données projet'!$E$12+1,1))</f>
        <v>529.25712986118265</v>
      </c>
      <c r="CE147" s="60">
        <f t="shared" si="148"/>
        <v>278.21741231699929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3.5</v>
      </c>
      <c r="CT147" s="13">
        <f>IF('Données projet'!$A$140&gt;35,CT146+CS147-DB146,IF(A147&lt;'Données projet'!$A$140,$CQ$205^A147,IF(A147='Données projet'!$A$140,'Données projet'!$B$140,CT146+CS147-DB146)))</f>
        <v>354.99999999999989</v>
      </c>
      <c r="CU147" s="18">
        <f>CT147*VLOOKUP('Données projet'!$B$13,Paramètres!$A$1:$I$89,3,0)*VLOOKUP('Données projet'!$B$13,Paramètres!$A$1:$I$89,5,0)</f>
        <v>299.05199999999996</v>
      </c>
      <c r="CV147" s="14">
        <f t="shared" si="149"/>
        <v>70.977689669395403</v>
      </c>
      <c r="CW147" s="22">
        <f t="shared" si="121"/>
        <v>644.46837617419681</v>
      </c>
      <c r="CX147" s="60">
        <f t="shared" si="122"/>
        <v>937.80170950753018</v>
      </c>
      <c r="CY147" s="60">
        <f ca="1">AVERAGE(OFFSET($CX$3,0,0,'Données projet'!$E$13+1,1))-AVERAGE(OFFSET($H$3,0,0,'Données projet'!$E$13+1,1))</f>
        <v>495.77338291316386</v>
      </c>
      <c r="CZ147" s="60">
        <f t="shared" si="150"/>
        <v>261.95434270986397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2.2737367544323206E-13</v>
      </c>
      <c r="DP147" s="18">
        <f>DO147*VLOOKUP('Données projet'!$B$14,Paramètres!$A$1:$I$89,3,0)*VLOOKUP('Données projet'!$B$14,Paramètres!$A$1:$I$89,5,0)</f>
        <v>1.4897523215040565E-13</v>
      </c>
      <c r="DQ147" s="14">
        <f t="shared" si="151"/>
        <v>2.136562777003313E-12</v>
      </c>
      <c r="DR147" s="22">
        <f t="shared" si="124"/>
        <v>3.9806453659427267E-12</v>
      </c>
      <c r="DS147" s="60">
        <f t="shared" si="125"/>
        <v>293.33333333333729</v>
      </c>
      <c r="DT147" s="60">
        <f ca="1">AVERAGE(OFFSET($DS$3,0,0,'Données projet'!$E$14+1,1))-AVERAGE(OFFSET($H$3,0,0,'Données projet'!$E$14+1,1))</f>
        <v>275.11574966125522</v>
      </c>
      <c r="DU147" s="60">
        <f t="shared" si="152"/>
        <v>299.21520121860345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369.34989412920129</v>
      </c>
      <c r="T148" s="60">
        <f t="shared" si="142"/>
        <v>371.26234252426553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-1.8089849618263545E-13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370.79299728190904</v>
      </c>
      <c r="AO148" s="60">
        <f t="shared" si="144"/>
        <v>404.95703400805775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-1.6671037883497774E-13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344.63665697794022</v>
      </c>
      <c r="BJ148" s="60">
        <f t="shared" si="146"/>
        <v>376.72762011188041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3.5</v>
      </c>
      <c r="BY148" s="13">
        <f>IF('Données projet'!$A$114&gt;35,BY147+BX148-CG147,IF(A148&lt;'Données projet'!$A$114,$BV$205^A148,IF(A148='Données projet'!$A$114,'Données projet'!$B$114,BY147+BX148-CG147)))</f>
        <v>358.49999999999989</v>
      </c>
      <c r="BZ148" s="14">
        <f>BY148*VLOOKUP('Données projet'!$B$12,Paramètres!$A$1:$I$89,3,0)*VLOOKUP('Données projet'!$B$12,Paramètres!$A$1:$I$89,5,0)</f>
        <v>324.37079999999986</v>
      </c>
      <c r="CA148" s="14">
        <f t="shared" si="147"/>
        <v>76.262064312013905</v>
      </c>
      <c r="CB148" s="22">
        <f t="shared" si="118"/>
        <v>697.76890534342408</v>
      </c>
      <c r="CC148" s="60">
        <f t="shared" si="119"/>
        <v>991.10223867675745</v>
      </c>
      <c r="CD148" s="60">
        <f ca="1">AVERAGE(OFFSET($CC$3,0,0,'Données projet'!$E$12+1,1))-AVERAGE(OFFSET($H$3,0,0,'Données projet'!$E$12+1,1))</f>
        <v>529.25712986118265</v>
      </c>
      <c r="CE148" s="60">
        <f t="shared" si="148"/>
        <v>278.21741231699929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3.5</v>
      </c>
      <c r="CT148" s="13">
        <f>IF('Données projet'!$A$140&gt;35,CT147+CS148-DB147,IF(A148&lt;'Données projet'!$A$140,$CQ$205^A148,IF(A148='Données projet'!$A$140,'Données projet'!$B$140,CT147+CS148-DB147)))</f>
        <v>358.49999999999989</v>
      </c>
      <c r="CU148" s="18">
        <f>CT148*VLOOKUP('Données projet'!$B$13,Paramètres!$A$1:$I$89,3,0)*VLOOKUP('Données projet'!$B$13,Paramètres!$A$1:$I$89,5,0)</f>
        <v>302.0003999999999</v>
      </c>
      <c r="CV148" s="14">
        <f t="shared" si="149"/>
        <v>71.595661809828044</v>
      </c>
      <c r="CW148" s="22">
        <f t="shared" si="121"/>
        <v>650.67980765211689</v>
      </c>
      <c r="CX148" s="60">
        <f t="shared" si="122"/>
        <v>944.01314098545026</v>
      </c>
      <c r="CY148" s="60">
        <f ca="1">AVERAGE(OFFSET($CX$3,0,0,'Données projet'!$E$13+1,1))-AVERAGE(OFFSET($H$3,0,0,'Données projet'!$E$13+1,1))</f>
        <v>495.77338291316386</v>
      </c>
      <c r="CZ148" s="60">
        <f t="shared" si="150"/>
        <v>261.95434270986397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2.2737367544323206E-13</v>
      </c>
      <c r="DP148" s="18">
        <f>DO148*VLOOKUP('Données projet'!$B$14,Paramètres!$A$1:$I$89,3,0)*VLOOKUP('Données projet'!$B$14,Paramètres!$A$1:$I$89,5,0)</f>
        <v>1.4897523215040565E-13</v>
      </c>
      <c r="DQ148" s="14">
        <f t="shared" si="151"/>
        <v>2.136562777003313E-12</v>
      </c>
      <c r="DR148" s="22">
        <f t="shared" si="124"/>
        <v>3.9806453659427267E-12</v>
      </c>
      <c r="DS148" s="60">
        <f t="shared" si="125"/>
        <v>293.33333333333729</v>
      </c>
      <c r="DT148" s="60">
        <f ca="1">AVERAGE(OFFSET($DS$3,0,0,'Données projet'!$E$14+1,1))-AVERAGE(OFFSET($H$3,0,0,'Données projet'!$E$14+1,1))</f>
        <v>275.11574966125522</v>
      </c>
      <c r="DU148" s="60">
        <f t="shared" si="152"/>
        <v>299.21520121860345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369.34989412920129</v>
      </c>
      <c r="T149" s="60">
        <f t="shared" si="142"/>
        <v>371.26234252426553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-1.8089849618263545E-13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370.79299728190904</v>
      </c>
      <c r="AO149" s="60">
        <f t="shared" si="144"/>
        <v>404.95703400805775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-1.6671037883497774E-13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344.63665697794022</v>
      </c>
      <c r="BJ149" s="60">
        <f t="shared" si="146"/>
        <v>376.72762011188041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3.5</v>
      </c>
      <c r="BY149" s="13">
        <f>IF('Données projet'!$A$114&gt;35,BY148+BX149-CG148,IF(A149&lt;'Données projet'!$A$114,$BV$205^A149,IF(A149='Données projet'!$A$114,'Données projet'!$B$114,BY148+BX149-CG148)))</f>
        <v>361.99999999999989</v>
      </c>
      <c r="BZ149" s="14">
        <f>BY149*VLOOKUP('Données projet'!$B$12,Paramètres!$A$1:$I$89,3,0)*VLOOKUP('Données projet'!$B$12,Paramètres!$A$1:$I$89,5,0)</f>
        <v>327.53759999999988</v>
      </c>
      <c r="CA149" s="14">
        <f t="shared" si="147"/>
        <v>76.919566502794808</v>
      </c>
      <c r="CB149" s="22">
        <f t="shared" si="118"/>
        <v>704.42956499236743</v>
      </c>
      <c r="CC149" s="60">
        <f t="shared" si="119"/>
        <v>997.76289832570069</v>
      </c>
      <c r="CD149" s="60">
        <f ca="1">AVERAGE(OFFSET($CC$3,0,0,'Données projet'!$E$12+1,1))-AVERAGE(OFFSET($H$3,0,0,'Données projet'!$E$12+1,1))</f>
        <v>529.25712986118265</v>
      </c>
      <c r="CE149" s="60">
        <f t="shared" si="148"/>
        <v>278.21741231699929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3.5</v>
      </c>
      <c r="CT149" s="13">
        <f>IF('Données projet'!$A$140&gt;35,CT148+CS149-DB148,IF(A149&lt;'Données projet'!$A$140,$CQ$205^A149,IF(A149='Données projet'!$A$140,'Données projet'!$B$140,CT148+CS149-DB148)))</f>
        <v>361.99999999999989</v>
      </c>
      <c r="CU149" s="18">
        <f>CT149*VLOOKUP('Données projet'!$B$13,Paramètres!$A$1:$I$89,3,0)*VLOOKUP('Données projet'!$B$13,Paramètres!$A$1:$I$89,5,0)</f>
        <v>304.94879999999995</v>
      </c>
      <c r="CV149" s="14">
        <f t="shared" si="149"/>
        <v>72.212932072769945</v>
      </c>
      <c r="CW149" s="22">
        <f t="shared" si="121"/>
        <v>656.89001669340757</v>
      </c>
      <c r="CX149" s="60">
        <f t="shared" si="122"/>
        <v>950.22335002674095</v>
      </c>
      <c r="CY149" s="60">
        <f ca="1">AVERAGE(OFFSET($CX$3,0,0,'Données projet'!$E$13+1,1))-AVERAGE(OFFSET($H$3,0,0,'Données projet'!$E$13+1,1))</f>
        <v>495.77338291316386</v>
      </c>
      <c r="CZ149" s="60">
        <f t="shared" si="150"/>
        <v>261.95434270986397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2.2737367544323206E-13</v>
      </c>
      <c r="DP149" s="18">
        <f>DO149*VLOOKUP('Données projet'!$B$14,Paramètres!$A$1:$I$89,3,0)*VLOOKUP('Données projet'!$B$14,Paramètres!$A$1:$I$89,5,0)</f>
        <v>1.4897523215040565E-13</v>
      </c>
      <c r="DQ149" s="14">
        <f t="shared" si="151"/>
        <v>2.136562777003313E-12</v>
      </c>
      <c r="DR149" s="22">
        <f t="shared" si="124"/>
        <v>3.9806453659427267E-12</v>
      </c>
      <c r="DS149" s="60">
        <f t="shared" si="125"/>
        <v>293.33333333333729</v>
      </c>
      <c r="DT149" s="60">
        <f ca="1">AVERAGE(OFFSET($DS$3,0,0,'Données projet'!$E$14+1,1))-AVERAGE(OFFSET($H$3,0,0,'Données projet'!$E$14+1,1))</f>
        <v>275.11574966125522</v>
      </c>
      <c r="DU149" s="60">
        <f t="shared" si="152"/>
        <v>299.21520121860345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369.34989412920129</v>
      </c>
      <c r="T150" s="60">
        <f t="shared" si="142"/>
        <v>371.26234252426553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-1.8089849618263545E-13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370.79299728190904</v>
      </c>
      <c r="AO150" s="60">
        <f t="shared" si="144"/>
        <v>404.95703400805775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-1.6671037883497774E-13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344.63665697794022</v>
      </c>
      <c r="BJ150" s="60">
        <f t="shared" si="146"/>
        <v>376.72762011188041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3.5</v>
      </c>
      <c r="BY150" s="13">
        <f>IF('Données projet'!$A$114&gt;35,BY149+BX150-CG149,IF(A150&lt;'Données projet'!$A$114,$BV$205^A150,IF(A150='Données projet'!$A$114,'Données projet'!$B$114,BY149+BX150-CG149)))</f>
        <v>365.49999999999989</v>
      </c>
      <c r="BZ150" s="14">
        <f>BY150*VLOOKUP('Données projet'!$B$12,Paramètres!$A$1:$I$89,3,0)*VLOOKUP('Données projet'!$B$12,Paramètres!$A$1:$I$89,5,0)</f>
        <v>330.70439999999991</v>
      </c>
      <c r="CA150" s="14">
        <f t="shared" si="147"/>
        <v>77.576329135205029</v>
      </c>
      <c r="CB150" s="22">
        <f t="shared" si="118"/>
        <v>711.08893657714862</v>
      </c>
      <c r="CC150" s="60">
        <f t="shared" si="119"/>
        <v>1004.4222699104819</v>
      </c>
      <c r="CD150" s="60">
        <f ca="1">AVERAGE(OFFSET($CC$3,0,0,'Données projet'!$E$12+1,1))-AVERAGE(OFFSET($H$3,0,0,'Données projet'!$E$12+1,1))</f>
        <v>529.25712986118265</v>
      </c>
      <c r="CE150" s="60">
        <f t="shared" si="148"/>
        <v>278.21741231699929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3.5</v>
      </c>
      <c r="CT150" s="13">
        <f>IF('Données projet'!$A$140&gt;35,CT149+CS150-DB149,IF(A150&lt;'Données projet'!$A$140,$CQ$205^A150,IF(A150='Données projet'!$A$140,'Données projet'!$B$140,CT149+CS150-DB149)))</f>
        <v>365.49999999999989</v>
      </c>
      <c r="CU150" s="18">
        <f>CT150*VLOOKUP('Données projet'!$B$13,Paramètres!$A$1:$I$89,3,0)*VLOOKUP('Données projet'!$B$13,Paramètres!$A$1:$I$89,5,0)</f>
        <v>307.89719999999994</v>
      </c>
      <c r="CV150" s="14">
        <f t="shared" si="149"/>
        <v>72.829508030207904</v>
      </c>
      <c r="CW150" s="22">
        <f t="shared" si="121"/>
        <v>663.0990164859453</v>
      </c>
      <c r="CX150" s="60">
        <f t="shared" si="122"/>
        <v>956.43234981927867</v>
      </c>
      <c r="CY150" s="60">
        <f ca="1">AVERAGE(OFFSET($CX$3,0,0,'Données projet'!$E$13+1,1))-AVERAGE(OFFSET($H$3,0,0,'Données projet'!$E$13+1,1))</f>
        <v>495.77338291316386</v>
      </c>
      <c r="CZ150" s="60">
        <f t="shared" si="150"/>
        <v>261.95434270986397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2.2737367544323206E-13</v>
      </c>
      <c r="DP150" s="18">
        <f>DO150*VLOOKUP('Données projet'!$B$14,Paramètres!$A$1:$I$89,3,0)*VLOOKUP('Données projet'!$B$14,Paramètres!$A$1:$I$89,5,0)</f>
        <v>1.4897523215040565E-13</v>
      </c>
      <c r="DQ150" s="14">
        <f t="shared" si="151"/>
        <v>2.136562777003313E-12</v>
      </c>
      <c r="DR150" s="22">
        <f t="shared" si="124"/>
        <v>3.9806453659427267E-12</v>
      </c>
      <c r="DS150" s="60">
        <f t="shared" si="125"/>
        <v>293.33333333333729</v>
      </c>
      <c r="DT150" s="60">
        <f ca="1">AVERAGE(OFFSET($DS$3,0,0,'Données projet'!$E$14+1,1))-AVERAGE(OFFSET($H$3,0,0,'Données projet'!$E$14+1,1))</f>
        <v>275.11574966125522</v>
      </c>
      <c r="DU150" s="60">
        <f t="shared" si="152"/>
        <v>299.21520121860345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369.34989412920129</v>
      </c>
      <c r="T151" s="60">
        <f t="shared" si="142"/>
        <v>371.26234252426553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-1.8089849618263545E-13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370.79299728190904</v>
      </c>
      <c r="AO151" s="60">
        <f t="shared" si="144"/>
        <v>404.95703400805775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-1.6671037883497774E-13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344.63665697794022</v>
      </c>
      <c r="BJ151" s="60">
        <f t="shared" si="146"/>
        <v>376.72762011188041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3.5</v>
      </c>
      <c r="BY151" s="13">
        <f>IF('Données projet'!$A$114&gt;35,BY150+BX151-CG150,IF(A151&lt;'Données projet'!$A$114,$BV$205^A151,IF(A151='Données projet'!$A$114,'Données projet'!$B$114,BY150+BX151-CG150)))</f>
        <v>368.99999999999989</v>
      </c>
      <c r="BZ151" s="14">
        <f>BY151*VLOOKUP('Données projet'!$B$12,Paramètres!$A$1:$I$89,3,0)*VLOOKUP('Données projet'!$B$12,Paramètres!$A$1:$I$89,5,0)</f>
        <v>333.87119999999987</v>
      </c>
      <c r="CA151" s="14">
        <f t="shared" si="147"/>
        <v>78.232360111376309</v>
      </c>
      <c r="CB151" s="22">
        <f t="shared" si="118"/>
        <v>717.74703386064687</v>
      </c>
      <c r="CC151" s="60">
        <f t="shared" si="119"/>
        <v>1011.0803671939802</v>
      </c>
      <c r="CD151" s="60">
        <f ca="1">AVERAGE(OFFSET($CC$3,0,0,'Données projet'!$E$12+1,1))-AVERAGE(OFFSET($H$3,0,0,'Données projet'!$E$12+1,1))</f>
        <v>529.25712986118265</v>
      </c>
      <c r="CE151" s="60">
        <f t="shared" si="148"/>
        <v>278.21741231699929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3.5</v>
      </c>
      <c r="CT151" s="13">
        <f>IF('Données projet'!$A$140&gt;35,CT150+CS151-DB150,IF(A151&lt;'Données projet'!$A$140,$CQ$205^A151,IF(A151='Données projet'!$A$140,'Données projet'!$B$140,CT150+CS151-DB150)))</f>
        <v>368.99999999999989</v>
      </c>
      <c r="CU151" s="18">
        <f>CT151*VLOOKUP('Données projet'!$B$13,Paramètres!$A$1:$I$89,3,0)*VLOOKUP('Données projet'!$B$13,Paramètres!$A$1:$I$89,5,0)</f>
        <v>310.84559999999993</v>
      </c>
      <c r="CV151" s="14">
        <f t="shared" si="149"/>
        <v>73.445397100749773</v>
      </c>
      <c r="CW151" s="22">
        <f t="shared" si="121"/>
        <v>669.30681995047235</v>
      </c>
      <c r="CX151" s="60">
        <f t="shared" si="122"/>
        <v>962.6401532838056</v>
      </c>
      <c r="CY151" s="60">
        <f ca="1">AVERAGE(OFFSET($CX$3,0,0,'Données projet'!$E$13+1,1))-AVERAGE(OFFSET($H$3,0,0,'Données projet'!$E$13+1,1))</f>
        <v>495.77338291316386</v>
      </c>
      <c r="CZ151" s="60">
        <f t="shared" si="150"/>
        <v>261.95434270986397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2.2737367544323206E-13</v>
      </c>
      <c r="DP151" s="18">
        <f>DO151*VLOOKUP('Données projet'!$B$14,Paramètres!$A$1:$I$89,3,0)*VLOOKUP('Données projet'!$B$14,Paramètres!$A$1:$I$89,5,0)</f>
        <v>1.4897523215040565E-13</v>
      </c>
      <c r="DQ151" s="14">
        <f t="shared" si="151"/>
        <v>2.136562777003313E-12</v>
      </c>
      <c r="DR151" s="22">
        <f t="shared" si="124"/>
        <v>3.9806453659427267E-12</v>
      </c>
      <c r="DS151" s="60">
        <f t="shared" si="125"/>
        <v>293.33333333333729</v>
      </c>
      <c r="DT151" s="60">
        <f ca="1">AVERAGE(OFFSET($DS$3,0,0,'Données projet'!$E$14+1,1))-AVERAGE(OFFSET($H$3,0,0,'Données projet'!$E$14+1,1))</f>
        <v>275.11574966125522</v>
      </c>
      <c r="DU151" s="60">
        <f t="shared" si="152"/>
        <v>299.21520121860345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369.34989412920129</v>
      </c>
      <c r="T152" s="60">
        <f t="shared" si="142"/>
        <v>371.26234252426553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-1.8089849618263545E-13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370.79299728190904</v>
      </c>
      <c r="AO152" s="60">
        <f t="shared" si="144"/>
        <v>404.95703400805775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-1.6671037883497774E-13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344.63665697794022</v>
      </c>
      <c r="BJ152" s="60">
        <f t="shared" si="146"/>
        <v>376.72762011188041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3.5</v>
      </c>
      <c r="BY152" s="13">
        <f>IF('Données projet'!$A$114&gt;35,BY151+BX152-CG151,IF(A152&lt;'Données projet'!$A$114,$BV$205^A152,IF(A152='Données projet'!$A$114,'Données projet'!$B$114,BY151+BX152-CG151)))</f>
        <v>372.49999999999989</v>
      </c>
      <c r="BZ152" s="14">
        <f>BY152*VLOOKUP('Données projet'!$B$12,Paramètres!$A$1:$I$89,3,0)*VLOOKUP('Données projet'!$B$12,Paramètres!$A$1:$I$89,5,0)</f>
        <v>337.0379999999999</v>
      </c>
      <c r="CA152" s="14">
        <f t="shared" si="147"/>
        <v>78.887667174891362</v>
      </c>
      <c r="CB152" s="22">
        <f t="shared" si="118"/>
        <v>724.40387032960223</v>
      </c>
      <c r="CC152" s="60">
        <f t="shared" si="119"/>
        <v>1017.7372036629356</v>
      </c>
      <c r="CD152" s="60">
        <f ca="1">AVERAGE(OFFSET($CC$3,0,0,'Données projet'!$E$12+1,1))-AVERAGE(OFFSET($H$3,0,0,'Données projet'!$E$12+1,1))</f>
        <v>529.25712986118265</v>
      </c>
      <c r="CE152" s="60">
        <f t="shared" si="148"/>
        <v>278.21741231699929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3.5</v>
      </c>
      <c r="CT152" s="13">
        <f>IF('Données projet'!$A$140&gt;35,CT151+CS152-DB151,IF(A152&lt;'Données projet'!$A$140,$CQ$205^A152,IF(A152='Données projet'!$A$140,'Données projet'!$B$140,CT151+CS152-DB151)))</f>
        <v>372.49999999999989</v>
      </c>
      <c r="CU152" s="18">
        <f>CT152*VLOOKUP('Données projet'!$B$13,Paramètres!$A$1:$I$89,3,0)*VLOOKUP('Données projet'!$B$13,Paramètres!$A$1:$I$89,5,0)</f>
        <v>313.79399999999993</v>
      </c>
      <c r="CV152" s="14">
        <f t="shared" si="149"/>
        <v>74.060606554155882</v>
      </c>
      <c r="CW152" s="22">
        <f t="shared" si="121"/>
        <v>675.51343974848794</v>
      </c>
      <c r="CX152" s="60">
        <f t="shared" si="122"/>
        <v>968.84677308182131</v>
      </c>
      <c r="CY152" s="60">
        <f ca="1">AVERAGE(OFFSET($CX$3,0,0,'Données projet'!$E$13+1,1))-AVERAGE(OFFSET($H$3,0,0,'Données projet'!$E$13+1,1))</f>
        <v>495.77338291316386</v>
      </c>
      <c r="CZ152" s="60">
        <f t="shared" si="150"/>
        <v>261.95434270986397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2.2737367544323206E-13</v>
      </c>
      <c r="DP152" s="18">
        <f>DO152*VLOOKUP('Données projet'!$B$14,Paramètres!$A$1:$I$89,3,0)*VLOOKUP('Données projet'!$B$14,Paramètres!$A$1:$I$89,5,0)</f>
        <v>1.4897523215040565E-13</v>
      </c>
      <c r="DQ152" s="14">
        <f t="shared" si="151"/>
        <v>2.136562777003313E-12</v>
      </c>
      <c r="DR152" s="22">
        <f t="shared" si="124"/>
        <v>3.9806453659427267E-12</v>
      </c>
      <c r="DS152" s="60">
        <f t="shared" si="125"/>
        <v>293.33333333333729</v>
      </c>
      <c r="DT152" s="60">
        <f ca="1">AVERAGE(OFFSET($DS$3,0,0,'Données projet'!$E$14+1,1))-AVERAGE(OFFSET($H$3,0,0,'Données projet'!$E$14+1,1))</f>
        <v>275.11574966125522</v>
      </c>
      <c r="DU152" s="60">
        <f t="shared" si="152"/>
        <v>299.21520121860345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369.34989412920129</v>
      </c>
      <c r="T153" s="60">
        <f t="shared" si="142"/>
        <v>371.26234252426553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-1.8089849618263545E-13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370.79299728190904</v>
      </c>
      <c r="AO153" s="60">
        <f t="shared" si="144"/>
        <v>404.95703400805775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-1.6671037883497774E-13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344.63665697794022</v>
      </c>
      <c r="BJ153" s="60">
        <f t="shared" si="146"/>
        <v>376.72762011188041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376</v>
      </c>
      <c r="BW153" s="13">
        <f>VLOOKUP(A153,'Données projet'!$A$113:$I$133,9,0)</f>
        <v>3.5</v>
      </c>
      <c r="BX153" s="13">
        <f t="array" ref="BX153">INDEX(BW:BW,MIN(IF(ISNUMBER(BW153:BW349),ROW(BW153:BW349),"")))</f>
        <v>3.5</v>
      </c>
      <c r="BY153" s="13">
        <f>IF('Données projet'!$A$114&gt;35,BY152+BX153-CG152,IF(A153&lt;'Données projet'!$A$114,$BV$205^A153,IF(A153='Données projet'!$A$114,'Données projet'!$B$114,BY152+BX153-CG152)))</f>
        <v>375.99999999999989</v>
      </c>
      <c r="BZ153" s="14">
        <f>BY153*VLOOKUP('Données projet'!$B$12,Paramètres!$A$1:$I$89,3,0)*VLOOKUP('Données projet'!$B$12,Paramètres!$A$1:$I$89,5,0)</f>
        <v>340.20479999999992</v>
      </c>
      <c r="CA153" s="14">
        <f t="shared" si="147"/>
        <v>79.542257915424329</v>
      </c>
      <c r="CB153" s="22">
        <f t="shared" si="118"/>
        <v>731.05945920269721</v>
      </c>
      <c r="CC153" s="60">
        <f t="shared" si="119"/>
        <v>1024.3927925360306</v>
      </c>
      <c r="CD153" s="60">
        <f ca="1">AVERAGE(OFFSET($CC$3,0,0,'Données projet'!$E$12+1,1))-AVERAGE(OFFSET($H$3,0,0,'Données projet'!$E$12+1,1))</f>
        <v>529.25712986118265</v>
      </c>
      <c r="CE153" s="60">
        <f t="shared" si="148"/>
        <v>278.21741231699929</v>
      </c>
      <c r="CF153" s="16">
        <f>IF(ISNA(VLOOKUP(A153,'Données projet'!$A$113:$I$133,3,0)),0,VLOOKUP(A153,'Données projet'!$A$113:$I$133,3,0))</f>
        <v>10</v>
      </c>
      <c r="CG153" s="16">
        <f>IF(ISNA(VLOOKUP(A153,'Données projet'!$A$113:$I$133,4,0)),0,VLOOKUP(A153,'Données projet'!$A$113:$I$133,4,0))</f>
        <v>376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376</v>
      </c>
      <c r="CR153" s="13">
        <f>VLOOKUP(A153,'Données projet'!$A$139:$I$159,9,0)</f>
        <v>3.5</v>
      </c>
      <c r="CS153" s="13">
        <f t="array" ref="CS153">INDEX(CR:CR,MIN(IF(ISNUMBER(CR153:CR349),ROW(CR153:CR349),"")))</f>
        <v>3.5</v>
      </c>
      <c r="CT153" s="13">
        <f>IF('Données projet'!$A$140&gt;35,CT152+CS153-DB152,IF(A153&lt;'Données projet'!$A$140,$CQ$205^A153,IF(A153='Données projet'!$A$140,'Données projet'!$B$140,CT152+CS153-DB152)))</f>
        <v>375.99999999999989</v>
      </c>
      <c r="CU153" s="18">
        <f>CT153*VLOOKUP('Données projet'!$B$13,Paramètres!$A$1:$I$89,3,0)*VLOOKUP('Données projet'!$B$13,Paramètres!$A$1:$I$89,5,0)</f>
        <v>316.74239999999998</v>
      </c>
      <c r="CV153" s="14">
        <f t="shared" si="149"/>
        <v>74.675143515695481</v>
      </c>
      <c r="CW153" s="22">
        <f t="shared" si="121"/>
        <v>681.71888828983617</v>
      </c>
      <c r="CX153" s="60">
        <f t="shared" si="122"/>
        <v>975.05222162316954</v>
      </c>
      <c r="CY153" s="60">
        <f ca="1">AVERAGE(OFFSET($CX$3,0,0,'Données projet'!$E$13+1,1))-AVERAGE(OFFSET($H$3,0,0,'Données projet'!$E$13+1,1))</f>
        <v>495.77338291316386</v>
      </c>
      <c r="CZ153" s="60">
        <f t="shared" si="150"/>
        <v>261.95434270986397</v>
      </c>
      <c r="DA153" s="16">
        <f>IF(ISNA(VLOOKUP(A153,'Données projet'!$A$139:$I$159,3,0)),0,VLOOKUP(A153,'Données projet'!$A$139:$I$159,3,0))</f>
        <v>10</v>
      </c>
      <c r="DB153" s="16">
        <f>IF(ISNA(VLOOKUP(A153,'Données projet'!$A$139:$I$159,4,0)),0,VLOOKUP(A153,'Données projet'!$A$139:$I$159,4,0))</f>
        <v>376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2.2737367544323206E-13</v>
      </c>
      <c r="DP153" s="18">
        <f>DO153*VLOOKUP('Données projet'!$B$14,Paramètres!$A$1:$I$89,3,0)*VLOOKUP('Données projet'!$B$14,Paramètres!$A$1:$I$89,5,0)</f>
        <v>1.4897523215040565E-13</v>
      </c>
      <c r="DQ153" s="14">
        <f t="shared" si="151"/>
        <v>2.136562777003313E-12</v>
      </c>
      <c r="DR153" s="22">
        <f t="shared" si="124"/>
        <v>3.9806453659427267E-12</v>
      </c>
      <c r="DS153" s="60">
        <f t="shared" si="125"/>
        <v>293.33333333333729</v>
      </c>
      <c r="DT153" s="60">
        <f ca="1">AVERAGE(OFFSET($DS$3,0,0,'Données projet'!$E$14+1,1))-AVERAGE(OFFSET($H$3,0,0,'Données projet'!$E$14+1,1))</f>
        <v>275.11574966125522</v>
      </c>
      <c r="DU153" s="60">
        <f t="shared" si="152"/>
        <v>299.21520121860345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369.34989412920129</v>
      </c>
      <c r="T154" s="60">
        <f t="shared" si="142"/>
        <v>371.26234252426553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-1.8089849618263545E-13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370.79299728190904</v>
      </c>
      <c r="AO154" s="60">
        <f t="shared" si="144"/>
        <v>404.95703400805775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-1.6671037883497774E-13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344.63665697794022</v>
      </c>
      <c r="BJ154" s="60">
        <f t="shared" si="146"/>
        <v>376.72762011188041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-1.0286385077051818E-13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529.25712986118265</v>
      </c>
      <c r="CE154" s="60">
        <f t="shared" si="148"/>
        <v>278.21741231699929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-9.5769792096689348E-14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495.77338291316386</v>
      </c>
      <c r="CZ154" s="60">
        <f t="shared" si="150"/>
        <v>261.95434270986397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2.2737367544323206E-13</v>
      </c>
      <c r="DP154" s="18">
        <f>DO154*VLOOKUP('Données projet'!$B$14,Paramètres!$A$1:$I$89,3,0)*VLOOKUP('Données projet'!$B$14,Paramètres!$A$1:$I$89,5,0)</f>
        <v>1.4897523215040565E-13</v>
      </c>
      <c r="DQ154" s="14">
        <f t="shared" ref="DQ154:DQ203" si="176">EXP(-1.0587+0.8836*LN(DP154)+0.284)</f>
        <v>2.136562777003313E-12</v>
      </c>
      <c r="DR154" s="22">
        <f t="shared" ref="DR154:DR203" si="177">(DP154+DQ154)*0.475*44/12</f>
        <v>3.9806453659427267E-12</v>
      </c>
      <c r="DS154" s="60">
        <f t="shared" si="125"/>
        <v>293.33333333333729</v>
      </c>
      <c r="DT154" s="60">
        <f ca="1">AVERAGE(OFFSET($DS$3,0,0,'Données projet'!$E$14+1,1))-AVERAGE(OFFSET($H$3,0,0,'Données projet'!$E$14+1,1))</f>
        <v>275.11574966125522</v>
      </c>
      <c r="DU154" s="60">
        <f t="shared" si="152"/>
        <v>299.21520121860345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369.34989412920129</v>
      </c>
      <c r="T155" s="60">
        <f t="shared" si="142"/>
        <v>371.26234252426553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-1.8089849618263545E-13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370.79299728190904</v>
      </c>
      <c r="AO155" s="60">
        <f t="shared" si="144"/>
        <v>404.95703400805775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-1.6671037883497774E-13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344.63665697794022</v>
      </c>
      <c r="BJ155" s="60">
        <f t="shared" si="146"/>
        <v>376.72762011188041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-1.0286385077051818E-13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529.25712986118265</v>
      </c>
      <c r="CE155" s="60">
        <f t="shared" si="148"/>
        <v>278.21741231699929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-9.5769792096689348E-14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495.77338291316386</v>
      </c>
      <c r="CZ155" s="60">
        <f t="shared" si="150"/>
        <v>261.95434270986397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2.2737367544323206E-13</v>
      </c>
      <c r="DP155" s="18">
        <f>DO155*VLOOKUP('Données projet'!$B$14,Paramètres!$A$1:$I$89,3,0)*VLOOKUP('Données projet'!$B$14,Paramètres!$A$1:$I$89,5,0)</f>
        <v>1.4897523215040565E-13</v>
      </c>
      <c r="DQ155" s="14">
        <f t="shared" si="176"/>
        <v>2.136562777003313E-12</v>
      </c>
      <c r="DR155" s="22">
        <f t="shared" si="177"/>
        <v>3.9806453659427267E-12</v>
      </c>
      <c r="DS155" s="60">
        <f t="shared" si="125"/>
        <v>293.33333333333729</v>
      </c>
      <c r="DT155" s="60">
        <f ca="1">AVERAGE(OFFSET($DS$3,0,0,'Données projet'!$E$14+1,1))-AVERAGE(OFFSET($H$3,0,0,'Données projet'!$E$14+1,1))</f>
        <v>275.11574966125522</v>
      </c>
      <c r="DU155" s="60">
        <f t="shared" si="152"/>
        <v>299.21520121860345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369.34989412920129</v>
      </c>
      <c r="T156" s="60">
        <f t="shared" si="142"/>
        <v>371.26234252426553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-1.8089849618263545E-13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370.79299728190904</v>
      </c>
      <c r="AO156" s="60">
        <f t="shared" si="144"/>
        <v>404.95703400805775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-1.6671037883497774E-13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344.63665697794022</v>
      </c>
      <c r="BJ156" s="60">
        <f t="shared" si="146"/>
        <v>376.72762011188041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-1.0286385077051818E-13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529.25712986118265</v>
      </c>
      <c r="CE156" s="60">
        <f t="shared" si="148"/>
        <v>278.21741231699929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-9.5769792096689348E-14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495.77338291316386</v>
      </c>
      <c r="CZ156" s="60">
        <f t="shared" si="150"/>
        <v>261.95434270986397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2.2737367544323206E-13</v>
      </c>
      <c r="DP156" s="18">
        <f>DO156*VLOOKUP('Données projet'!$B$14,Paramètres!$A$1:$I$89,3,0)*VLOOKUP('Données projet'!$B$14,Paramètres!$A$1:$I$89,5,0)</f>
        <v>1.4897523215040565E-13</v>
      </c>
      <c r="DQ156" s="14">
        <f t="shared" si="176"/>
        <v>2.136562777003313E-12</v>
      </c>
      <c r="DR156" s="22">
        <f t="shared" si="177"/>
        <v>3.9806453659427267E-12</v>
      </c>
      <c r="DS156" s="60">
        <f t="shared" si="125"/>
        <v>293.33333333333729</v>
      </c>
      <c r="DT156" s="60">
        <f ca="1">AVERAGE(OFFSET($DS$3,0,0,'Données projet'!$E$14+1,1))-AVERAGE(OFFSET($H$3,0,0,'Données projet'!$E$14+1,1))</f>
        <v>275.11574966125522</v>
      </c>
      <c r="DU156" s="60">
        <f t="shared" si="152"/>
        <v>299.21520121860345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369.34989412920129</v>
      </c>
      <c r="T157" s="60">
        <f t="shared" si="142"/>
        <v>371.26234252426553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-1.8089849618263545E-13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370.79299728190904</v>
      </c>
      <c r="AO157" s="60">
        <f t="shared" si="144"/>
        <v>404.95703400805775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-1.6671037883497774E-13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344.63665697794022</v>
      </c>
      <c r="BJ157" s="60">
        <f t="shared" si="146"/>
        <v>376.72762011188041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-1.0286385077051818E-13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529.25712986118265</v>
      </c>
      <c r="CE157" s="60">
        <f t="shared" si="148"/>
        <v>278.21741231699929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-9.5769792096689348E-14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495.77338291316386</v>
      </c>
      <c r="CZ157" s="60">
        <f t="shared" si="150"/>
        <v>261.95434270986397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2.2737367544323206E-13</v>
      </c>
      <c r="DP157" s="18">
        <f>DO157*VLOOKUP('Données projet'!$B$14,Paramètres!$A$1:$I$89,3,0)*VLOOKUP('Données projet'!$B$14,Paramètres!$A$1:$I$89,5,0)</f>
        <v>1.4897523215040565E-13</v>
      </c>
      <c r="DQ157" s="14">
        <f t="shared" si="176"/>
        <v>2.136562777003313E-12</v>
      </c>
      <c r="DR157" s="22">
        <f t="shared" si="177"/>
        <v>3.9806453659427267E-12</v>
      </c>
      <c r="DS157" s="60">
        <f t="shared" si="125"/>
        <v>293.33333333333729</v>
      </c>
      <c r="DT157" s="60">
        <f ca="1">AVERAGE(OFFSET($DS$3,0,0,'Données projet'!$E$14+1,1))-AVERAGE(OFFSET($H$3,0,0,'Données projet'!$E$14+1,1))</f>
        <v>275.11574966125522</v>
      </c>
      <c r="DU157" s="60">
        <f t="shared" si="152"/>
        <v>299.21520121860345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369.34989412920129</v>
      </c>
      <c r="T158" s="60">
        <f t="shared" si="142"/>
        <v>371.26234252426553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-1.8089849618263545E-13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370.79299728190904</v>
      </c>
      <c r="AO158" s="60">
        <f t="shared" si="144"/>
        <v>404.95703400805775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-1.6671037883497774E-13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344.63665697794022</v>
      </c>
      <c r="BJ158" s="60">
        <f t="shared" si="146"/>
        <v>376.72762011188041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-1.0286385077051818E-13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529.25712986118265</v>
      </c>
      <c r="CE158" s="60">
        <f t="shared" si="148"/>
        <v>278.21741231699929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-9.5769792096689348E-14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495.77338291316386</v>
      </c>
      <c r="CZ158" s="60">
        <f t="shared" si="150"/>
        <v>261.95434270986397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2.2737367544323206E-13</v>
      </c>
      <c r="DP158" s="18">
        <f>DO158*VLOOKUP('Données projet'!$B$14,Paramètres!$A$1:$I$89,3,0)*VLOOKUP('Données projet'!$B$14,Paramètres!$A$1:$I$89,5,0)</f>
        <v>1.4897523215040565E-13</v>
      </c>
      <c r="DQ158" s="14">
        <f t="shared" si="176"/>
        <v>2.136562777003313E-12</v>
      </c>
      <c r="DR158" s="22">
        <f t="shared" si="177"/>
        <v>3.9806453659427267E-12</v>
      </c>
      <c r="DS158" s="60">
        <f t="shared" si="125"/>
        <v>293.33333333333729</v>
      </c>
      <c r="DT158" s="60">
        <f ca="1">AVERAGE(OFFSET($DS$3,0,0,'Données projet'!$E$14+1,1))-AVERAGE(OFFSET($H$3,0,0,'Données projet'!$E$14+1,1))</f>
        <v>275.11574966125522</v>
      </c>
      <c r="DU158" s="60">
        <f t="shared" si="152"/>
        <v>299.21520121860345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369.34989412920129</v>
      </c>
      <c r="T159" s="60">
        <f t="shared" si="142"/>
        <v>371.26234252426553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-1.8089849618263545E-13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370.79299728190904</v>
      </c>
      <c r="AO159" s="60">
        <f t="shared" si="144"/>
        <v>404.95703400805775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-1.6671037883497774E-13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344.63665697794022</v>
      </c>
      <c r="BJ159" s="60">
        <f t="shared" si="146"/>
        <v>376.72762011188041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-1.0286385077051818E-13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529.25712986118265</v>
      </c>
      <c r="CE159" s="60">
        <f t="shared" si="148"/>
        <v>278.21741231699929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-9.5769792096689348E-14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495.77338291316386</v>
      </c>
      <c r="CZ159" s="60">
        <f t="shared" si="150"/>
        <v>261.95434270986397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2.2737367544323206E-13</v>
      </c>
      <c r="DP159" s="18">
        <f>DO159*VLOOKUP('Données projet'!$B$14,Paramètres!$A$1:$I$89,3,0)*VLOOKUP('Données projet'!$B$14,Paramètres!$A$1:$I$89,5,0)</f>
        <v>1.4897523215040565E-13</v>
      </c>
      <c r="DQ159" s="14">
        <f t="shared" si="176"/>
        <v>2.136562777003313E-12</v>
      </c>
      <c r="DR159" s="22">
        <f t="shared" si="177"/>
        <v>3.9806453659427267E-12</v>
      </c>
      <c r="DS159" s="60">
        <f t="shared" si="125"/>
        <v>293.33333333333729</v>
      </c>
      <c r="DT159" s="60">
        <f ca="1">AVERAGE(OFFSET($DS$3,0,0,'Données projet'!$E$14+1,1))-AVERAGE(OFFSET($H$3,0,0,'Données projet'!$E$14+1,1))</f>
        <v>275.11574966125522</v>
      </c>
      <c r="DU159" s="60">
        <f t="shared" si="152"/>
        <v>299.21520121860345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369.34989412920129</v>
      </c>
      <c r="T160" s="60">
        <f t="shared" si="142"/>
        <v>371.26234252426553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-1.8089849618263545E-13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370.79299728190904</v>
      </c>
      <c r="AO160" s="60">
        <f t="shared" si="144"/>
        <v>404.95703400805775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-1.6671037883497774E-13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344.63665697794022</v>
      </c>
      <c r="BJ160" s="60">
        <f t="shared" si="146"/>
        <v>376.72762011188041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-1.0286385077051818E-13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529.25712986118265</v>
      </c>
      <c r="CE160" s="60">
        <f t="shared" si="148"/>
        <v>278.21741231699929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-9.5769792096689348E-14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495.77338291316386</v>
      </c>
      <c r="CZ160" s="60">
        <f t="shared" si="150"/>
        <v>261.95434270986397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2.2737367544323206E-13</v>
      </c>
      <c r="DP160" s="18">
        <f>DO160*VLOOKUP('Données projet'!$B$14,Paramètres!$A$1:$I$89,3,0)*VLOOKUP('Données projet'!$B$14,Paramètres!$A$1:$I$89,5,0)</f>
        <v>1.4897523215040565E-13</v>
      </c>
      <c r="DQ160" s="14">
        <f t="shared" si="176"/>
        <v>2.136562777003313E-12</v>
      </c>
      <c r="DR160" s="22">
        <f t="shared" si="177"/>
        <v>3.9806453659427267E-12</v>
      </c>
      <c r="DS160" s="60">
        <f t="shared" si="125"/>
        <v>293.33333333333729</v>
      </c>
      <c r="DT160" s="60">
        <f ca="1">AVERAGE(OFFSET($DS$3,0,0,'Données projet'!$E$14+1,1))-AVERAGE(OFFSET($H$3,0,0,'Données projet'!$E$14+1,1))</f>
        <v>275.11574966125522</v>
      </c>
      <c r="DU160" s="60">
        <f t="shared" si="152"/>
        <v>299.21520121860345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369.34989412920129</v>
      </c>
      <c r="T161" s="60">
        <f t="shared" si="142"/>
        <v>371.26234252426553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-1.8089849618263545E-13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370.79299728190904</v>
      </c>
      <c r="AO161" s="60">
        <f t="shared" si="144"/>
        <v>404.95703400805775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-1.6671037883497774E-13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344.63665697794022</v>
      </c>
      <c r="BJ161" s="60">
        <f t="shared" si="146"/>
        <v>376.72762011188041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-1.0286385077051818E-13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529.25712986118265</v>
      </c>
      <c r="CE161" s="60">
        <f t="shared" si="148"/>
        <v>278.21741231699929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-9.5769792096689348E-14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495.77338291316386</v>
      </c>
      <c r="CZ161" s="60">
        <f t="shared" si="150"/>
        <v>261.95434270986397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2.2737367544323206E-13</v>
      </c>
      <c r="DP161" s="18">
        <f>DO161*VLOOKUP('Données projet'!$B$14,Paramètres!$A$1:$I$89,3,0)*VLOOKUP('Données projet'!$B$14,Paramètres!$A$1:$I$89,5,0)</f>
        <v>1.4897523215040565E-13</v>
      </c>
      <c r="DQ161" s="14">
        <f t="shared" si="176"/>
        <v>2.136562777003313E-12</v>
      </c>
      <c r="DR161" s="22">
        <f t="shared" si="177"/>
        <v>3.9806453659427267E-12</v>
      </c>
      <c r="DS161" s="60">
        <f t="shared" si="125"/>
        <v>293.33333333333729</v>
      </c>
      <c r="DT161" s="60">
        <f ca="1">AVERAGE(OFFSET($DS$3,0,0,'Données projet'!$E$14+1,1))-AVERAGE(OFFSET($H$3,0,0,'Données projet'!$E$14+1,1))</f>
        <v>275.11574966125522</v>
      </c>
      <c r="DU161" s="60">
        <f t="shared" si="152"/>
        <v>299.21520121860345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369.34989412920129</v>
      </c>
      <c r="T162" s="60">
        <f t="shared" si="142"/>
        <v>371.26234252426553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-1.8089849618263545E-13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370.79299728190904</v>
      </c>
      <c r="AO162" s="60">
        <f t="shared" si="144"/>
        <v>404.95703400805775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-1.6671037883497774E-13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344.63665697794022</v>
      </c>
      <c r="BJ162" s="60">
        <f t="shared" si="146"/>
        <v>376.72762011188041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-1.0286385077051818E-13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529.25712986118265</v>
      </c>
      <c r="CE162" s="60">
        <f t="shared" si="148"/>
        <v>278.21741231699929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-9.5769792096689348E-14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495.77338291316386</v>
      </c>
      <c r="CZ162" s="60">
        <f t="shared" si="150"/>
        <v>261.95434270986397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2.2737367544323206E-13</v>
      </c>
      <c r="DP162" s="18">
        <f>DO162*VLOOKUP('Données projet'!$B$14,Paramètres!$A$1:$I$89,3,0)*VLOOKUP('Données projet'!$B$14,Paramètres!$A$1:$I$89,5,0)</f>
        <v>1.4897523215040565E-13</v>
      </c>
      <c r="DQ162" s="14">
        <f t="shared" si="176"/>
        <v>2.136562777003313E-12</v>
      </c>
      <c r="DR162" s="22">
        <f t="shared" si="177"/>
        <v>3.9806453659427267E-12</v>
      </c>
      <c r="DS162" s="60">
        <f t="shared" si="125"/>
        <v>293.33333333333729</v>
      </c>
      <c r="DT162" s="60">
        <f ca="1">AVERAGE(OFFSET($DS$3,0,0,'Données projet'!$E$14+1,1))-AVERAGE(OFFSET($H$3,0,0,'Données projet'!$E$14+1,1))</f>
        <v>275.11574966125522</v>
      </c>
      <c r="DU162" s="60">
        <f t="shared" si="152"/>
        <v>299.21520121860345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369.34989412920129</v>
      </c>
      <c r="T163" s="60">
        <f t="shared" si="142"/>
        <v>371.26234252426553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-1.8089849618263545E-13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370.79299728190904</v>
      </c>
      <c r="AO163" s="60">
        <f t="shared" si="144"/>
        <v>404.95703400805775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-1.6671037883497774E-13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344.63665697794022</v>
      </c>
      <c r="BJ163" s="60">
        <f t="shared" si="146"/>
        <v>376.72762011188041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-1.0286385077051818E-13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529.25712986118265</v>
      </c>
      <c r="CE163" s="60">
        <f t="shared" si="148"/>
        <v>278.21741231699929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-9.5769792096689348E-14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495.77338291316386</v>
      </c>
      <c r="CZ163" s="60">
        <f t="shared" si="150"/>
        <v>261.95434270986397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2.2737367544323206E-13</v>
      </c>
      <c r="DP163" s="18">
        <f>DO163*VLOOKUP('Données projet'!$B$14,Paramètres!$A$1:$I$89,3,0)*VLOOKUP('Données projet'!$B$14,Paramètres!$A$1:$I$89,5,0)</f>
        <v>1.4897523215040565E-13</v>
      </c>
      <c r="DQ163" s="14">
        <f t="shared" si="176"/>
        <v>2.136562777003313E-12</v>
      </c>
      <c r="DR163" s="22">
        <f t="shared" si="177"/>
        <v>3.9806453659427267E-12</v>
      </c>
      <c r="DS163" s="60">
        <f t="shared" si="125"/>
        <v>293.33333333333729</v>
      </c>
      <c r="DT163" s="60">
        <f ca="1">AVERAGE(OFFSET($DS$3,0,0,'Données projet'!$E$14+1,1))-AVERAGE(OFFSET($H$3,0,0,'Données projet'!$E$14+1,1))</f>
        <v>275.11574966125522</v>
      </c>
      <c r="DU163" s="60">
        <f t="shared" si="152"/>
        <v>299.21520121860345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369.34989412920129</v>
      </c>
      <c r="T164" s="60">
        <f t="shared" si="142"/>
        <v>371.26234252426553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-1.8089849618263545E-13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370.79299728190904</v>
      </c>
      <c r="AO164" s="60">
        <f t="shared" si="144"/>
        <v>404.95703400805775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-1.6671037883497774E-13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344.63665697794022</v>
      </c>
      <c r="BJ164" s="60">
        <f t="shared" si="146"/>
        <v>376.72762011188041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-1.0286385077051818E-13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529.25712986118265</v>
      </c>
      <c r="CE164" s="60">
        <f t="shared" si="148"/>
        <v>278.21741231699929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-9.5769792096689348E-14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495.77338291316386</v>
      </c>
      <c r="CZ164" s="60">
        <f t="shared" si="150"/>
        <v>261.95434270986397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2.2737367544323206E-13</v>
      </c>
      <c r="DP164" s="18">
        <f>DO164*VLOOKUP('Données projet'!$B$14,Paramètres!$A$1:$I$89,3,0)*VLOOKUP('Données projet'!$B$14,Paramètres!$A$1:$I$89,5,0)</f>
        <v>1.4897523215040565E-13</v>
      </c>
      <c r="DQ164" s="14">
        <f t="shared" si="176"/>
        <v>2.136562777003313E-12</v>
      </c>
      <c r="DR164" s="22">
        <f t="shared" si="177"/>
        <v>3.9806453659427267E-12</v>
      </c>
      <c r="DS164" s="60">
        <f t="shared" si="125"/>
        <v>293.33333333333729</v>
      </c>
      <c r="DT164" s="60">
        <f ca="1">AVERAGE(OFFSET($DS$3,0,0,'Données projet'!$E$14+1,1))-AVERAGE(OFFSET($H$3,0,0,'Données projet'!$E$14+1,1))</f>
        <v>275.11574966125522</v>
      </c>
      <c r="DU164" s="60">
        <f t="shared" si="152"/>
        <v>299.21520121860345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369.34989412920129</v>
      </c>
      <c r="T165" s="60">
        <f t="shared" si="142"/>
        <v>371.26234252426553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-1.8089849618263545E-13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370.79299728190904</v>
      </c>
      <c r="AO165" s="60">
        <f t="shared" si="144"/>
        <v>404.95703400805775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-1.6671037883497774E-13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344.63665697794022</v>
      </c>
      <c r="BJ165" s="60">
        <f t="shared" si="146"/>
        <v>376.72762011188041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-1.0286385077051818E-13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529.25712986118265</v>
      </c>
      <c r="CE165" s="60">
        <f t="shared" si="148"/>
        <v>278.21741231699929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-9.5769792096689348E-14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495.77338291316386</v>
      </c>
      <c r="CZ165" s="60">
        <f t="shared" si="150"/>
        <v>261.95434270986397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2.2737367544323206E-13</v>
      </c>
      <c r="DP165" s="18">
        <f>DO165*VLOOKUP('Données projet'!$B$14,Paramètres!$A$1:$I$89,3,0)*VLOOKUP('Données projet'!$B$14,Paramètres!$A$1:$I$89,5,0)</f>
        <v>1.4897523215040565E-13</v>
      </c>
      <c r="DQ165" s="14">
        <f t="shared" si="176"/>
        <v>2.136562777003313E-12</v>
      </c>
      <c r="DR165" s="22">
        <f t="shared" si="177"/>
        <v>3.9806453659427267E-12</v>
      </c>
      <c r="DS165" s="60">
        <f t="shared" si="125"/>
        <v>293.33333333333729</v>
      </c>
      <c r="DT165" s="60">
        <f ca="1">AVERAGE(OFFSET($DS$3,0,0,'Données projet'!$E$14+1,1))-AVERAGE(OFFSET($H$3,0,0,'Données projet'!$E$14+1,1))</f>
        <v>275.11574966125522</v>
      </c>
      <c r="DU165" s="60">
        <f t="shared" si="152"/>
        <v>299.21520121860345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369.34989412920129</v>
      </c>
      <c r="T166" s="60">
        <f t="shared" si="142"/>
        <v>371.26234252426553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-1.8089849618263545E-13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370.79299728190904</v>
      </c>
      <c r="AO166" s="60">
        <f t="shared" si="144"/>
        <v>404.95703400805775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-1.6671037883497774E-13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344.63665697794022</v>
      </c>
      <c r="BJ166" s="60">
        <f t="shared" si="146"/>
        <v>376.72762011188041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-1.0286385077051818E-13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529.25712986118265</v>
      </c>
      <c r="CE166" s="60">
        <f t="shared" si="148"/>
        <v>278.21741231699929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-9.5769792096689348E-14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495.77338291316386</v>
      </c>
      <c r="CZ166" s="60">
        <f t="shared" si="150"/>
        <v>261.95434270986397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2.2737367544323206E-13</v>
      </c>
      <c r="DP166" s="18">
        <f>DO166*VLOOKUP('Données projet'!$B$14,Paramètres!$A$1:$I$89,3,0)*VLOOKUP('Données projet'!$B$14,Paramètres!$A$1:$I$89,5,0)</f>
        <v>1.4897523215040565E-13</v>
      </c>
      <c r="DQ166" s="14">
        <f t="shared" si="176"/>
        <v>2.136562777003313E-12</v>
      </c>
      <c r="DR166" s="22">
        <f t="shared" si="177"/>
        <v>3.9806453659427267E-12</v>
      </c>
      <c r="DS166" s="60">
        <f t="shared" si="125"/>
        <v>293.33333333333729</v>
      </c>
      <c r="DT166" s="60">
        <f ca="1">AVERAGE(OFFSET($DS$3,0,0,'Données projet'!$E$14+1,1))-AVERAGE(OFFSET($H$3,0,0,'Données projet'!$E$14+1,1))</f>
        <v>275.11574966125522</v>
      </c>
      <c r="DU166" s="60">
        <f t="shared" si="152"/>
        <v>299.21520121860345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369.34989412920129</v>
      </c>
      <c r="T167" s="60">
        <f t="shared" si="142"/>
        <v>371.26234252426553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-1.8089849618263545E-13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370.79299728190904</v>
      </c>
      <c r="AO167" s="60">
        <f t="shared" si="144"/>
        <v>404.95703400805775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-1.6671037883497774E-13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344.63665697794022</v>
      </c>
      <c r="BJ167" s="60">
        <f t="shared" si="146"/>
        <v>376.72762011188041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-1.0286385077051818E-13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529.25712986118265</v>
      </c>
      <c r="CE167" s="60">
        <f t="shared" si="148"/>
        <v>278.21741231699929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-9.5769792096689348E-14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495.77338291316386</v>
      </c>
      <c r="CZ167" s="60">
        <f t="shared" si="150"/>
        <v>261.95434270986397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2.2737367544323206E-13</v>
      </c>
      <c r="DP167" s="18">
        <f>DO167*VLOOKUP('Données projet'!$B$14,Paramètres!$A$1:$I$89,3,0)*VLOOKUP('Données projet'!$B$14,Paramètres!$A$1:$I$89,5,0)</f>
        <v>1.4897523215040565E-13</v>
      </c>
      <c r="DQ167" s="14">
        <f t="shared" si="176"/>
        <v>2.136562777003313E-12</v>
      </c>
      <c r="DR167" s="22">
        <f t="shared" si="177"/>
        <v>3.9806453659427267E-12</v>
      </c>
      <c r="DS167" s="60">
        <f t="shared" si="125"/>
        <v>293.33333333333729</v>
      </c>
      <c r="DT167" s="60">
        <f ca="1">AVERAGE(OFFSET($DS$3,0,0,'Données projet'!$E$14+1,1))-AVERAGE(OFFSET($H$3,0,0,'Données projet'!$E$14+1,1))</f>
        <v>275.11574966125522</v>
      </c>
      <c r="DU167" s="60">
        <f t="shared" si="152"/>
        <v>299.21520121860345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369.34989412920129</v>
      </c>
      <c r="T168" s="60">
        <f t="shared" si="142"/>
        <v>371.26234252426553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-1.8089849618263545E-13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370.79299728190904</v>
      </c>
      <c r="AO168" s="60">
        <f t="shared" si="144"/>
        <v>404.95703400805775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-1.6671037883497774E-13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344.63665697794022</v>
      </c>
      <c r="BJ168" s="60">
        <f t="shared" si="146"/>
        <v>376.72762011188041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-1.0286385077051818E-13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529.25712986118265</v>
      </c>
      <c r="CE168" s="60">
        <f t="shared" si="148"/>
        <v>278.21741231699929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-9.5769792096689348E-14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495.77338291316386</v>
      </c>
      <c r="CZ168" s="60">
        <f t="shared" si="150"/>
        <v>261.95434270986397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2.2737367544323206E-13</v>
      </c>
      <c r="DP168" s="18">
        <f>DO168*VLOOKUP('Données projet'!$B$14,Paramètres!$A$1:$I$89,3,0)*VLOOKUP('Données projet'!$B$14,Paramètres!$A$1:$I$89,5,0)</f>
        <v>1.4897523215040565E-13</v>
      </c>
      <c r="DQ168" s="14">
        <f t="shared" si="176"/>
        <v>2.136562777003313E-12</v>
      </c>
      <c r="DR168" s="22">
        <f t="shared" si="177"/>
        <v>3.9806453659427267E-12</v>
      </c>
      <c r="DS168" s="60">
        <f t="shared" si="125"/>
        <v>293.33333333333729</v>
      </c>
      <c r="DT168" s="60">
        <f ca="1">AVERAGE(OFFSET($DS$3,0,0,'Données projet'!$E$14+1,1))-AVERAGE(OFFSET($H$3,0,0,'Données projet'!$E$14+1,1))</f>
        <v>275.11574966125522</v>
      </c>
      <c r="DU168" s="60">
        <f t="shared" si="152"/>
        <v>299.21520121860345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369.34989412920129</v>
      </c>
      <c r="T169" s="60">
        <f t="shared" si="142"/>
        <v>371.26234252426553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-1.8089849618263545E-13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370.79299728190904</v>
      </c>
      <c r="AO169" s="60">
        <f t="shared" si="144"/>
        <v>404.95703400805775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-1.6671037883497774E-13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344.63665697794022</v>
      </c>
      <c r="BJ169" s="60">
        <f t="shared" si="146"/>
        <v>376.72762011188041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-1.0286385077051818E-13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529.25712986118265</v>
      </c>
      <c r="CE169" s="60">
        <f t="shared" si="148"/>
        <v>278.21741231699929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-9.5769792096689348E-14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495.77338291316386</v>
      </c>
      <c r="CZ169" s="60">
        <f t="shared" si="150"/>
        <v>261.95434270986397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2.2737367544323206E-13</v>
      </c>
      <c r="DP169" s="18">
        <f>DO169*VLOOKUP('Données projet'!$B$14,Paramètres!$A$1:$I$89,3,0)*VLOOKUP('Données projet'!$B$14,Paramètres!$A$1:$I$89,5,0)</f>
        <v>1.4897523215040565E-13</v>
      </c>
      <c r="DQ169" s="14">
        <f t="shared" si="176"/>
        <v>2.136562777003313E-12</v>
      </c>
      <c r="DR169" s="22">
        <f t="shared" si="177"/>
        <v>3.9806453659427267E-12</v>
      </c>
      <c r="DS169" s="60">
        <f t="shared" si="125"/>
        <v>293.33333333333729</v>
      </c>
      <c r="DT169" s="60">
        <f ca="1">AVERAGE(OFFSET($DS$3,0,0,'Données projet'!$E$14+1,1))-AVERAGE(OFFSET($H$3,0,0,'Données projet'!$E$14+1,1))</f>
        <v>275.11574966125522</v>
      </c>
      <c r="DU169" s="60">
        <f t="shared" si="152"/>
        <v>299.21520121860345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369.34989412920129</v>
      </c>
      <c r="T170" s="60">
        <f t="shared" si="142"/>
        <v>371.26234252426553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-1.8089849618263545E-13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370.79299728190904</v>
      </c>
      <c r="AO170" s="60">
        <f t="shared" si="144"/>
        <v>404.95703400805775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-1.6671037883497774E-13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344.63665697794022</v>
      </c>
      <c r="BJ170" s="60">
        <f t="shared" si="146"/>
        <v>376.72762011188041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-1.0286385077051818E-13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529.25712986118265</v>
      </c>
      <c r="CE170" s="60">
        <f t="shared" si="148"/>
        <v>278.21741231699929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-9.5769792096689348E-14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495.77338291316386</v>
      </c>
      <c r="CZ170" s="60">
        <f t="shared" si="150"/>
        <v>261.95434270986397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2.2737367544323206E-13</v>
      </c>
      <c r="DP170" s="18">
        <f>DO170*VLOOKUP('Données projet'!$B$14,Paramètres!$A$1:$I$89,3,0)*VLOOKUP('Données projet'!$B$14,Paramètres!$A$1:$I$89,5,0)</f>
        <v>1.4897523215040565E-13</v>
      </c>
      <c r="DQ170" s="14">
        <f t="shared" si="176"/>
        <v>2.136562777003313E-12</v>
      </c>
      <c r="DR170" s="22">
        <f t="shared" si="177"/>
        <v>3.9806453659427267E-12</v>
      </c>
      <c r="DS170" s="60">
        <f t="shared" si="125"/>
        <v>293.33333333333729</v>
      </c>
      <c r="DT170" s="60">
        <f ca="1">AVERAGE(OFFSET($DS$3,0,0,'Données projet'!$E$14+1,1))-AVERAGE(OFFSET($H$3,0,0,'Données projet'!$E$14+1,1))</f>
        <v>275.11574966125522</v>
      </c>
      <c r="DU170" s="60">
        <f t="shared" si="152"/>
        <v>299.21520121860345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369.34989412920129</v>
      </c>
      <c r="T171" s="60">
        <f t="shared" si="142"/>
        <v>371.26234252426553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-1.8089849618263545E-13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370.79299728190904</v>
      </c>
      <c r="AO171" s="60">
        <f t="shared" si="144"/>
        <v>404.95703400805775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-1.6671037883497774E-13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344.63665697794022</v>
      </c>
      <c r="BJ171" s="60">
        <f t="shared" si="146"/>
        <v>376.72762011188041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-1.0286385077051818E-13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529.25712986118265</v>
      </c>
      <c r="CE171" s="60">
        <f t="shared" si="148"/>
        <v>278.21741231699929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-9.5769792096689348E-14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495.77338291316386</v>
      </c>
      <c r="CZ171" s="60">
        <f t="shared" si="150"/>
        <v>261.95434270986397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2.2737367544323206E-13</v>
      </c>
      <c r="DP171" s="18">
        <f>DO171*VLOOKUP('Données projet'!$B$14,Paramètres!$A$1:$I$89,3,0)*VLOOKUP('Données projet'!$B$14,Paramètres!$A$1:$I$89,5,0)</f>
        <v>1.4897523215040565E-13</v>
      </c>
      <c r="DQ171" s="14">
        <f t="shared" si="176"/>
        <v>2.136562777003313E-12</v>
      </c>
      <c r="DR171" s="22">
        <f t="shared" si="177"/>
        <v>3.9806453659427267E-12</v>
      </c>
      <c r="DS171" s="60">
        <f t="shared" si="125"/>
        <v>293.33333333333729</v>
      </c>
      <c r="DT171" s="60">
        <f ca="1">AVERAGE(OFFSET($DS$3,0,0,'Données projet'!$E$14+1,1))-AVERAGE(OFFSET($H$3,0,0,'Données projet'!$E$14+1,1))</f>
        <v>275.11574966125522</v>
      </c>
      <c r="DU171" s="60">
        <f t="shared" si="152"/>
        <v>299.21520121860345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369.34989412920129</v>
      </c>
      <c r="T172" s="60">
        <f t="shared" si="142"/>
        <v>371.26234252426553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-1.8089849618263545E-13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370.79299728190904</v>
      </c>
      <c r="AO172" s="60">
        <f t="shared" si="144"/>
        <v>404.95703400805775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-1.6671037883497774E-13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344.63665697794022</v>
      </c>
      <c r="BJ172" s="60">
        <f t="shared" si="146"/>
        <v>376.72762011188041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-1.0286385077051818E-13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529.25712986118265</v>
      </c>
      <c r="CE172" s="60">
        <f t="shared" si="148"/>
        <v>278.21741231699929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-9.5769792096689348E-14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495.77338291316386</v>
      </c>
      <c r="CZ172" s="60">
        <f t="shared" si="150"/>
        <v>261.95434270986397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2.2737367544323206E-13</v>
      </c>
      <c r="DP172" s="18">
        <f>DO172*VLOOKUP('Données projet'!$B$14,Paramètres!$A$1:$I$89,3,0)*VLOOKUP('Données projet'!$B$14,Paramètres!$A$1:$I$89,5,0)</f>
        <v>1.4897523215040565E-13</v>
      </c>
      <c r="DQ172" s="14">
        <f t="shared" si="176"/>
        <v>2.136562777003313E-12</v>
      </c>
      <c r="DR172" s="22">
        <f t="shared" si="177"/>
        <v>3.9806453659427267E-12</v>
      </c>
      <c r="DS172" s="60">
        <f t="shared" si="125"/>
        <v>293.33333333333729</v>
      </c>
      <c r="DT172" s="60">
        <f ca="1">AVERAGE(OFFSET($DS$3,0,0,'Données projet'!$E$14+1,1))-AVERAGE(OFFSET($H$3,0,0,'Données projet'!$E$14+1,1))</f>
        <v>275.11574966125522</v>
      </c>
      <c r="DU172" s="60">
        <f t="shared" si="152"/>
        <v>299.21520121860345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369.34989412920129</v>
      </c>
      <c r="T173" s="60">
        <f t="shared" si="142"/>
        <v>371.26234252426553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-1.8089849618263545E-13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370.79299728190904</v>
      </c>
      <c r="AO173" s="60">
        <f t="shared" si="144"/>
        <v>404.95703400805775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-1.6671037883497774E-13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344.63665697794022</v>
      </c>
      <c r="BJ173" s="60">
        <f t="shared" si="146"/>
        <v>376.72762011188041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-1.0286385077051818E-13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529.25712986118265</v>
      </c>
      <c r="CE173" s="60">
        <f t="shared" si="148"/>
        <v>278.21741231699929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-9.5769792096689348E-14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495.77338291316386</v>
      </c>
      <c r="CZ173" s="60">
        <f t="shared" si="150"/>
        <v>261.95434270986397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2.2737367544323206E-13</v>
      </c>
      <c r="DP173" s="18">
        <f>DO173*VLOOKUP('Données projet'!$B$14,Paramètres!$A$1:$I$89,3,0)*VLOOKUP('Données projet'!$B$14,Paramètres!$A$1:$I$89,5,0)</f>
        <v>1.4897523215040565E-13</v>
      </c>
      <c r="DQ173" s="14">
        <f t="shared" si="176"/>
        <v>2.136562777003313E-12</v>
      </c>
      <c r="DR173" s="22">
        <f t="shared" si="177"/>
        <v>3.9806453659427267E-12</v>
      </c>
      <c r="DS173" s="60">
        <f t="shared" si="125"/>
        <v>293.33333333333729</v>
      </c>
      <c r="DT173" s="60">
        <f ca="1">AVERAGE(OFFSET($DS$3,0,0,'Données projet'!$E$14+1,1))-AVERAGE(OFFSET($H$3,0,0,'Données projet'!$E$14+1,1))</f>
        <v>275.11574966125522</v>
      </c>
      <c r="DU173" s="60">
        <f t="shared" si="152"/>
        <v>299.21520121860345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369.34989412920129</v>
      </c>
      <c r="T174" s="60">
        <f t="shared" si="142"/>
        <v>371.26234252426553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-1.8089849618263545E-13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370.79299728190904</v>
      </c>
      <c r="AO174" s="60">
        <f t="shared" si="144"/>
        <v>404.95703400805775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-1.6671037883497774E-13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344.63665697794022</v>
      </c>
      <c r="BJ174" s="60">
        <f t="shared" si="146"/>
        <v>376.72762011188041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-1.0286385077051818E-13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529.25712986118265</v>
      </c>
      <c r="CE174" s="60">
        <f t="shared" si="148"/>
        <v>278.21741231699929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-9.5769792096689348E-14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495.77338291316386</v>
      </c>
      <c r="CZ174" s="60">
        <f t="shared" si="150"/>
        <v>261.95434270986397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2.2737367544323206E-13</v>
      </c>
      <c r="DP174" s="18">
        <f>DO174*VLOOKUP('Données projet'!$B$14,Paramètres!$A$1:$I$89,3,0)*VLOOKUP('Données projet'!$B$14,Paramètres!$A$1:$I$89,5,0)</f>
        <v>1.4897523215040565E-13</v>
      </c>
      <c r="DQ174" s="14">
        <f t="shared" si="176"/>
        <v>2.136562777003313E-12</v>
      </c>
      <c r="DR174" s="22">
        <f t="shared" si="177"/>
        <v>3.9806453659427267E-12</v>
      </c>
      <c r="DS174" s="60">
        <f t="shared" si="125"/>
        <v>293.33333333333729</v>
      </c>
      <c r="DT174" s="60">
        <f ca="1">AVERAGE(OFFSET($DS$3,0,0,'Données projet'!$E$14+1,1))-AVERAGE(OFFSET($H$3,0,0,'Données projet'!$E$14+1,1))</f>
        <v>275.11574966125522</v>
      </c>
      <c r="DU174" s="60">
        <f t="shared" si="152"/>
        <v>299.21520121860345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369.34989412920129</v>
      </c>
      <c r="T175" s="60">
        <f t="shared" si="142"/>
        <v>371.26234252426553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-1.8089849618263545E-13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370.79299728190904</v>
      </c>
      <c r="AO175" s="60">
        <f t="shared" si="144"/>
        <v>404.95703400805775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-1.6671037883497774E-13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344.63665697794022</v>
      </c>
      <c r="BJ175" s="60">
        <f t="shared" si="146"/>
        <v>376.72762011188041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-1.0286385077051818E-13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529.25712986118265</v>
      </c>
      <c r="CE175" s="60">
        <f t="shared" si="148"/>
        <v>278.21741231699929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-9.5769792096689348E-14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495.77338291316386</v>
      </c>
      <c r="CZ175" s="60">
        <f t="shared" si="150"/>
        <v>261.95434270986397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2.2737367544323206E-13</v>
      </c>
      <c r="DP175" s="18">
        <f>DO175*VLOOKUP('Données projet'!$B$14,Paramètres!$A$1:$I$89,3,0)*VLOOKUP('Données projet'!$B$14,Paramètres!$A$1:$I$89,5,0)</f>
        <v>1.4897523215040565E-13</v>
      </c>
      <c r="DQ175" s="14">
        <f t="shared" si="176"/>
        <v>2.136562777003313E-12</v>
      </c>
      <c r="DR175" s="22">
        <f t="shared" si="177"/>
        <v>3.9806453659427267E-12</v>
      </c>
      <c r="DS175" s="60">
        <f t="shared" si="125"/>
        <v>293.33333333333729</v>
      </c>
      <c r="DT175" s="60">
        <f ca="1">AVERAGE(OFFSET($DS$3,0,0,'Données projet'!$E$14+1,1))-AVERAGE(OFFSET($H$3,0,0,'Données projet'!$E$14+1,1))</f>
        <v>275.11574966125522</v>
      </c>
      <c r="DU175" s="60">
        <f t="shared" si="152"/>
        <v>299.21520121860345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369.34989412920129</v>
      </c>
      <c r="T176" s="60">
        <f t="shared" si="142"/>
        <v>371.26234252426553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-1.8089849618263545E-13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370.79299728190904</v>
      </c>
      <c r="AO176" s="60">
        <f t="shared" si="144"/>
        <v>404.95703400805775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-1.6671037883497774E-13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344.63665697794022</v>
      </c>
      <c r="BJ176" s="60">
        <f t="shared" si="146"/>
        <v>376.72762011188041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-1.0286385077051818E-13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529.25712986118265</v>
      </c>
      <c r="CE176" s="60">
        <f t="shared" si="148"/>
        <v>278.21741231699929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-9.5769792096689348E-14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495.77338291316386</v>
      </c>
      <c r="CZ176" s="60">
        <f t="shared" si="150"/>
        <v>261.95434270986397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2.2737367544323206E-13</v>
      </c>
      <c r="DP176" s="18">
        <f>DO176*VLOOKUP('Données projet'!$B$14,Paramètres!$A$1:$I$89,3,0)*VLOOKUP('Données projet'!$B$14,Paramètres!$A$1:$I$89,5,0)</f>
        <v>1.4897523215040565E-13</v>
      </c>
      <c r="DQ176" s="14">
        <f t="shared" si="176"/>
        <v>2.136562777003313E-12</v>
      </c>
      <c r="DR176" s="22">
        <f t="shared" si="177"/>
        <v>3.9806453659427267E-12</v>
      </c>
      <c r="DS176" s="60">
        <f t="shared" si="125"/>
        <v>293.33333333333729</v>
      </c>
      <c r="DT176" s="60">
        <f ca="1">AVERAGE(OFFSET($DS$3,0,0,'Données projet'!$E$14+1,1))-AVERAGE(OFFSET($H$3,0,0,'Données projet'!$E$14+1,1))</f>
        <v>275.11574966125522</v>
      </c>
      <c r="DU176" s="60">
        <f t="shared" si="152"/>
        <v>299.21520121860345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369.34989412920129</v>
      </c>
      <c r="T177" s="60">
        <f t="shared" si="142"/>
        <v>371.26234252426553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-1.8089849618263545E-13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370.79299728190904</v>
      </c>
      <c r="AO177" s="60">
        <f t="shared" si="144"/>
        <v>404.95703400805775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-1.6671037883497774E-13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344.63665697794022</v>
      </c>
      <c r="BJ177" s="60">
        <f t="shared" si="146"/>
        <v>376.72762011188041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-1.0286385077051818E-13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529.25712986118265</v>
      </c>
      <c r="CE177" s="60">
        <f t="shared" si="148"/>
        <v>278.21741231699929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-9.5769792096689348E-14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495.77338291316386</v>
      </c>
      <c r="CZ177" s="60">
        <f t="shared" si="150"/>
        <v>261.95434270986397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2.2737367544323206E-13</v>
      </c>
      <c r="DP177" s="18">
        <f>DO177*VLOOKUP('Données projet'!$B$14,Paramètres!$A$1:$I$89,3,0)*VLOOKUP('Données projet'!$B$14,Paramètres!$A$1:$I$89,5,0)</f>
        <v>1.4897523215040565E-13</v>
      </c>
      <c r="DQ177" s="14">
        <f t="shared" si="176"/>
        <v>2.136562777003313E-12</v>
      </c>
      <c r="DR177" s="22">
        <f t="shared" si="177"/>
        <v>3.9806453659427267E-12</v>
      </c>
      <c r="DS177" s="60">
        <f t="shared" si="125"/>
        <v>293.33333333333729</v>
      </c>
      <c r="DT177" s="60">
        <f ca="1">AVERAGE(OFFSET($DS$3,0,0,'Données projet'!$E$14+1,1))-AVERAGE(OFFSET($H$3,0,0,'Données projet'!$E$14+1,1))</f>
        <v>275.11574966125522</v>
      </c>
      <c r="DU177" s="60">
        <f t="shared" si="152"/>
        <v>299.21520121860345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369.34989412920129</v>
      </c>
      <c r="T178" s="60">
        <f t="shared" si="142"/>
        <v>371.26234252426553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-1.8089849618263545E-13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370.79299728190904</v>
      </c>
      <c r="AO178" s="60">
        <f t="shared" si="144"/>
        <v>404.95703400805775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-1.6671037883497774E-13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344.63665697794022</v>
      </c>
      <c r="BJ178" s="60">
        <f t="shared" si="146"/>
        <v>376.72762011188041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-1.0286385077051818E-13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529.25712986118265</v>
      </c>
      <c r="CE178" s="60">
        <f t="shared" si="148"/>
        <v>278.21741231699929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-9.5769792096689348E-14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495.77338291316386</v>
      </c>
      <c r="CZ178" s="60">
        <f t="shared" si="150"/>
        <v>261.95434270986397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2.2737367544323206E-13</v>
      </c>
      <c r="DP178" s="18">
        <f>DO178*VLOOKUP('Données projet'!$B$14,Paramètres!$A$1:$I$89,3,0)*VLOOKUP('Données projet'!$B$14,Paramètres!$A$1:$I$89,5,0)</f>
        <v>1.4897523215040565E-13</v>
      </c>
      <c r="DQ178" s="14">
        <f t="shared" si="176"/>
        <v>2.136562777003313E-12</v>
      </c>
      <c r="DR178" s="22">
        <f t="shared" si="177"/>
        <v>3.9806453659427267E-12</v>
      </c>
      <c r="DS178" s="60">
        <f t="shared" si="125"/>
        <v>293.33333333333729</v>
      </c>
      <c r="DT178" s="60">
        <f ca="1">AVERAGE(OFFSET($DS$3,0,0,'Données projet'!$E$14+1,1))-AVERAGE(OFFSET($H$3,0,0,'Données projet'!$E$14+1,1))</f>
        <v>275.11574966125522</v>
      </c>
      <c r="DU178" s="60">
        <f t="shared" si="152"/>
        <v>299.21520121860345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369.34989412920129</v>
      </c>
      <c r="T179" s="60">
        <f t="shared" si="142"/>
        <v>371.26234252426553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-1.8089849618263545E-13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370.79299728190904</v>
      </c>
      <c r="AO179" s="60">
        <f t="shared" si="144"/>
        <v>404.95703400805775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-1.6671037883497774E-13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344.63665697794022</v>
      </c>
      <c r="BJ179" s="60">
        <f t="shared" si="146"/>
        <v>376.72762011188041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-1.0286385077051818E-13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529.25712986118265</v>
      </c>
      <c r="CE179" s="60">
        <f t="shared" si="148"/>
        <v>278.21741231699929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-9.5769792096689348E-14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495.77338291316386</v>
      </c>
      <c r="CZ179" s="60">
        <f t="shared" si="150"/>
        <v>261.95434270986397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2.2737367544323206E-13</v>
      </c>
      <c r="DP179" s="18">
        <f>DO179*VLOOKUP('Données projet'!$B$14,Paramètres!$A$1:$I$89,3,0)*VLOOKUP('Données projet'!$B$14,Paramètres!$A$1:$I$89,5,0)</f>
        <v>1.4897523215040565E-13</v>
      </c>
      <c r="DQ179" s="14">
        <f t="shared" si="176"/>
        <v>2.136562777003313E-12</v>
      </c>
      <c r="DR179" s="22">
        <f t="shared" si="177"/>
        <v>3.9806453659427267E-12</v>
      </c>
      <c r="DS179" s="60">
        <f t="shared" si="125"/>
        <v>293.33333333333729</v>
      </c>
      <c r="DT179" s="60">
        <f ca="1">AVERAGE(OFFSET($DS$3,0,0,'Données projet'!$E$14+1,1))-AVERAGE(OFFSET($H$3,0,0,'Données projet'!$E$14+1,1))</f>
        <v>275.11574966125522</v>
      </c>
      <c r="DU179" s="60">
        <f t="shared" si="152"/>
        <v>299.21520121860345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369.34989412920129</v>
      </c>
      <c r="T180" s="60">
        <f t="shared" si="142"/>
        <v>371.26234252426553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-1.8089849618263545E-13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370.79299728190904</v>
      </c>
      <c r="AO180" s="60">
        <f t="shared" si="144"/>
        <v>404.95703400805775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-1.6671037883497774E-13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344.63665697794022</v>
      </c>
      <c r="BJ180" s="60">
        <f t="shared" si="146"/>
        <v>376.72762011188041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-1.0286385077051818E-13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529.25712986118265</v>
      </c>
      <c r="CE180" s="60">
        <f t="shared" si="148"/>
        <v>278.21741231699929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-9.5769792096689348E-14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495.77338291316386</v>
      </c>
      <c r="CZ180" s="60">
        <f t="shared" si="150"/>
        <v>261.95434270986397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2.2737367544323206E-13</v>
      </c>
      <c r="DP180" s="18">
        <f>DO180*VLOOKUP('Données projet'!$B$14,Paramètres!$A$1:$I$89,3,0)*VLOOKUP('Données projet'!$B$14,Paramètres!$A$1:$I$89,5,0)</f>
        <v>1.4897523215040565E-13</v>
      </c>
      <c r="DQ180" s="14">
        <f t="shared" si="176"/>
        <v>2.136562777003313E-12</v>
      </c>
      <c r="DR180" s="22">
        <f t="shared" si="177"/>
        <v>3.9806453659427267E-12</v>
      </c>
      <c r="DS180" s="60">
        <f t="shared" si="125"/>
        <v>293.33333333333729</v>
      </c>
      <c r="DT180" s="60">
        <f ca="1">AVERAGE(OFFSET($DS$3,0,0,'Données projet'!$E$14+1,1))-AVERAGE(OFFSET($H$3,0,0,'Données projet'!$E$14+1,1))</f>
        <v>275.11574966125522</v>
      </c>
      <c r="DU180" s="60">
        <f t="shared" si="152"/>
        <v>299.21520121860345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369.34989412920129</v>
      </c>
      <c r="T181" s="60">
        <f t="shared" si="142"/>
        <v>371.26234252426553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-1.8089849618263545E-13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370.79299728190904</v>
      </c>
      <c r="AO181" s="60">
        <f t="shared" si="144"/>
        <v>404.95703400805775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-1.6671037883497774E-13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344.63665697794022</v>
      </c>
      <c r="BJ181" s="60">
        <f t="shared" si="146"/>
        <v>376.72762011188041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-1.0286385077051818E-13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529.25712986118265</v>
      </c>
      <c r="CE181" s="60">
        <f t="shared" si="148"/>
        <v>278.21741231699929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-9.5769792096689348E-14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495.77338291316386</v>
      </c>
      <c r="CZ181" s="60">
        <f t="shared" si="150"/>
        <v>261.95434270986397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2.2737367544323206E-13</v>
      </c>
      <c r="DP181" s="18">
        <f>DO181*VLOOKUP('Données projet'!$B$14,Paramètres!$A$1:$I$89,3,0)*VLOOKUP('Données projet'!$B$14,Paramètres!$A$1:$I$89,5,0)</f>
        <v>1.4897523215040565E-13</v>
      </c>
      <c r="DQ181" s="14">
        <f t="shared" si="176"/>
        <v>2.136562777003313E-12</v>
      </c>
      <c r="DR181" s="22">
        <f t="shared" si="177"/>
        <v>3.9806453659427267E-12</v>
      </c>
      <c r="DS181" s="60">
        <f t="shared" si="125"/>
        <v>293.33333333333729</v>
      </c>
      <c r="DT181" s="60">
        <f ca="1">AVERAGE(OFFSET($DS$3,0,0,'Données projet'!$E$14+1,1))-AVERAGE(OFFSET($H$3,0,0,'Données projet'!$E$14+1,1))</f>
        <v>275.11574966125522</v>
      </c>
      <c r="DU181" s="60">
        <f t="shared" si="152"/>
        <v>299.21520121860345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369.34989412920129</v>
      </c>
      <c r="T182" s="60">
        <f t="shared" si="142"/>
        <v>371.26234252426553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-1.8089849618263545E-13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370.79299728190904</v>
      </c>
      <c r="AO182" s="60">
        <f t="shared" si="144"/>
        <v>404.95703400805775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-1.6671037883497774E-13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344.63665697794022</v>
      </c>
      <c r="BJ182" s="60">
        <f t="shared" si="146"/>
        <v>376.72762011188041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-1.0286385077051818E-13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529.25712986118265</v>
      </c>
      <c r="CE182" s="60">
        <f t="shared" si="148"/>
        <v>278.21741231699929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-9.5769792096689348E-14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495.77338291316386</v>
      </c>
      <c r="CZ182" s="60">
        <f t="shared" si="150"/>
        <v>261.95434270986397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2.2737367544323206E-13</v>
      </c>
      <c r="DP182" s="18">
        <f>DO182*VLOOKUP('Données projet'!$B$14,Paramètres!$A$1:$I$89,3,0)*VLOOKUP('Données projet'!$B$14,Paramètres!$A$1:$I$89,5,0)</f>
        <v>1.4897523215040565E-13</v>
      </c>
      <c r="DQ182" s="14">
        <f t="shared" si="176"/>
        <v>2.136562777003313E-12</v>
      </c>
      <c r="DR182" s="22">
        <f t="shared" si="177"/>
        <v>3.9806453659427267E-12</v>
      </c>
      <c r="DS182" s="60">
        <f t="shared" si="125"/>
        <v>293.33333333333729</v>
      </c>
      <c r="DT182" s="60">
        <f ca="1">AVERAGE(OFFSET($DS$3,0,0,'Données projet'!$E$14+1,1))-AVERAGE(OFFSET($H$3,0,0,'Données projet'!$E$14+1,1))</f>
        <v>275.11574966125522</v>
      </c>
      <c r="DU182" s="60">
        <f t="shared" si="152"/>
        <v>299.21520121860345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369.34989412920129</v>
      </c>
      <c r="T183" s="60">
        <f t="shared" si="142"/>
        <v>371.26234252426553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-1.8089849618263545E-13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370.79299728190904</v>
      </c>
      <c r="AO183" s="60">
        <f t="shared" si="144"/>
        <v>404.95703400805775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-1.6671037883497774E-13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344.63665697794022</v>
      </c>
      <c r="BJ183" s="60">
        <f t="shared" si="146"/>
        <v>376.72762011188041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-1.0286385077051818E-13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529.25712986118265</v>
      </c>
      <c r="CE183" s="60">
        <f t="shared" si="148"/>
        <v>278.21741231699929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-9.5769792096689348E-14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495.77338291316386</v>
      </c>
      <c r="CZ183" s="60">
        <f t="shared" si="150"/>
        <v>261.95434270986397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2.2737367544323206E-13</v>
      </c>
      <c r="DP183" s="18">
        <f>DO183*VLOOKUP('Données projet'!$B$14,Paramètres!$A$1:$I$89,3,0)*VLOOKUP('Données projet'!$B$14,Paramètres!$A$1:$I$89,5,0)</f>
        <v>1.4897523215040565E-13</v>
      </c>
      <c r="DQ183" s="14">
        <f t="shared" si="176"/>
        <v>2.136562777003313E-12</v>
      </c>
      <c r="DR183" s="22">
        <f t="shared" si="177"/>
        <v>3.9806453659427267E-12</v>
      </c>
      <c r="DS183" s="60">
        <f t="shared" si="125"/>
        <v>293.33333333333729</v>
      </c>
      <c r="DT183" s="60">
        <f ca="1">AVERAGE(OFFSET($DS$3,0,0,'Données projet'!$E$14+1,1))-AVERAGE(OFFSET($H$3,0,0,'Données projet'!$E$14+1,1))</f>
        <v>275.11574966125522</v>
      </c>
      <c r="DU183" s="60">
        <f t="shared" si="152"/>
        <v>299.21520121860345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369.34989412920129</v>
      </c>
      <c r="T184" s="60">
        <f t="shared" si="142"/>
        <v>371.26234252426553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-1.8089849618263545E-13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370.79299728190904</v>
      </c>
      <c r="AO184" s="60">
        <f t="shared" si="144"/>
        <v>404.95703400805775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-1.6671037883497774E-13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344.63665697794022</v>
      </c>
      <c r="BJ184" s="60">
        <f t="shared" si="146"/>
        <v>376.72762011188041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-1.0286385077051818E-13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529.25712986118265</v>
      </c>
      <c r="CE184" s="60">
        <f t="shared" si="148"/>
        <v>278.21741231699929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-9.5769792096689348E-14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495.77338291316386</v>
      </c>
      <c r="CZ184" s="60">
        <f t="shared" si="150"/>
        <v>261.95434270986397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2.2737367544323206E-13</v>
      </c>
      <c r="DP184" s="18">
        <f>DO184*VLOOKUP('Données projet'!$B$14,Paramètres!$A$1:$I$89,3,0)*VLOOKUP('Données projet'!$B$14,Paramètres!$A$1:$I$89,5,0)</f>
        <v>1.4897523215040565E-13</v>
      </c>
      <c r="DQ184" s="14">
        <f t="shared" si="176"/>
        <v>2.136562777003313E-12</v>
      </c>
      <c r="DR184" s="22">
        <f t="shared" si="177"/>
        <v>3.9806453659427267E-12</v>
      </c>
      <c r="DS184" s="60">
        <f t="shared" si="125"/>
        <v>293.33333333333729</v>
      </c>
      <c r="DT184" s="60">
        <f ca="1">AVERAGE(OFFSET($DS$3,0,0,'Données projet'!$E$14+1,1))-AVERAGE(OFFSET($H$3,0,0,'Données projet'!$E$14+1,1))</f>
        <v>275.11574966125522</v>
      </c>
      <c r="DU184" s="60">
        <f t="shared" si="152"/>
        <v>299.21520121860345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369.34989412920129</v>
      </c>
      <c r="T185" s="60">
        <f t="shared" si="142"/>
        <v>371.26234252426553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-1.8089849618263545E-13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370.79299728190904</v>
      </c>
      <c r="AO185" s="60">
        <f t="shared" si="144"/>
        <v>404.95703400805775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-1.6671037883497774E-13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344.63665697794022</v>
      </c>
      <c r="BJ185" s="60">
        <f t="shared" si="146"/>
        <v>376.72762011188041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-1.0286385077051818E-13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529.25712986118265</v>
      </c>
      <c r="CE185" s="60">
        <f t="shared" si="148"/>
        <v>278.21741231699929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-9.5769792096689348E-14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495.77338291316386</v>
      </c>
      <c r="CZ185" s="60">
        <f t="shared" si="150"/>
        <v>261.95434270986397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2.2737367544323206E-13</v>
      </c>
      <c r="DP185" s="18">
        <f>DO185*VLOOKUP('Données projet'!$B$14,Paramètres!$A$1:$I$89,3,0)*VLOOKUP('Données projet'!$B$14,Paramètres!$A$1:$I$89,5,0)</f>
        <v>1.4897523215040565E-13</v>
      </c>
      <c r="DQ185" s="14">
        <f t="shared" si="176"/>
        <v>2.136562777003313E-12</v>
      </c>
      <c r="DR185" s="22">
        <f t="shared" si="177"/>
        <v>3.9806453659427267E-12</v>
      </c>
      <c r="DS185" s="60">
        <f t="shared" si="125"/>
        <v>293.33333333333729</v>
      </c>
      <c r="DT185" s="60">
        <f ca="1">AVERAGE(OFFSET($DS$3,0,0,'Données projet'!$E$14+1,1))-AVERAGE(OFFSET($H$3,0,0,'Données projet'!$E$14+1,1))</f>
        <v>275.11574966125522</v>
      </c>
      <c r="DU185" s="60">
        <f t="shared" si="152"/>
        <v>299.21520121860345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369.34989412920129</v>
      </c>
      <c r="T186" s="60">
        <f t="shared" si="142"/>
        <v>371.26234252426553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-1.8089849618263545E-13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370.79299728190904</v>
      </c>
      <c r="AO186" s="60">
        <f t="shared" si="144"/>
        <v>404.95703400805775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-1.6671037883497774E-13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344.63665697794022</v>
      </c>
      <c r="BJ186" s="60">
        <f t="shared" si="146"/>
        <v>376.72762011188041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-1.0286385077051818E-13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529.25712986118265</v>
      </c>
      <c r="CE186" s="60">
        <f t="shared" si="148"/>
        <v>278.21741231699929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-9.5769792096689348E-14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495.77338291316386</v>
      </c>
      <c r="CZ186" s="60">
        <f t="shared" si="150"/>
        <v>261.95434270986397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2.2737367544323206E-13</v>
      </c>
      <c r="DP186" s="18">
        <f>DO186*VLOOKUP('Données projet'!$B$14,Paramètres!$A$1:$I$89,3,0)*VLOOKUP('Données projet'!$B$14,Paramètres!$A$1:$I$89,5,0)</f>
        <v>1.4897523215040565E-13</v>
      </c>
      <c r="DQ186" s="14">
        <f t="shared" si="176"/>
        <v>2.136562777003313E-12</v>
      </c>
      <c r="DR186" s="22">
        <f t="shared" si="177"/>
        <v>3.9806453659427267E-12</v>
      </c>
      <c r="DS186" s="60">
        <f t="shared" si="125"/>
        <v>293.33333333333729</v>
      </c>
      <c r="DT186" s="60">
        <f ca="1">AVERAGE(OFFSET($DS$3,0,0,'Données projet'!$E$14+1,1))-AVERAGE(OFFSET($H$3,0,0,'Données projet'!$E$14+1,1))</f>
        <v>275.11574966125522</v>
      </c>
      <c r="DU186" s="60">
        <f t="shared" si="152"/>
        <v>299.21520121860345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369.34989412920129</v>
      </c>
      <c r="T187" s="60">
        <f t="shared" si="142"/>
        <v>371.26234252426553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-1.8089849618263545E-13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370.79299728190904</v>
      </c>
      <c r="AO187" s="60">
        <f t="shared" si="144"/>
        <v>404.95703400805775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-1.6671037883497774E-13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344.63665697794022</v>
      </c>
      <c r="BJ187" s="60">
        <f t="shared" si="146"/>
        <v>376.72762011188041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-1.0286385077051818E-13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529.25712986118265</v>
      </c>
      <c r="CE187" s="60">
        <f t="shared" si="148"/>
        <v>278.21741231699929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-9.5769792096689348E-14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495.77338291316386</v>
      </c>
      <c r="CZ187" s="60">
        <f t="shared" si="150"/>
        <v>261.95434270986397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2.2737367544323206E-13</v>
      </c>
      <c r="DP187" s="18">
        <f>DO187*VLOOKUP('Données projet'!$B$14,Paramètres!$A$1:$I$89,3,0)*VLOOKUP('Données projet'!$B$14,Paramètres!$A$1:$I$89,5,0)</f>
        <v>1.4897523215040565E-13</v>
      </c>
      <c r="DQ187" s="14">
        <f t="shared" si="176"/>
        <v>2.136562777003313E-12</v>
      </c>
      <c r="DR187" s="22">
        <f t="shared" si="177"/>
        <v>3.9806453659427267E-12</v>
      </c>
      <c r="DS187" s="60">
        <f t="shared" si="125"/>
        <v>293.33333333333729</v>
      </c>
      <c r="DT187" s="60">
        <f ca="1">AVERAGE(OFFSET($DS$3,0,0,'Données projet'!$E$14+1,1))-AVERAGE(OFFSET($H$3,0,0,'Données projet'!$E$14+1,1))</f>
        <v>275.11574966125522</v>
      </c>
      <c r="DU187" s="60">
        <f t="shared" si="152"/>
        <v>299.21520121860345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369.34989412920129</v>
      </c>
      <c r="T188" s="60">
        <f t="shared" si="142"/>
        <v>371.26234252426553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-1.8089849618263545E-13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370.79299728190904</v>
      </c>
      <c r="AO188" s="60">
        <f t="shared" si="144"/>
        <v>404.95703400805775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-1.6671037883497774E-13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344.63665697794022</v>
      </c>
      <c r="BJ188" s="60">
        <f t="shared" si="146"/>
        <v>376.72762011188041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-1.0286385077051818E-13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529.25712986118265</v>
      </c>
      <c r="CE188" s="60">
        <f t="shared" si="148"/>
        <v>278.21741231699929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-9.5769792096689348E-14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495.77338291316386</v>
      </c>
      <c r="CZ188" s="60">
        <f t="shared" si="150"/>
        <v>261.95434270986397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2.2737367544323206E-13</v>
      </c>
      <c r="DP188" s="18">
        <f>DO188*VLOOKUP('Données projet'!$B$14,Paramètres!$A$1:$I$89,3,0)*VLOOKUP('Données projet'!$B$14,Paramètres!$A$1:$I$89,5,0)</f>
        <v>1.4897523215040565E-13</v>
      </c>
      <c r="DQ188" s="14">
        <f t="shared" si="176"/>
        <v>2.136562777003313E-12</v>
      </c>
      <c r="DR188" s="22">
        <f t="shared" si="177"/>
        <v>3.9806453659427267E-12</v>
      </c>
      <c r="DS188" s="60">
        <f t="shared" si="125"/>
        <v>293.33333333333729</v>
      </c>
      <c r="DT188" s="60">
        <f ca="1">AVERAGE(OFFSET($DS$3,0,0,'Données projet'!$E$14+1,1))-AVERAGE(OFFSET($H$3,0,0,'Données projet'!$E$14+1,1))</f>
        <v>275.11574966125522</v>
      </c>
      <c r="DU188" s="60">
        <f t="shared" si="152"/>
        <v>299.21520121860345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369.34989412920129</v>
      </c>
      <c r="T189" s="60">
        <f t="shared" si="142"/>
        <v>371.26234252426553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-1.8089849618263545E-13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370.79299728190904</v>
      </c>
      <c r="AO189" s="60">
        <f t="shared" si="144"/>
        <v>404.95703400805775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-1.6671037883497774E-13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344.63665697794022</v>
      </c>
      <c r="BJ189" s="60">
        <f t="shared" si="146"/>
        <v>376.72762011188041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-1.0286385077051818E-13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529.25712986118265</v>
      </c>
      <c r="CE189" s="60">
        <f t="shared" si="148"/>
        <v>278.21741231699929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-9.5769792096689348E-14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495.77338291316386</v>
      </c>
      <c r="CZ189" s="60">
        <f t="shared" si="150"/>
        <v>261.95434270986397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2.2737367544323206E-13</v>
      </c>
      <c r="DP189" s="18">
        <f>DO189*VLOOKUP('Données projet'!$B$14,Paramètres!$A$1:$I$89,3,0)*VLOOKUP('Données projet'!$B$14,Paramètres!$A$1:$I$89,5,0)</f>
        <v>1.4897523215040565E-13</v>
      </c>
      <c r="DQ189" s="14">
        <f t="shared" si="176"/>
        <v>2.136562777003313E-12</v>
      </c>
      <c r="DR189" s="22">
        <f t="shared" si="177"/>
        <v>3.9806453659427267E-12</v>
      </c>
      <c r="DS189" s="60">
        <f t="shared" si="125"/>
        <v>293.33333333333729</v>
      </c>
      <c r="DT189" s="60">
        <f ca="1">AVERAGE(OFFSET($DS$3,0,0,'Données projet'!$E$14+1,1))-AVERAGE(OFFSET($H$3,0,0,'Données projet'!$E$14+1,1))</f>
        <v>275.11574966125522</v>
      </c>
      <c r="DU189" s="60">
        <f t="shared" si="152"/>
        <v>299.21520121860345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369.34989412920129</v>
      </c>
      <c r="T190" s="60">
        <f t="shared" si="142"/>
        <v>371.26234252426553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-1.8089849618263545E-13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370.79299728190904</v>
      </c>
      <c r="AO190" s="60">
        <f t="shared" si="144"/>
        <v>404.95703400805775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-1.6671037883497774E-13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344.63665697794022</v>
      </c>
      <c r="BJ190" s="60">
        <f t="shared" si="146"/>
        <v>376.72762011188041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-1.0286385077051818E-13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529.25712986118265</v>
      </c>
      <c r="CE190" s="60">
        <f t="shared" si="148"/>
        <v>278.21741231699929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-9.5769792096689348E-14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495.77338291316386</v>
      </c>
      <c r="CZ190" s="60">
        <f t="shared" si="150"/>
        <v>261.95434270986397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2.2737367544323206E-13</v>
      </c>
      <c r="DP190" s="18">
        <f>DO190*VLOOKUP('Données projet'!$B$14,Paramètres!$A$1:$I$89,3,0)*VLOOKUP('Données projet'!$B$14,Paramètres!$A$1:$I$89,5,0)</f>
        <v>1.4897523215040565E-13</v>
      </c>
      <c r="DQ190" s="14">
        <f t="shared" si="176"/>
        <v>2.136562777003313E-12</v>
      </c>
      <c r="DR190" s="22">
        <f t="shared" si="177"/>
        <v>3.9806453659427267E-12</v>
      </c>
      <c r="DS190" s="60">
        <f t="shared" si="125"/>
        <v>293.33333333333729</v>
      </c>
      <c r="DT190" s="60">
        <f ca="1">AVERAGE(OFFSET($DS$3,0,0,'Données projet'!$E$14+1,1))-AVERAGE(OFFSET($H$3,0,0,'Données projet'!$E$14+1,1))</f>
        <v>275.11574966125522</v>
      </c>
      <c r="DU190" s="60">
        <f t="shared" si="152"/>
        <v>299.21520121860345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369.34989412920129</v>
      </c>
      <c r="T191" s="60">
        <f t="shared" si="142"/>
        <v>371.26234252426553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-1.8089849618263545E-13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370.79299728190904</v>
      </c>
      <c r="AO191" s="60">
        <f t="shared" si="144"/>
        <v>404.95703400805775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-1.6671037883497774E-13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344.63665697794022</v>
      </c>
      <c r="BJ191" s="60">
        <f t="shared" si="146"/>
        <v>376.72762011188041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-1.0286385077051818E-13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529.25712986118265</v>
      </c>
      <c r="CE191" s="60">
        <f t="shared" si="148"/>
        <v>278.21741231699929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-9.5769792096689348E-14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495.77338291316386</v>
      </c>
      <c r="CZ191" s="60">
        <f t="shared" si="150"/>
        <v>261.95434270986397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2.2737367544323206E-13</v>
      </c>
      <c r="DP191" s="18">
        <f>DO191*VLOOKUP('Données projet'!$B$14,Paramètres!$A$1:$I$89,3,0)*VLOOKUP('Données projet'!$B$14,Paramètres!$A$1:$I$89,5,0)</f>
        <v>1.4897523215040565E-13</v>
      </c>
      <c r="DQ191" s="14">
        <f t="shared" si="176"/>
        <v>2.136562777003313E-12</v>
      </c>
      <c r="DR191" s="22">
        <f t="shared" si="177"/>
        <v>3.9806453659427267E-12</v>
      </c>
      <c r="DS191" s="60">
        <f t="shared" si="125"/>
        <v>293.33333333333729</v>
      </c>
      <c r="DT191" s="60">
        <f ca="1">AVERAGE(OFFSET($DS$3,0,0,'Données projet'!$E$14+1,1))-AVERAGE(OFFSET($H$3,0,0,'Données projet'!$E$14+1,1))</f>
        <v>275.11574966125522</v>
      </c>
      <c r="DU191" s="60">
        <f t="shared" si="152"/>
        <v>299.21520121860345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369.34989412920129</v>
      </c>
      <c r="T192" s="60">
        <f t="shared" si="142"/>
        <v>371.26234252426553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-1.8089849618263545E-13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370.79299728190904</v>
      </c>
      <c r="AO192" s="60">
        <f t="shared" si="144"/>
        <v>404.95703400805775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-1.6671037883497774E-13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344.63665697794022</v>
      </c>
      <c r="BJ192" s="60">
        <f t="shared" si="146"/>
        <v>376.72762011188041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-1.0286385077051818E-13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529.25712986118265</v>
      </c>
      <c r="CE192" s="60">
        <f t="shared" si="148"/>
        <v>278.21741231699929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-9.5769792096689348E-14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495.77338291316386</v>
      </c>
      <c r="CZ192" s="60">
        <f t="shared" si="150"/>
        <v>261.95434270986397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2.2737367544323206E-13</v>
      </c>
      <c r="DP192" s="18">
        <f>DO192*VLOOKUP('Données projet'!$B$14,Paramètres!$A$1:$I$89,3,0)*VLOOKUP('Données projet'!$B$14,Paramètres!$A$1:$I$89,5,0)</f>
        <v>1.4897523215040565E-13</v>
      </c>
      <c r="DQ192" s="14">
        <f t="shared" si="176"/>
        <v>2.136562777003313E-12</v>
      </c>
      <c r="DR192" s="22">
        <f t="shared" si="177"/>
        <v>3.9806453659427267E-12</v>
      </c>
      <c r="DS192" s="60">
        <f t="shared" si="125"/>
        <v>293.33333333333729</v>
      </c>
      <c r="DT192" s="60">
        <f ca="1">AVERAGE(OFFSET($DS$3,0,0,'Données projet'!$E$14+1,1))-AVERAGE(OFFSET($H$3,0,0,'Données projet'!$E$14+1,1))</f>
        <v>275.11574966125522</v>
      </c>
      <c r="DU192" s="60">
        <f t="shared" si="152"/>
        <v>299.21520121860345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369.34989412920129</v>
      </c>
      <c r="T193" s="60">
        <f t="shared" si="142"/>
        <v>371.26234252426553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-1.8089849618263545E-13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370.79299728190904</v>
      </c>
      <c r="AO193" s="60">
        <f t="shared" si="144"/>
        <v>404.95703400805775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-1.6671037883497774E-13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344.63665697794022</v>
      </c>
      <c r="BJ193" s="60">
        <f t="shared" si="146"/>
        <v>376.72762011188041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-1.0286385077051818E-13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529.25712986118265</v>
      </c>
      <c r="CE193" s="60">
        <f t="shared" si="148"/>
        <v>278.21741231699929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-9.5769792096689348E-14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495.77338291316386</v>
      </c>
      <c r="CZ193" s="60">
        <f t="shared" si="150"/>
        <v>261.95434270986397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2.2737367544323206E-13</v>
      </c>
      <c r="DP193" s="18">
        <f>DO193*VLOOKUP('Données projet'!$B$14,Paramètres!$A$1:$I$89,3,0)*VLOOKUP('Données projet'!$B$14,Paramètres!$A$1:$I$89,5,0)</f>
        <v>1.4897523215040565E-13</v>
      </c>
      <c r="DQ193" s="14">
        <f t="shared" si="176"/>
        <v>2.136562777003313E-12</v>
      </c>
      <c r="DR193" s="22">
        <f t="shared" si="177"/>
        <v>3.9806453659427267E-12</v>
      </c>
      <c r="DS193" s="60">
        <f t="shared" si="125"/>
        <v>293.33333333333729</v>
      </c>
      <c r="DT193" s="60">
        <f ca="1">AVERAGE(OFFSET($DS$3,0,0,'Données projet'!$E$14+1,1))-AVERAGE(OFFSET($H$3,0,0,'Données projet'!$E$14+1,1))</f>
        <v>275.11574966125522</v>
      </c>
      <c r="DU193" s="60">
        <f t="shared" si="152"/>
        <v>299.21520121860345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369.34989412920129</v>
      </c>
      <c r="T194" s="60">
        <f t="shared" si="142"/>
        <v>371.26234252426553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-1.8089849618263545E-13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370.79299728190904</v>
      </c>
      <c r="AO194" s="60">
        <f t="shared" si="144"/>
        <v>404.95703400805775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-1.6671037883497774E-13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344.63665697794022</v>
      </c>
      <c r="BJ194" s="60">
        <f t="shared" si="146"/>
        <v>376.72762011188041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-1.0286385077051818E-13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529.25712986118265</v>
      </c>
      <c r="CE194" s="60">
        <f t="shared" si="148"/>
        <v>278.21741231699929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-9.5769792096689348E-14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495.77338291316386</v>
      </c>
      <c r="CZ194" s="60">
        <f t="shared" si="150"/>
        <v>261.95434270986397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2.2737367544323206E-13</v>
      </c>
      <c r="DP194" s="18">
        <f>DO194*VLOOKUP('Données projet'!$B$14,Paramètres!$A$1:$I$89,3,0)*VLOOKUP('Données projet'!$B$14,Paramètres!$A$1:$I$89,5,0)</f>
        <v>1.4897523215040565E-13</v>
      </c>
      <c r="DQ194" s="14">
        <f t="shared" si="176"/>
        <v>2.136562777003313E-12</v>
      </c>
      <c r="DR194" s="22">
        <f t="shared" si="177"/>
        <v>3.9806453659427267E-12</v>
      </c>
      <c r="DS194" s="60">
        <f t="shared" si="125"/>
        <v>293.33333333333729</v>
      </c>
      <c r="DT194" s="60">
        <f ca="1">AVERAGE(OFFSET($DS$3,0,0,'Données projet'!$E$14+1,1))-AVERAGE(OFFSET($H$3,0,0,'Données projet'!$E$14+1,1))</f>
        <v>275.11574966125522</v>
      </c>
      <c r="DU194" s="60">
        <f t="shared" si="152"/>
        <v>299.21520121860345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369.34989412920129</v>
      </c>
      <c r="T195" s="60">
        <f t="shared" si="142"/>
        <v>371.26234252426553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-1.8089849618263545E-13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370.79299728190904</v>
      </c>
      <c r="AO195" s="60">
        <f t="shared" si="144"/>
        <v>404.95703400805775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-1.6671037883497774E-13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344.63665697794022</v>
      </c>
      <c r="BJ195" s="60">
        <f t="shared" si="146"/>
        <v>376.72762011188041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-1.0286385077051818E-13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529.25712986118265</v>
      </c>
      <c r="CE195" s="60">
        <f t="shared" si="148"/>
        <v>278.21741231699929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-9.5769792096689348E-14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495.77338291316386</v>
      </c>
      <c r="CZ195" s="60">
        <f t="shared" si="150"/>
        <v>261.95434270986397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2.2737367544323206E-13</v>
      </c>
      <c r="DP195" s="18">
        <f>DO195*VLOOKUP('Données projet'!$B$14,Paramètres!$A$1:$I$89,3,0)*VLOOKUP('Données projet'!$B$14,Paramètres!$A$1:$I$89,5,0)</f>
        <v>1.4897523215040565E-13</v>
      </c>
      <c r="DQ195" s="14">
        <f t="shared" si="176"/>
        <v>2.136562777003313E-12</v>
      </c>
      <c r="DR195" s="22">
        <f t="shared" si="177"/>
        <v>3.9806453659427267E-12</v>
      </c>
      <c r="DS195" s="60">
        <f t="shared" si="125"/>
        <v>293.33333333333729</v>
      </c>
      <c r="DT195" s="60">
        <f ca="1">AVERAGE(OFFSET($DS$3,0,0,'Données projet'!$E$14+1,1))-AVERAGE(OFFSET($H$3,0,0,'Données projet'!$E$14+1,1))</f>
        <v>275.11574966125522</v>
      </c>
      <c r="DU195" s="60">
        <f t="shared" si="152"/>
        <v>299.21520121860345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369.34989412920129</v>
      </c>
      <c r="T196" s="60">
        <f t="shared" si="142"/>
        <v>371.26234252426553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-1.8089849618263545E-13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370.79299728190904</v>
      </c>
      <c r="AO196" s="60">
        <f t="shared" si="144"/>
        <v>404.95703400805775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-1.6671037883497774E-13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344.63665697794022</v>
      </c>
      <c r="BJ196" s="60">
        <f t="shared" si="146"/>
        <v>376.72762011188041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-1.0286385077051818E-13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529.25712986118265</v>
      </c>
      <c r="CE196" s="60">
        <f t="shared" si="148"/>
        <v>278.21741231699929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-9.5769792096689348E-14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495.77338291316386</v>
      </c>
      <c r="CZ196" s="60">
        <f t="shared" si="150"/>
        <v>261.95434270986397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2.2737367544323206E-13</v>
      </c>
      <c r="DP196" s="18">
        <f>DO196*VLOOKUP('Données projet'!$B$14,Paramètres!$A$1:$I$89,3,0)*VLOOKUP('Données projet'!$B$14,Paramètres!$A$1:$I$89,5,0)</f>
        <v>1.4897523215040565E-13</v>
      </c>
      <c r="DQ196" s="14">
        <f t="shared" si="176"/>
        <v>2.136562777003313E-12</v>
      </c>
      <c r="DR196" s="22">
        <f t="shared" si="177"/>
        <v>3.9806453659427267E-12</v>
      </c>
      <c r="DS196" s="60">
        <f t="shared" ref="DS196:DS203" si="197">DR196+(DJ196+DK196)*44/12</f>
        <v>293.33333333333729</v>
      </c>
      <c r="DT196" s="60">
        <f ca="1">AVERAGE(OFFSET($DS$3,0,0,'Données projet'!$E$14+1,1))-AVERAGE(OFFSET($H$3,0,0,'Données projet'!$E$14+1,1))</f>
        <v>275.11574966125522</v>
      </c>
      <c r="DU196" s="60">
        <f t="shared" si="152"/>
        <v>299.21520121860345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369.34989412920129</v>
      </c>
      <c r="T197" s="60">
        <f t="shared" ref="T197:T203" si="204">$T$3</f>
        <v>371.26234252426553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-1.8089849618263545E-13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370.79299728190904</v>
      </c>
      <c r="AO197" s="60">
        <f t="shared" ref="AO197:AO203" si="205">$AO$3</f>
        <v>404.95703400805775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-1.6671037883497774E-13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344.63665697794022</v>
      </c>
      <c r="BJ197" s="60">
        <f t="shared" ref="BJ197:BJ203" si="206">$BJ$3</f>
        <v>376.72762011188041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-1.0286385077051818E-13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529.25712986118265</v>
      </c>
      <c r="CE197" s="60">
        <f t="shared" ref="CE197:CE203" si="207">$CE$3</f>
        <v>278.21741231699929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-9.5769792096689348E-14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495.77338291316386</v>
      </c>
      <c r="CZ197" s="60">
        <f t="shared" ref="CZ197:CZ203" si="208">$CZ$3</f>
        <v>261.95434270986397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2.2737367544323206E-13</v>
      </c>
      <c r="DP197" s="18">
        <f>DO197*VLOOKUP('Données projet'!$B$14,Paramètres!$A$1:$I$89,3,0)*VLOOKUP('Données projet'!$B$14,Paramètres!$A$1:$I$89,5,0)</f>
        <v>1.4897523215040565E-13</v>
      </c>
      <c r="DQ197" s="14">
        <f t="shared" si="176"/>
        <v>2.136562777003313E-12</v>
      </c>
      <c r="DR197" s="22">
        <f t="shared" si="177"/>
        <v>3.9806453659427267E-12</v>
      </c>
      <c r="DS197" s="60">
        <f t="shared" si="197"/>
        <v>293.33333333333729</v>
      </c>
      <c r="DT197" s="60">
        <f ca="1">AVERAGE(OFFSET($DS$3,0,0,'Données projet'!$E$14+1,1))-AVERAGE(OFFSET($H$3,0,0,'Données projet'!$E$14+1,1))</f>
        <v>275.11574966125522</v>
      </c>
      <c r="DU197" s="60">
        <f t="shared" ref="DU197:DU203" si="209">$DU$3</f>
        <v>299.21520121860345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369.34989412920129</v>
      </c>
      <c r="T198" s="60">
        <f t="shared" si="204"/>
        <v>371.26234252426553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-1.8089849618263545E-13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370.79299728190904</v>
      </c>
      <c r="AO198" s="60">
        <f t="shared" si="205"/>
        <v>404.95703400805775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-1.6671037883497774E-13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344.63665697794022</v>
      </c>
      <c r="BJ198" s="60">
        <f t="shared" si="206"/>
        <v>376.72762011188041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-1.0286385077051818E-13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529.25712986118265</v>
      </c>
      <c r="CE198" s="60">
        <f t="shared" si="207"/>
        <v>278.21741231699929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-9.5769792096689348E-14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495.77338291316386</v>
      </c>
      <c r="CZ198" s="60">
        <f t="shared" si="208"/>
        <v>261.95434270986397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2.2737367544323206E-13</v>
      </c>
      <c r="DP198" s="18">
        <f>DO198*VLOOKUP('Données projet'!$B$14,Paramètres!$A$1:$I$89,3,0)*VLOOKUP('Données projet'!$B$14,Paramètres!$A$1:$I$89,5,0)</f>
        <v>1.4897523215040565E-13</v>
      </c>
      <c r="DQ198" s="14">
        <f t="shared" si="176"/>
        <v>2.136562777003313E-12</v>
      </c>
      <c r="DR198" s="22">
        <f t="shared" si="177"/>
        <v>3.9806453659427267E-12</v>
      </c>
      <c r="DS198" s="60">
        <f t="shared" si="197"/>
        <v>293.33333333333729</v>
      </c>
      <c r="DT198" s="60">
        <f ca="1">AVERAGE(OFFSET($DS$3,0,0,'Données projet'!$E$14+1,1))-AVERAGE(OFFSET($H$3,0,0,'Données projet'!$E$14+1,1))</f>
        <v>275.11574966125522</v>
      </c>
      <c r="DU198" s="60">
        <f t="shared" si="209"/>
        <v>299.21520121860345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369.34989412920129</v>
      </c>
      <c r="T199" s="60">
        <f t="shared" si="204"/>
        <v>371.26234252426553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-1.8089849618263545E-13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370.79299728190904</v>
      </c>
      <c r="AO199" s="60">
        <f t="shared" si="205"/>
        <v>404.95703400805775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-1.6671037883497774E-13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344.63665697794022</v>
      </c>
      <c r="BJ199" s="60">
        <f t="shared" si="206"/>
        <v>376.72762011188041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-1.0286385077051818E-13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529.25712986118265</v>
      </c>
      <c r="CE199" s="60">
        <f t="shared" si="207"/>
        <v>278.21741231699929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-9.5769792096689348E-14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495.77338291316386</v>
      </c>
      <c r="CZ199" s="60">
        <f t="shared" si="208"/>
        <v>261.95434270986397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2.2737367544323206E-13</v>
      </c>
      <c r="DP199" s="18">
        <f>DO199*VLOOKUP('Données projet'!$B$14,Paramètres!$A$1:$I$89,3,0)*VLOOKUP('Données projet'!$B$14,Paramètres!$A$1:$I$89,5,0)</f>
        <v>1.4897523215040565E-13</v>
      </c>
      <c r="DQ199" s="14">
        <f t="shared" si="176"/>
        <v>2.136562777003313E-12</v>
      </c>
      <c r="DR199" s="22">
        <f t="shared" si="177"/>
        <v>3.9806453659427267E-12</v>
      </c>
      <c r="DS199" s="60">
        <f t="shared" si="197"/>
        <v>293.33333333333729</v>
      </c>
      <c r="DT199" s="60">
        <f ca="1">AVERAGE(OFFSET($DS$3,0,0,'Données projet'!$E$14+1,1))-AVERAGE(OFFSET($H$3,0,0,'Données projet'!$E$14+1,1))</f>
        <v>275.11574966125522</v>
      </c>
      <c r="DU199" s="60">
        <f t="shared" si="209"/>
        <v>299.21520121860345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369.34989412920129</v>
      </c>
      <c r="T200" s="60">
        <f t="shared" si="204"/>
        <v>371.26234252426553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-1.8089849618263545E-13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370.79299728190904</v>
      </c>
      <c r="AO200" s="60">
        <f t="shared" si="205"/>
        <v>404.95703400805775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-1.6671037883497774E-13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344.63665697794022</v>
      </c>
      <c r="BJ200" s="60">
        <f t="shared" si="206"/>
        <v>376.72762011188041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-1.0286385077051818E-13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529.25712986118265</v>
      </c>
      <c r="CE200" s="60">
        <f t="shared" si="207"/>
        <v>278.21741231699929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-9.5769792096689348E-14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495.77338291316386</v>
      </c>
      <c r="CZ200" s="60">
        <f t="shared" si="208"/>
        <v>261.95434270986397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2.2737367544323206E-13</v>
      </c>
      <c r="DP200" s="18">
        <f>DO200*VLOOKUP('Données projet'!$B$14,Paramètres!$A$1:$I$89,3,0)*VLOOKUP('Données projet'!$B$14,Paramètres!$A$1:$I$89,5,0)</f>
        <v>1.4897523215040565E-13</v>
      </c>
      <c r="DQ200" s="14">
        <f t="shared" si="176"/>
        <v>2.136562777003313E-12</v>
      </c>
      <c r="DR200" s="22">
        <f t="shared" si="177"/>
        <v>3.9806453659427267E-12</v>
      </c>
      <c r="DS200" s="60">
        <f t="shared" si="197"/>
        <v>293.33333333333729</v>
      </c>
      <c r="DT200" s="60">
        <f ca="1">AVERAGE(OFFSET($DS$3,0,0,'Données projet'!$E$14+1,1))-AVERAGE(OFFSET($H$3,0,0,'Données projet'!$E$14+1,1))</f>
        <v>275.11574966125522</v>
      </c>
      <c r="DU200" s="60">
        <f t="shared" si="209"/>
        <v>299.21520121860345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369.34989412920129</v>
      </c>
      <c r="T201" s="60">
        <f t="shared" si="204"/>
        <v>371.26234252426553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-1.8089849618263545E-13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370.79299728190904</v>
      </c>
      <c r="AO201" s="60">
        <f t="shared" si="205"/>
        <v>404.95703400805775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-1.6671037883497774E-13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344.63665697794022</v>
      </c>
      <c r="BJ201" s="60">
        <f t="shared" si="206"/>
        <v>376.72762011188041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-1.0286385077051818E-13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529.25712986118265</v>
      </c>
      <c r="CE201" s="60">
        <f t="shared" si="207"/>
        <v>278.21741231699929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-9.5769792096689348E-14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495.77338291316386</v>
      </c>
      <c r="CZ201" s="60">
        <f t="shared" si="208"/>
        <v>261.95434270986397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2.2737367544323206E-13</v>
      </c>
      <c r="DP201" s="18">
        <f>DO201*VLOOKUP('Données projet'!$B$14,Paramètres!$A$1:$I$89,3,0)*VLOOKUP('Données projet'!$B$14,Paramètres!$A$1:$I$89,5,0)</f>
        <v>1.4897523215040565E-13</v>
      </c>
      <c r="DQ201" s="14">
        <f t="shared" si="176"/>
        <v>2.136562777003313E-12</v>
      </c>
      <c r="DR201" s="22">
        <f t="shared" si="177"/>
        <v>3.9806453659427267E-12</v>
      </c>
      <c r="DS201" s="60">
        <f t="shared" si="197"/>
        <v>293.33333333333729</v>
      </c>
      <c r="DT201" s="60">
        <f ca="1">AVERAGE(OFFSET($DS$3,0,0,'Données projet'!$E$14+1,1))-AVERAGE(OFFSET($H$3,0,0,'Données projet'!$E$14+1,1))</f>
        <v>275.11574966125522</v>
      </c>
      <c r="DU201" s="60">
        <f t="shared" si="209"/>
        <v>299.21520121860345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369.34989412920129</v>
      </c>
      <c r="T202" s="60">
        <f t="shared" si="204"/>
        <v>371.26234252426553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-1.8089849618263545E-13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370.79299728190904</v>
      </c>
      <c r="AO202" s="60">
        <f t="shared" si="205"/>
        <v>404.95703400805775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-1.6671037883497774E-13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344.63665697794022</v>
      </c>
      <c r="BJ202" s="60">
        <f t="shared" si="206"/>
        <v>376.72762011188041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-1.0286385077051818E-13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529.25712986118265</v>
      </c>
      <c r="CE202" s="60">
        <f t="shared" si="207"/>
        <v>278.21741231699929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-9.5769792096689348E-14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495.77338291316386</v>
      </c>
      <c r="CZ202" s="60">
        <f t="shared" si="208"/>
        <v>261.95434270986397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2.2737367544323206E-13</v>
      </c>
      <c r="DP202" s="18">
        <f>DO202*VLOOKUP('Données projet'!$B$14,Paramètres!$A$1:$I$89,3,0)*VLOOKUP('Données projet'!$B$14,Paramètres!$A$1:$I$89,5,0)</f>
        <v>1.4897523215040565E-13</v>
      </c>
      <c r="DQ202" s="14">
        <f t="shared" si="176"/>
        <v>2.136562777003313E-12</v>
      </c>
      <c r="DR202" s="22">
        <f t="shared" si="177"/>
        <v>3.9806453659427267E-12</v>
      </c>
      <c r="DS202" s="60">
        <f t="shared" si="197"/>
        <v>293.33333333333729</v>
      </c>
      <c r="DT202" s="60">
        <f ca="1">AVERAGE(OFFSET($DS$3,0,0,'Données projet'!$E$14+1,1))-AVERAGE(OFFSET($H$3,0,0,'Données projet'!$E$14+1,1))</f>
        <v>275.11574966125522</v>
      </c>
      <c r="DU202" s="60">
        <f t="shared" si="209"/>
        <v>299.21520121860345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369.34989412920129</v>
      </c>
      <c r="T203" s="60">
        <f t="shared" si="204"/>
        <v>371.26234252426553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-1.8089849618263545E-13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370.79299728190904</v>
      </c>
      <c r="AO203" s="60">
        <f t="shared" si="205"/>
        <v>404.95703400805775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-1.6671037883497774E-13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344.63665697794022</v>
      </c>
      <c r="BJ203" s="60">
        <f t="shared" si="206"/>
        <v>376.72762011188041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-1.0286385077051818E-13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529.25712986118265</v>
      </c>
      <c r="CE203" s="60">
        <f t="shared" si="207"/>
        <v>278.21741231699929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-9.5769792096689348E-14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495.77338291316386</v>
      </c>
      <c r="CZ203" s="60">
        <f t="shared" si="208"/>
        <v>261.95434270986397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2.2737367544323206E-13</v>
      </c>
      <c r="DP203" s="18">
        <f>DO203*VLOOKUP('Données projet'!$B$14,Paramètres!$A$1:$I$89,3,0)*VLOOKUP('Données projet'!$B$14,Paramètres!$A$1:$I$89,5,0)</f>
        <v>1.4897523215040565E-13</v>
      </c>
      <c r="DQ203" s="14">
        <f t="shared" si="176"/>
        <v>2.136562777003313E-12</v>
      </c>
      <c r="DR203" s="22">
        <f t="shared" si="177"/>
        <v>3.9806453659427267E-12</v>
      </c>
      <c r="DS203" s="60">
        <f t="shared" si="197"/>
        <v>293.33333333333729</v>
      </c>
      <c r="DT203" s="60">
        <f ca="1">AVERAGE(OFFSET($DS$3,0,0,'Données projet'!$E$14+1,1))-AVERAGE(OFFSET($H$3,0,0,'Données projet'!$E$14+1,1))</f>
        <v>275.11574966125522</v>
      </c>
      <c r="DU203" s="60">
        <f t="shared" si="209"/>
        <v>299.21520121860345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.75" thickBot="1" x14ac:dyDescent="0.3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1.4003603312913959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1.2709816152101407</v>
      </c>
      <c r="BA205" s="85">
        <f>EXP(LN('Données projet'!B88)/'Données projet'!A88)</f>
        <v>1.2709816152101407</v>
      </c>
      <c r="BV205" s="85">
        <f>EXP(LN('Données projet'!B114)/'Données projet'!A114)</f>
        <v>1.2392705892426346</v>
      </c>
      <c r="CQ205" s="85">
        <f>EXP(LN('Données projet'!B140)/'Données projet'!A140)</f>
        <v>1.2392705892426346</v>
      </c>
      <c r="DL205" s="85">
        <f>EXP(LN('Données projet'!B166)/'Données projet'!A166)</f>
        <v>1.2709816152101407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84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25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3" t="s">
        <v>238</v>
      </c>
      <c r="P2" s="126">
        <v>0</v>
      </c>
    </row>
    <row r="3" spans="1:16" ht="15.75" thickBot="1" x14ac:dyDescent="0.3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4"/>
      <c r="P3" s="133">
        <v>0.2</v>
      </c>
    </row>
    <row r="4" spans="1:16" ht="15.75" thickBot="1" x14ac:dyDescent="0.3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25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3" t="s">
        <v>237</v>
      </c>
      <c r="P5" s="126">
        <v>0</v>
      </c>
    </row>
    <row r="6" spans="1:16" x14ac:dyDescent="0.25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5"/>
      <c r="P6" s="134">
        <v>0.05</v>
      </c>
    </row>
    <row r="7" spans="1:16" x14ac:dyDescent="0.25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5"/>
      <c r="P7" s="134">
        <v>0.1</v>
      </c>
    </row>
    <row r="8" spans="1:16" ht="15.75" thickBot="1" x14ac:dyDescent="0.3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4"/>
      <c r="P8" s="133">
        <v>0.15</v>
      </c>
    </row>
    <row r="9" spans="1:16" ht="15.75" thickBot="1" x14ac:dyDescent="0.3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25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3" t="s">
        <v>236</v>
      </c>
      <c r="P10" s="126">
        <v>0</v>
      </c>
    </row>
    <row r="11" spans="1:16" ht="15.75" thickBot="1" x14ac:dyDescent="0.3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4"/>
      <c r="P11" s="133">
        <v>0.1</v>
      </c>
    </row>
    <row r="12" spans="1:16" x14ac:dyDescent="0.25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25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25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25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25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25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25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25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25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25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25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25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25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25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25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25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25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25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25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25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25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25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25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25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25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25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25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25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25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25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25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25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25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25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25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25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25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25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25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25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25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25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25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25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25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25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25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25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25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25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25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25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25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25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25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25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25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25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25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25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25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25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25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25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25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25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25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25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25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25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25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25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25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25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25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25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25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.75" thickBot="1" x14ac:dyDescent="0.3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25">
      <c r="A93" s="127" t="s">
        <v>208</v>
      </c>
    </row>
    <row r="94" spans="1:14" x14ac:dyDescent="0.25">
      <c r="A94" s="127" t="s">
        <v>209</v>
      </c>
    </row>
    <row r="95" spans="1:14" x14ac:dyDescent="0.25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5" zoomScale="115" zoomScaleNormal="115" workbookViewId="0">
      <selection activeCell="I14" sqref="I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0" t="str">
        <f>IF('Données projet'!$B$9="","",'Données projet'!$B$9)</f>
        <v>Chêne rouge d'Amérique</v>
      </c>
      <c r="B6" s="151">
        <f>'Données projet'!D9</f>
        <v>0.97808399999999995</v>
      </c>
      <c r="C6" s="152">
        <f ca="1">IF(OR('Données projet'!B9="",'Données projet'!C9="",'Données projet'!C9=0%),0,Calculateur!S3)</f>
        <v>369.34989412920129</v>
      </c>
      <c r="D6" s="152">
        <f>IF(OR('Données projet'!B9="",'Données projet'!C9="",'Données projet'!C9=0%),0,Calculateur!T3)</f>
        <v>371.26234252426553</v>
      </c>
      <c r="E6" s="152">
        <f ca="1">MIN(C6,D6)</f>
        <v>369.34989412920129</v>
      </c>
      <c r="F6" s="152">
        <f ca="1">E6*B6</f>
        <v>361.25522184946567</v>
      </c>
      <c r="G6" s="152">
        <f ca="1">F6*(100%-'Données projet'!$C$24)*(100%-'Données projet'!$C$25)*(100%-'Données projet'!$C$26)*(100%-'Données projet'!$C$27)</f>
        <v>325.12969966451914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26.163746999999997</v>
      </c>
      <c r="K6" s="156">
        <f>J6*(100%-'Données projet'!$C$24)*(100%-'Données projet'!$C$25)*(100%-'Données projet'!$C$26)*(100%-'Données projet'!$C$27)</f>
        <v>23.547372299999999</v>
      </c>
      <c r="L6" s="157">
        <f ca="1">G6+I6+K6</f>
        <v>348.67707196451914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58" t="str">
        <f>IF('Données projet'!$B$10="","",'Données projet'!$B$10)</f>
        <v>Erable sycomore</v>
      </c>
      <c r="B7" s="159">
        <f>'Données projet'!D10</f>
        <v>0.81506999999999996</v>
      </c>
      <c r="C7" s="152">
        <f ca="1">IF(OR('Données projet'!B10="",'Données projet'!C10="",'Données projet'!C10=0%),0,Calculateur!AN3)</f>
        <v>370.79299728190904</v>
      </c>
      <c r="D7" s="152">
        <f>IF(OR('Données projet'!B10="",'Données projet'!C10="",'Données projet'!C10=0%),0,Calculateur!AO3)</f>
        <v>404.95703400805775</v>
      </c>
      <c r="E7" s="152">
        <f t="shared" ref="E7:E15" ca="1" si="0">MIN(C7,D7)</f>
        <v>370.79299728190904</v>
      </c>
      <c r="F7" s="152">
        <f t="shared" ref="F7:F15" ca="1" si="1">E7*B7</f>
        <v>302.22224829456559</v>
      </c>
      <c r="G7" s="152">
        <f ca="1">F7*(100%-'Données projet'!$C$24)*(100%-'Données projet'!$C$25)*(100%-'Données projet'!$C$26)*(100%-'Données projet'!$C$27)</f>
        <v>272.00002346510905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27.916147499999997</v>
      </c>
      <c r="K7" s="156">
        <f>J7*(100%-'Données projet'!$C$24)*(100%-'Données projet'!$C$25)*(100%-'Données projet'!$C$26)*(100%-'Données projet'!$C$27)</f>
        <v>25.124532749999997</v>
      </c>
      <c r="L7" s="157">
        <f t="shared" ref="L7:L15" ca="1" si="2">G7+I7+K7</f>
        <v>297.12455621510907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58" t="str">
        <f>IF('Données projet'!$B$11="","",'Données projet'!$B$11)</f>
        <v>Châtaignier</v>
      </c>
      <c r="B8" s="159">
        <f>'Données projet'!D11</f>
        <v>0.48904199999999998</v>
      </c>
      <c r="C8" s="152">
        <f ca="1">IF(OR('Données projet'!B11="",'Données projet'!C11="",'Données projet'!C11=0%),0,Calculateur!BI3)</f>
        <v>344.63665697794022</v>
      </c>
      <c r="D8" s="152">
        <f>IF(OR('Données projet'!B11="",'Données projet'!C11="",'Données projet'!C11=0%),0,Calculateur!BJ3)</f>
        <v>376.72762011188041</v>
      </c>
      <c r="E8" s="152">
        <f t="shared" ca="1" si="0"/>
        <v>344.63665697794022</v>
      </c>
      <c r="F8" s="152">
        <f t="shared" ca="1" si="1"/>
        <v>168.54180000180583</v>
      </c>
      <c r="G8" s="152">
        <f ca="1">F8*(100%-'Données projet'!$C$24)*(100%-'Données projet'!$C$25)*(100%-'Données projet'!$C$26)*(100%-'Données projet'!$C$27)</f>
        <v>151.68762000162525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16.749688499999998</v>
      </c>
      <c r="K8" s="156">
        <f>J8*(100%-'Données projet'!$C$24)*(100%-'Données projet'!$C$25)*(100%-'Données projet'!$C$26)*(100%-'Données projet'!$C$27)</f>
        <v>15.074719649999999</v>
      </c>
      <c r="L8" s="157">
        <f t="shared" ca="1" si="2"/>
        <v>166.76233965162524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58" t="str">
        <f>IF('Données projet'!$B$12="","",'Données projet'!$B$12)</f>
        <v>Chêne sessile</v>
      </c>
      <c r="B9" s="159">
        <f>'Données projet'!D12</f>
        <v>0.20363300000000001</v>
      </c>
      <c r="C9" s="152">
        <f ca="1">IF(OR('Données projet'!B12="",'Données projet'!C12="",'Données projet'!C12=0%),0,Calculateur!CD3)</f>
        <v>529.25712986118265</v>
      </c>
      <c r="D9" s="152">
        <f>IF(OR('Données projet'!B12="",'Données projet'!C12="",'Données projet'!C12=0%),0,Calculateur!CE3)</f>
        <v>278.21741231699929</v>
      </c>
      <c r="E9" s="152">
        <f t="shared" ca="1" si="0"/>
        <v>278.21741231699929</v>
      </c>
      <c r="F9" s="152">
        <f t="shared" ca="1" si="1"/>
        <v>56.654246322347518</v>
      </c>
      <c r="G9" s="152">
        <f ca="1">F9*(100%-'Données projet'!$C$24)*(100%-'Données projet'!$C$25)*(100%-'Données projet'!$C$26)*(100%-'Données projet'!$C$27)</f>
        <v>50.988821690112765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1.7308805</v>
      </c>
      <c r="K9" s="156">
        <f>J9*(100%-'Données projet'!$C$24)*(100%-'Données projet'!$C$25)*(100%-'Données projet'!$C$26)*(100%-'Données projet'!$C$27)</f>
        <v>1.55779245</v>
      </c>
      <c r="L9" s="157">
        <f t="shared" ca="1" si="2"/>
        <v>52.546614140112766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58" t="str">
        <f>IF('Données projet'!$B$13="","",'Données projet'!$B$13)</f>
        <v>Chêne pédonculé</v>
      </c>
      <c r="B10" s="159">
        <f>'Données projet'!D13</f>
        <v>0.16301399999999999</v>
      </c>
      <c r="C10" s="152">
        <f ca="1">IF(OR('Données projet'!B13="",'Données projet'!C13="",'Données projet'!C13=0%),0,Calculateur!CY3)</f>
        <v>495.77338291316386</v>
      </c>
      <c r="D10" s="152">
        <f>IF(OR('Données projet'!B13="",'Données projet'!C13="",'Données projet'!C13=0%),0,Calculateur!CZ3)</f>
        <v>261.95434270986397</v>
      </c>
      <c r="E10" s="152">
        <f t="shared" ca="1" si="0"/>
        <v>261.95434270986397</v>
      </c>
      <c r="F10" s="152">
        <f t="shared" ca="1" si="1"/>
        <v>42.70222522250576</v>
      </c>
      <c r="G10" s="152">
        <f ca="1">F10*(100%-'Données projet'!$C$24)*(100%-'Données projet'!$C$25)*(100%-'Données projet'!$C$26)*(100%-'Données projet'!$C$27)</f>
        <v>38.432002700255183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1.3856189999999999</v>
      </c>
      <c r="K10" s="156">
        <f>J10*(100%-'Données projet'!$C$24)*(100%-'Données projet'!$C$25)*(100%-'Données projet'!$C$26)*(100%-'Données projet'!$C$27)</f>
        <v>1.2470570999999999</v>
      </c>
      <c r="L10" s="157">
        <f t="shared" ca="1" si="2"/>
        <v>39.679059800255182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58" t="str">
        <f>IF('Données projet'!$B$14="","",'Données projet'!$B$14)</f>
        <v>Aulne glutineux</v>
      </c>
      <c r="B11" s="159">
        <f>'Données projet'!D14</f>
        <v>4.0619000000000002E-2</v>
      </c>
      <c r="C11" s="152">
        <f ca="1">IF(OR('Données projet'!B14="",'Données projet'!C14="",'Données projet'!C14=0%),0,Calculateur!DT3)</f>
        <v>275.11574966125522</v>
      </c>
      <c r="D11" s="152">
        <f>IF(OR('Données projet'!B14="",'Données projet'!C14="",'Données projet'!C14=0%),0,Calculateur!DU3)</f>
        <v>299.21520121860345</v>
      </c>
      <c r="E11" s="152">
        <f t="shared" ca="1" si="0"/>
        <v>275.11574966125522</v>
      </c>
      <c r="F11" s="152">
        <f t="shared" ca="1" si="1"/>
        <v>11.174926635490527</v>
      </c>
      <c r="G11" s="152">
        <f ca="1">F11*(100%-'Données projet'!$C$24)*(100%-'Données projet'!$C$25)*(100%-'Données projet'!$C$26)*(100%-'Données projet'!$C$27)</f>
        <v>10.057433971941474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0.59913025000000009</v>
      </c>
      <c r="K11" s="156">
        <f>J11*(100%-'Données projet'!$C$24)*(100%-'Données projet'!$C$25)*(100%-'Données projet'!$C$26)*(100%-'Données projet'!$C$27)</f>
        <v>0.53921722500000013</v>
      </c>
      <c r="L11" s="157">
        <f t="shared" ca="1" si="2"/>
        <v>10.596651196941474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58" t="str">
        <f>IF('Données projet'!$B$15="","",'Données projet'!$B$15)</f>
        <v/>
      </c>
      <c r="B12" s="159">
        <f>'Données projet'!D15</f>
        <v>0</v>
      </c>
      <c r="C12" s="152">
        <f>IF(OR('Données projet'!B15="",'Données projet'!C15="",'Données projet'!C15=0%),0,Calculateur!EO3)</f>
        <v>0</v>
      </c>
      <c r="D12" s="152">
        <f>IF(OR('Données projet'!B15="",'Données projet'!C15="",'Données projet'!C15=0%),0,Calculateur!EP3)</f>
        <v>0</v>
      </c>
      <c r="E12" s="152">
        <f t="shared" si="0"/>
        <v>0</v>
      </c>
      <c r="F12" s="152">
        <f t="shared" si="1"/>
        <v>0</v>
      </c>
      <c r="G12" s="152">
        <f>F12*(100%-'Données projet'!$C$24)*(100%-'Données projet'!$C$25)*(100%-'Données projet'!$C$26)*(100%-'Données projet'!$C$27)</f>
        <v>0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2"/>
      <c r="B16" s="229"/>
      <c r="C16" s="230"/>
      <c r="D16" s="25"/>
      <c r="E16" s="25"/>
      <c r="F16" s="170">
        <f t="shared" ref="F16:L16" ca="1" si="3">SUM(F6:F15)</f>
        <v>942.55066832618081</v>
      </c>
      <c r="G16" s="171">
        <f t="shared" ca="1" si="3"/>
        <v>848.29560149356291</v>
      </c>
      <c r="H16" s="172">
        <f t="shared" si="3"/>
        <v>0</v>
      </c>
      <c r="I16" s="172">
        <f t="shared" si="3"/>
        <v>0</v>
      </c>
      <c r="J16" s="173">
        <f t="shared" si="3"/>
        <v>74.54521274999999</v>
      </c>
      <c r="K16" s="173">
        <f t="shared" si="3"/>
        <v>67.090691475</v>
      </c>
      <c r="L16" s="174">
        <f t="shared" ca="1" si="3"/>
        <v>915.38629296856288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5" t="str">
        <f>A6</f>
        <v>Chêne rouge d'Amérique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5" t="str">
        <f>A7</f>
        <v>Erable sycomore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5" t="str">
        <f>A8</f>
        <v>Châtaignier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5" t="str">
        <f>A9</f>
        <v>Chêne sessile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5" t="str">
        <f>A10</f>
        <v>Chêne pédonculé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5" t="str">
        <f>A11</f>
        <v>Aulne glutineux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5" t="str">
        <f>A12</f>
        <v/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7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25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25">
      <c r="A4" s="95"/>
      <c r="B4" s="95"/>
      <c r="C4" s="95"/>
      <c r="D4" s="95"/>
      <c r="E4" s="95"/>
      <c r="G4" s="176"/>
      <c r="H4" s="322" t="s">
        <v>315</v>
      </c>
      <c r="I4" s="322"/>
      <c r="K4" s="319" t="s">
        <v>253</v>
      </c>
      <c r="L4" s="320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25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.75" thickBot="1" x14ac:dyDescent="0.3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45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30" t="s">
        <v>310</v>
      </c>
      <c r="S7" s="331"/>
      <c r="T7" s="331"/>
      <c r="U7" s="331"/>
      <c r="V7" s="332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25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Chêne rouge d'Amérique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1182.0285101804398</v>
      </c>
      <c r="U10" s="186">
        <f>'Données projet'!D9</f>
        <v>0.97808399999999995</v>
      </c>
      <c r="V10" s="185">
        <f>U10*T10</f>
        <v>1156.1231733513252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Erable sycomore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1838.5223845778812</v>
      </c>
      <c r="U11" s="186">
        <f>'Données projet'!D10</f>
        <v>0.81506999999999996</v>
      </c>
      <c r="V11" s="185">
        <f t="shared" ref="V11" si="0">U11*T11</f>
        <v>1498.5244399978935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Châtaignier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1838.5223845778812</v>
      </c>
      <c r="U12" s="186">
        <f>'Données projet'!D11</f>
        <v>0.48904199999999998</v>
      </c>
      <c r="V12" s="185">
        <f t="shared" ref="V12:V19" si="1">U12*T12</f>
        <v>899.11466399873609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Chêne sessile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1145.523588995308</v>
      </c>
      <c r="U13" s="186">
        <f>'Données projet'!D12</f>
        <v>0.20363300000000001</v>
      </c>
      <c r="V13" s="185">
        <f t="shared" si="1"/>
        <v>233.26640499788158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2" t="str">
        <f>IF('Données projet'!$B$9="","",'Données projet'!$B$9)</f>
        <v>Chêne rouge d'Amérique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Chêne pédonculé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1145.523588995308</v>
      </c>
      <c r="U14" s="186">
        <f>'Données projet'!D13</f>
        <v>0.16301399999999999</v>
      </c>
      <c r="V14" s="185">
        <f t="shared" si="1"/>
        <v>186.73638233648114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7"/>
      <c r="G15" s="323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Aulne glutineux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730.82483425575526</v>
      </c>
      <c r="U15" s="186">
        <f>'Données projet'!D14</f>
        <v>4.0619000000000002E-2</v>
      </c>
      <c r="V15" s="185">
        <f t="shared" si="1"/>
        <v>29.685373942634524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23"/>
      <c r="H16" s="199"/>
      <c r="I16" s="200"/>
      <c r="J16" s="212"/>
      <c r="K16" s="221"/>
      <c r="L16" s="319" t="s">
        <v>254</v>
      </c>
      <c r="M16" s="320"/>
      <c r="N16" s="2"/>
      <c r="O16" s="25"/>
      <c r="P16" s="25"/>
      <c r="Q16" s="261"/>
      <c r="R16" s="25"/>
      <c r="S16" s="181" t="str">
        <f>B200</f>
        <v/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23"/>
      <c r="J17" s="212"/>
      <c r="K17" s="221"/>
      <c r="L17" s="290" t="s">
        <v>289</v>
      </c>
      <c r="M17" s="292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/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23"/>
      <c r="J18" s="212"/>
      <c r="K18" s="221"/>
      <c r="L18" s="290" t="s">
        <v>255</v>
      </c>
      <c r="M18" s="292"/>
      <c r="N18" s="201"/>
      <c r="O18" s="25"/>
      <c r="P18" s="25"/>
      <c r="Q18" s="261"/>
      <c r="R18" s="25"/>
      <c r="S18" s="181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23"/>
      <c r="H19" s="228" t="s">
        <v>178</v>
      </c>
      <c r="I19" s="228" t="s">
        <v>287</v>
      </c>
      <c r="J19" s="256"/>
      <c r="K19" s="179"/>
      <c r="L19" s="319" t="s">
        <v>288</v>
      </c>
      <c r="M19" s="320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23"/>
      <c r="H20" s="199">
        <v>0</v>
      </c>
      <c r="I20" s="200">
        <v>5343.4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88">
        <f>'Données projet'!A36</f>
        <v>10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21" t="s">
        <v>260</v>
      </c>
      <c r="M23" s="321"/>
      <c r="N23" s="321"/>
      <c r="O23" s="25"/>
      <c r="P23" s="25"/>
      <c r="Q23" s="261"/>
      <c r="R23" s="25"/>
      <c r="S23" s="181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-10370.295561375047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88">
        <f>'Données projet'!A37</f>
        <v>15</v>
      </c>
      <c r="B24" s="189">
        <f>'Données projet'!D37</f>
        <v>0</v>
      </c>
      <c r="C24" s="202"/>
      <c r="D24" s="190">
        <f t="shared" ref="D24:D42" si="2">B24*C24</f>
        <v>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88">
        <f>'Données projet'!A38</f>
        <v>20</v>
      </c>
      <c r="B25" s="189">
        <f>'Données projet'!D38</f>
        <v>54</v>
      </c>
      <c r="C25" s="202">
        <v>10</v>
      </c>
      <c r="D25" s="190">
        <f t="shared" si="2"/>
        <v>540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0</v>
      </c>
      <c r="Q25" s="261"/>
      <c r="R25" s="25"/>
      <c r="S25" s="194" t="s">
        <v>266</v>
      </c>
      <c r="T25" s="337">
        <f ca="1">T23-T24</f>
        <v>-10370.295561375047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88">
        <f>'Données projet'!A39</f>
        <v>25</v>
      </c>
      <c r="B26" s="189">
        <f>'Données projet'!D39</f>
        <v>0</v>
      </c>
      <c r="C26" s="202"/>
      <c r="D26" s="190">
        <f t="shared" si="2"/>
        <v>0</v>
      </c>
      <c r="E26" s="202"/>
      <c r="F26" s="260"/>
      <c r="G26" s="255"/>
      <c r="H26" s="199"/>
      <c r="I26" s="200"/>
      <c r="K26" s="221"/>
      <c r="L26" s="324" t="s">
        <v>258</v>
      </c>
      <c r="M26" s="325"/>
      <c r="N26" s="325"/>
      <c r="O26" s="325"/>
      <c r="P26" s="326"/>
      <c r="Q26" s="261"/>
      <c r="R26" s="25"/>
      <c r="S26" s="194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88">
        <f>'Données projet'!A40</f>
        <v>30</v>
      </c>
      <c r="B27" s="189">
        <f>'Données projet'!D40</f>
        <v>53</v>
      </c>
      <c r="C27" s="202">
        <v>10</v>
      </c>
      <c r="D27" s="190">
        <f t="shared" si="2"/>
        <v>530</v>
      </c>
      <c r="E27" s="202"/>
      <c r="F27" s="260"/>
      <c r="G27" s="255"/>
      <c r="H27" s="199"/>
      <c r="I27" s="200"/>
      <c r="K27" s="221"/>
      <c r="L27" s="327"/>
      <c r="M27" s="328"/>
      <c r="N27" s="328"/>
      <c r="O27" s="328"/>
      <c r="P27" s="329"/>
      <c r="Q27" s="261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88">
        <f>'Données projet'!A41</f>
        <v>35</v>
      </c>
      <c r="B28" s="189">
        <f>'Données projet'!D41</f>
        <v>0</v>
      </c>
      <c r="C28" s="202"/>
      <c r="D28" s="190">
        <f t="shared" si="2"/>
        <v>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88">
        <f>'Données projet'!A42</f>
        <v>40</v>
      </c>
      <c r="B29" s="189">
        <f>'Données projet'!D42</f>
        <v>54</v>
      </c>
      <c r="C29" s="202">
        <v>15</v>
      </c>
      <c r="D29" s="190">
        <f t="shared" si="2"/>
        <v>810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88">
        <f>'Données projet'!A43</f>
        <v>45</v>
      </c>
      <c r="B30" s="189">
        <f>'Données projet'!D43</f>
        <v>0</v>
      </c>
      <c r="C30" s="202"/>
      <c r="D30" s="190">
        <f t="shared" si="2"/>
        <v>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88">
        <f>'Données projet'!A44</f>
        <v>50</v>
      </c>
      <c r="B31" s="189">
        <f>'Données projet'!D44</f>
        <v>50</v>
      </c>
      <c r="C31" s="202">
        <v>20</v>
      </c>
      <c r="D31" s="190">
        <f t="shared" si="2"/>
        <v>1000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88">
        <f>'Données projet'!A45</f>
        <v>55</v>
      </c>
      <c r="B32" s="189">
        <f>'Données projet'!D45</f>
        <v>0</v>
      </c>
      <c r="C32" s="202"/>
      <c r="D32" s="190">
        <f t="shared" si="2"/>
        <v>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88">
        <f>'Données projet'!A46</f>
        <v>60</v>
      </c>
      <c r="B33" s="189">
        <f>'Données projet'!D46</f>
        <v>44</v>
      </c>
      <c r="C33" s="202">
        <v>30</v>
      </c>
      <c r="D33" s="190">
        <f t="shared" si="2"/>
        <v>1320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88">
        <f>'Données projet'!A47</f>
        <v>65</v>
      </c>
      <c r="B34" s="189">
        <f>'Données projet'!D47</f>
        <v>0</v>
      </c>
      <c r="C34" s="202"/>
      <c r="D34" s="190">
        <f t="shared" si="2"/>
        <v>0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88">
        <f>'Données projet'!A48</f>
        <v>70</v>
      </c>
      <c r="B35" s="189">
        <f>'Données projet'!D48</f>
        <v>38</v>
      </c>
      <c r="C35" s="202">
        <v>40</v>
      </c>
      <c r="D35" s="190">
        <f t="shared" si="2"/>
        <v>1520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88">
        <f>'Données projet'!A49</f>
        <v>75</v>
      </c>
      <c r="B36" s="189">
        <f>'Données projet'!D49</f>
        <v>0</v>
      </c>
      <c r="C36" s="202"/>
      <c r="D36" s="190">
        <f t="shared" si="2"/>
        <v>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88">
        <f>'Données projet'!A50</f>
        <v>80</v>
      </c>
      <c r="B37" s="189">
        <f>'Données projet'!D50</f>
        <v>31</v>
      </c>
      <c r="C37" s="202">
        <v>50</v>
      </c>
      <c r="D37" s="190">
        <f t="shared" si="2"/>
        <v>1550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88">
        <f>'Données projet'!A51</f>
        <v>85</v>
      </c>
      <c r="B38" s="189">
        <f>'Données projet'!D51</f>
        <v>0</v>
      </c>
      <c r="C38" s="202"/>
      <c r="D38" s="190">
        <f t="shared" si="2"/>
        <v>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88">
        <f>'Données projet'!A52</f>
        <v>90</v>
      </c>
      <c r="B39" s="189">
        <f>'Données projet'!D52</f>
        <v>26</v>
      </c>
      <c r="C39" s="202">
        <v>60</v>
      </c>
      <c r="D39" s="190">
        <f t="shared" si="2"/>
        <v>1560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88">
        <f>'Données projet'!A53</f>
        <v>95</v>
      </c>
      <c r="B40" s="189">
        <f>'Données projet'!D53</f>
        <v>0</v>
      </c>
      <c r="C40" s="202"/>
      <c r="D40" s="190">
        <f t="shared" si="2"/>
        <v>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88">
        <f>'Données projet'!A54</f>
        <v>100</v>
      </c>
      <c r="B41" s="189">
        <f>'Données projet'!D54</f>
        <v>267</v>
      </c>
      <c r="C41" s="202">
        <v>100</v>
      </c>
      <c r="D41" s="190">
        <f t="shared" si="2"/>
        <v>26700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88">
        <f>'Données projet'!A55</f>
        <v>0</v>
      </c>
      <c r="B42" s="189">
        <f>'Données projet'!D55</f>
        <v>0</v>
      </c>
      <c r="C42" s="202"/>
      <c r="D42" s="190">
        <f t="shared" si="2"/>
        <v>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2" t="str">
        <f>IF('Données projet'!$B$10="","",'Données projet'!$B$10)</f>
        <v>Erable sycomore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25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25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88">
        <f>'Données projet'!A62</f>
        <v>10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88">
        <f>'Données projet'!A63</f>
        <v>15</v>
      </c>
      <c r="B55" s="189">
        <f>'Données projet'!D63</f>
        <v>0</v>
      </c>
      <c r="C55" s="200"/>
      <c r="D55" s="187">
        <f t="shared" ref="D55:D73" si="4">B55*C55</f>
        <v>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88">
        <f>'Données projet'!A64</f>
        <v>20</v>
      </c>
      <c r="B56" s="189">
        <f>'Données projet'!D64</f>
        <v>67</v>
      </c>
      <c r="C56" s="200">
        <v>10</v>
      </c>
      <c r="D56" s="187">
        <f t="shared" si="4"/>
        <v>670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88">
        <f>'Données projet'!A65</f>
        <v>25</v>
      </c>
      <c r="B57" s="189">
        <f>'Données projet'!D65</f>
        <v>0</v>
      </c>
      <c r="C57" s="200"/>
      <c r="D57" s="187">
        <f t="shared" si="4"/>
        <v>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88">
        <f>'Données projet'!A66</f>
        <v>30</v>
      </c>
      <c r="B58" s="189">
        <f>'Données projet'!D66</f>
        <v>70</v>
      </c>
      <c r="C58" s="200">
        <v>15</v>
      </c>
      <c r="D58" s="187">
        <f t="shared" si="4"/>
        <v>1050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88">
        <f>'Données projet'!A67</f>
        <v>35</v>
      </c>
      <c r="B59" s="189">
        <f>'Données projet'!D67</f>
        <v>0</v>
      </c>
      <c r="C59" s="200"/>
      <c r="D59" s="187">
        <f t="shared" si="4"/>
        <v>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88">
        <f>'Données projet'!A68</f>
        <v>40</v>
      </c>
      <c r="B60" s="189">
        <f>'Données projet'!D68</f>
        <v>70</v>
      </c>
      <c r="C60" s="200">
        <v>20</v>
      </c>
      <c r="D60" s="187">
        <f t="shared" si="4"/>
        <v>1400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88">
        <f>'Données projet'!A69</f>
        <v>45</v>
      </c>
      <c r="B61" s="189">
        <f>'Données projet'!D69</f>
        <v>0</v>
      </c>
      <c r="C61" s="200"/>
      <c r="D61" s="187">
        <f t="shared" si="4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88">
        <f>'Données projet'!A70</f>
        <v>50</v>
      </c>
      <c r="B62" s="189">
        <f>'Données projet'!D70</f>
        <v>43</v>
      </c>
      <c r="C62" s="200">
        <v>25</v>
      </c>
      <c r="D62" s="187">
        <f t="shared" si="4"/>
        <v>1075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88">
        <f>'Données projet'!A71</f>
        <v>55</v>
      </c>
      <c r="B63" s="189">
        <f>'Données projet'!D71</f>
        <v>0</v>
      </c>
      <c r="C63" s="200"/>
      <c r="D63" s="187">
        <f t="shared" si="4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88">
        <f>'Données projet'!A72</f>
        <v>60</v>
      </c>
      <c r="B64" s="189">
        <f>'Données projet'!D72</f>
        <v>30</v>
      </c>
      <c r="C64" s="200">
        <v>30</v>
      </c>
      <c r="D64" s="187">
        <f t="shared" si="4"/>
        <v>900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88">
        <f>'Données projet'!A73</f>
        <v>65</v>
      </c>
      <c r="B65" s="189">
        <f>'Données projet'!D73</f>
        <v>0</v>
      </c>
      <c r="C65" s="200"/>
      <c r="D65" s="187">
        <f t="shared" si="4"/>
        <v>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88">
        <f>'Données projet'!A74</f>
        <v>70</v>
      </c>
      <c r="B66" s="189">
        <f>'Données projet'!D74</f>
        <v>26</v>
      </c>
      <c r="C66" s="200">
        <v>40</v>
      </c>
      <c r="D66" s="187">
        <f t="shared" si="4"/>
        <v>1040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88">
        <f>'Données projet'!A75</f>
        <v>75</v>
      </c>
      <c r="B67" s="189">
        <f>'Données projet'!D75</f>
        <v>0</v>
      </c>
      <c r="C67" s="200"/>
      <c r="D67" s="187">
        <f t="shared" si="4"/>
        <v>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88">
        <f>'Données projet'!A76</f>
        <v>80</v>
      </c>
      <c r="B68" s="189">
        <f>'Données projet'!D76</f>
        <v>342</v>
      </c>
      <c r="C68" s="200">
        <v>80</v>
      </c>
      <c r="D68" s="187">
        <f t="shared" si="4"/>
        <v>27360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88">
        <f>'Données projet'!A77</f>
        <v>0</v>
      </c>
      <c r="B69" s="189">
        <f>'Données projet'!D77</f>
        <v>0</v>
      </c>
      <c r="C69" s="200"/>
      <c r="D69" s="187">
        <f t="shared" si="4"/>
        <v>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88">
        <f>'Données projet'!A78</f>
        <v>0</v>
      </c>
      <c r="B70" s="189">
        <f>'Données projet'!D78</f>
        <v>0</v>
      </c>
      <c r="C70" s="200"/>
      <c r="D70" s="187">
        <f t="shared" si="4"/>
        <v>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88">
        <f>'Données projet'!A79</f>
        <v>0</v>
      </c>
      <c r="B71" s="189">
        <f>'Données projet'!D79</f>
        <v>0</v>
      </c>
      <c r="C71" s="200"/>
      <c r="D71" s="187">
        <f t="shared" si="4"/>
        <v>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88">
        <f>'Données projet'!A80</f>
        <v>0</v>
      </c>
      <c r="B72" s="189">
        <f>'Données projet'!D80</f>
        <v>0</v>
      </c>
      <c r="C72" s="200"/>
      <c r="D72" s="187">
        <f t="shared" si="4"/>
        <v>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88">
        <f>'Données projet'!A81</f>
        <v>0</v>
      </c>
      <c r="B73" s="189">
        <f>'Données projet'!D81</f>
        <v>0</v>
      </c>
      <c r="C73" s="200"/>
      <c r="D73" s="187">
        <f t="shared" si="4"/>
        <v>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2" t="str">
        <f>IF('Données projet'!B11="","",'Données projet'!B11)</f>
        <v>Châtaignier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0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0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0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0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0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0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88">
        <f>'Données projet'!A88</f>
        <v>10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0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88">
        <f>'Données projet'!A89</f>
        <v>15</v>
      </c>
      <c r="B86" s="189">
        <f>'Données projet'!D89</f>
        <v>0</v>
      </c>
      <c r="C86" s="200"/>
      <c r="D86" s="187">
        <f t="shared" ref="D86:D104" si="6">B86*C86</f>
        <v>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0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88">
        <f>'Données projet'!A90</f>
        <v>20</v>
      </c>
      <c r="B87" s="189">
        <f>'Données projet'!D90</f>
        <v>67</v>
      </c>
      <c r="C87" s="200">
        <v>10</v>
      </c>
      <c r="D87" s="187">
        <f t="shared" si="6"/>
        <v>670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0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88">
        <f>'Données projet'!A91</f>
        <v>25</v>
      </c>
      <c r="B88" s="189">
        <f>'Données projet'!D91</f>
        <v>0</v>
      </c>
      <c r="C88" s="200"/>
      <c r="D88" s="187">
        <f t="shared" si="6"/>
        <v>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0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88">
        <f>'Données projet'!A92</f>
        <v>30</v>
      </c>
      <c r="B89" s="189">
        <f>'Données projet'!D92</f>
        <v>70</v>
      </c>
      <c r="C89" s="200">
        <v>15</v>
      </c>
      <c r="D89" s="187">
        <f t="shared" si="6"/>
        <v>1050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0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88">
        <f>'Données projet'!A93</f>
        <v>35</v>
      </c>
      <c r="B90" s="189">
        <f>'Données projet'!D93</f>
        <v>0</v>
      </c>
      <c r="C90" s="200"/>
      <c r="D90" s="187">
        <f t="shared" si="6"/>
        <v>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0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88">
        <f>'Données projet'!A94</f>
        <v>40</v>
      </c>
      <c r="B91" s="189">
        <f>'Données projet'!D94</f>
        <v>70</v>
      </c>
      <c r="C91" s="200">
        <v>20</v>
      </c>
      <c r="D91" s="187">
        <f t="shared" si="6"/>
        <v>1400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0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88">
        <f>'Données projet'!A95</f>
        <v>45</v>
      </c>
      <c r="B92" s="189">
        <f>'Données projet'!D95</f>
        <v>0</v>
      </c>
      <c r="C92" s="200"/>
      <c r="D92" s="187">
        <f t="shared" si="6"/>
        <v>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0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88">
        <f>'Données projet'!A96</f>
        <v>50</v>
      </c>
      <c r="B93" s="189">
        <f>'Données projet'!D96</f>
        <v>43</v>
      </c>
      <c r="C93" s="200">
        <v>25</v>
      </c>
      <c r="D93" s="187">
        <f t="shared" si="6"/>
        <v>1075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0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88">
        <f>'Données projet'!A97</f>
        <v>55</v>
      </c>
      <c r="B94" s="189">
        <f>'Données projet'!D97</f>
        <v>0</v>
      </c>
      <c r="C94" s="200"/>
      <c r="D94" s="187">
        <f t="shared" si="6"/>
        <v>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5"/>
        <v>0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88">
        <f>'Données projet'!A98</f>
        <v>60</v>
      </c>
      <c r="B95" s="189">
        <f>'Données projet'!D98</f>
        <v>30</v>
      </c>
      <c r="C95" s="200">
        <v>30</v>
      </c>
      <c r="D95" s="187">
        <f t="shared" si="6"/>
        <v>900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5"/>
        <v>0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88">
        <f>'Données projet'!A99</f>
        <v>65</v>
      </c>
      <c r="B96" s="189">
        <f>'Données projet'!D99</f>
        <v>0</v>
      </c>
      <c r="C96" s="200"/>
      <c r="D96" s="187">
        <f t="shared" si="6"/>
        <v>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5"/>
        <v>0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88">
        <f>'Données projet'!A100</f>
        <v>70</v>
      </c>
      <c r="B97" s="189">
        <f>'Données projet'!D100</f>
        <v>26</v>
      </c>
      <c r="C97" s="200">
        <v>40</v>
      </c>
      <c r="D97" s="187">
        <f t="shared" si="6"/>
        <v>1040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7">$P$25/(1+$M$4)^O97</f>
        <v>0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88">
        <f>'Données projet'!A101</f>
        <v>75</v>
      </c>
      <c r="B98" s="189">
        <f>'Données projet'!D101</f>
        <v>0</v>
      </c>
      <c r="C98" s="200"/>
      <c r="D98" s="187">
        <f t="shared" si="6"/>
        <v>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7"/>
        <v>0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88">
        <f>'Données projet'!A102</f>
        <v>80</v>
      </c>
      <c r="B99" s="189">
        <f>'Données projet'!D102</f>
        <v>342</v>
      </c>
      <c r="C99" s="200">
        <v>80</v>
      </c>
      <c r="D99" s="187">
        <f t="shared" si="6"/>
        <v>27360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7"/>
        <v>0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88">
        <f>'Données projet'!A103</f>
        <v>0</v>
      </c>
      <c r="B100" s="189">
        <f>'Données projet'!D103</f>
        <v>0</v>
      </c>
      <c r="C100" s="200"/>
      <c r="D100" s="187">
        <f t="shared" si="6"/>
        <v>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7"/>
        <v>0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88">
        <f>'Données projet'!A104</f>
        <v>0</v>
      </c>
      <c r="B101" s="189">
        <f>'Données projet'!D104</f>
        <v>0</v>
      </c>
      <c r="C101" s="200"/>
      <c r="D101" s="187">
        <f t="shared" si="6"/>
        <v>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7"/>
        <v>0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88">
        <f>'Données projet'!A105</f>
        <v>0</v>
      </c>
      <c r="B102" s="189">
        <f>'Données projet'!D105</f>
        <v>0</v>
      </c>
      <c r="C102" s="200"/>
      <c r="D102" s="187">
        <f t="shared" si="6"/>
        <v>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7"/>
        <v>0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88">
        <f>'Données projet'!A106</f>
        <v>0</v>
      </c>
      <c r="B103" s="189">
        <f>'Données projet'!D106</f>
        <v>0</v>
      </c>
      <c r="C103" s="200"/>
      <c r="D103" s="187">
        <f t="shared" si="6"/>
        <v>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>
        <f>IF(O102+1&lt;=MIN('Données projet'!$E$9:$E$18),O102+1,"STOP")</f>
        <v>70</v>
      </c>
      <c r="P103" s="193">
        <f t="shared" si="7"/>
        <v>0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88">
        <f>'Données projet'!A107</f>
        <v>0</v>
      </c>
      <c r="B104" s="189">
        <f>'Données projet'!D107</f>
        <v>0</v>
      </c>
      <c r="C104" s="200"/>
      <c r="D104" s="187">
        <f t="shared" si="6"/>
        <v>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>
        <f>IF(O103+1&lt;=MIN('Données projet'!$E$9:$E$18),O103+1,"STOP")</f>
        <v>71</v>
      </c>
      <c r="P104" s="193">
        <f t="shared" si="7"/>
        <v>0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>
        <f>IF(O104+1&lt;=MIN('Données projet'!$E$9:$E$18),O104+1,"STOP")</f>
        <v>72</v>
      </c>
      <c r="P105" s="193">
        <f t="shared" si="7"/>
        <v>0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>
        <f>IF(O105+1&lt;=MIN('Données projet'!$E$9:$E$18),O105+1,"STOP")</f>
        <v>73</v>
      </c>
      <c r="P106" s="193">
        <f t="shared" si="7"/>
        <v>0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2" t="str">
        <f>IF('Données projet'!B12="","",'Données projet'!B12)</f>
        <v>Chêne sessile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>
        <f>IF(O106+1&lt;=MIN('Données projet'!$E$9:$E$18),O106+1,"STOP")</f>
        <v>74</v>
      </c>
      <c r="P107" s="193">
        <f t="shared" si="7"/>
        <v>0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>
        <f>IF(O107+1&lt;=MIN('Données projet'!$E$9:$E$18),O107+1,"STOP")</f>
        <v>75</v>
      </c>
      <c r="P108" s="193">
        <f t="shared" si="7"/>
        <v>0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>
        <f>IF(O108+1&lt;=MIN('Données projet'!$E$9:$E$18),O108+1,"STOP")</f>
        <v>76</v>
      </c>
      <c r="P109" s="193">
        <f t="shared" si="7"/>
        <v>0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>
        <f>IF(O109+1&lt;=MIN('Données projet'!$E$9:$E$18),O109+1,"STOP")</f>
        <v>77</v>
      </c>
      <c r="P110" s="193">
        <f t="shared" si="7"/>
        <v>0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>
        <f>IF(O110+1&lt;=MIN('Données projet'!$E$9:$E$18),O110+1,"STOP")</f>
        <v>78</v>
      </c>
      <c r="P111" s="193">
        <f t="shared" si="7"/>
        <v>0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>
        <f>IF(O111+1&lt;=MIN('Données projet'!$E$9:$E$18),O111+1,"STOP")</f>
        <v>79</v>
      </c>
      <c r="P112" s="193">
        <f t="shared" si="7"/>
        <v>0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>
        <f>IF(O112+1&lt;=MIN('Données projet'!$E$9:$E$18),O112+1,"STOP")</f>
        <v>80</v>
      </c>
      <c r="P113" s="193">
        <f t="shared" si="7"/>
        <v>0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str">
        <f>IF(O113+1&lt;=MIN('Données projet'!$E$9:$E$18),O113+1,"STOP")</f>
        <v>STOP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88">
        <f>'Données projet'!A114</f>
        <v>20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88">
        <f>'Données projet'!A115</f>
        <v>25</v>
      </c>
      <c r="B117" s="189">
        <f>'Données projet'!D115</f>
        <v>34</v>
      </c>
      <c r="C117" s="200">
        <v>10</v>
      </c>
      <c r="D117" s="187">
        <f t="shared" ref="D117:D135" si="8">B117*C117</f>
        <v>340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88">
        <f>'Données projet'!A116</f>
        <v>30</v>
      </c>
      <c r="B118" s="189">
        <f>'Données projet'!D116</f>
        <v>0</v>
      </c>
      <c r="C118" s="200"/>
      <c r="D118" s="187">
        <f t="shared" si="8"/>
        <v>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88">
        <f>'Données projet'!A117</f>
        <v>35</v>
      </c>
      <c r="B119" s="189">
        <f>'Données projet'!D117</f>
        <v>56</v>
      </c>
      <c r="C119" s="200">
        <v>15</v>
      </c>
      <c r="D119" s="187">
        <f t="shared" si="8"/>
        <v>840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88">
        <f>'Données projet'!A118</f>
        <v>40</v>
      </c>
      <c r="B120" s="189">
        <f>'Données projet'!D118</f>
        <v>0</v>
      </c>
      <c r="C120" s="200"/>
      <c r="D120" s="187">
        <f t="shared" si="8"/>
        <v>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88">
        <f>'Données projet'!A119</f>
        <v>45</v>
      </c>
      <c r="B121" s="189">
        <f>'Données projet'!D119</f>
        <v>56</v>
      </c>
      <c r="C121" s="200">
        <v>20</v>
      </c>
      <c r="D121" s="187">
        <f t="shared" si="8"/>
        <v>1120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88">
        <f>'Données projet'!A120</f>
        <v>50</v>
      </c>
      <c r="B122" s="189">
        <f>'Données projet'!D120</f>
        <v>0</v>
      </c>
      <c r="C122" s="200"/>
      <c r="D122" s="187">
        <f t="shared" si="8"/>
        <v>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88">
        <f>'Données projet'!A121</f>
        <v>55</v>
      </c>
      <c r="B123" s="189">
        <f>'Données projet'!D121</f>
        <v>56</v>
      </c>
      <c r="C123" s="200">
        <v>30</v>
      </c>
      <c r="D123" s="187">
        <f t="shared" si="8"/>
        <v>1680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88">
        <f>'Données projet'!A122</f>
        <v>60</v>
      </c>
      <c r="B124" s="189">
        <f>'Données projet'!D122</f>
        <v>0</v>
      </c>
      <c r="C124" s="200"/>
      <c r="D124" s="187">
        <f t="shared" si="8"/>
        <v>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88">
        <f>'Données projet'!A123</f>
        <v>65</v>
      </c>
      <c r="B125" s="189">
        <f>'Données projet'!D123</f>
        <v>56</v>
      </c>
      <c r="C125" s="200">
        <v>40</v>
      </c>
      <c r="D125" s="187">
        <f t="shared" si="8"/>
        <v>2240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88">
        <f>'Données projet'!A124</f>
        <v>70</v>
      </c>
      <c r="B126" s="189">
        <f>'Données projet'!D124</f>
        <v>0</v>
      </c>
      <c r="C126" s="200"/>
      <c r="D126" s="187">
        <f t="shared" si="8"/>
        <v>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88">
        <f>'Données projet'!A125</f>
        <v>75</v>
      </c>
      <c r="B127" s="189">
        <f>'Données projet'!D125</f>
        <v>56</v>
      </c>
      <c r="C127" s="200">
        <v>50</v>
      </c>
      <c r="D127" s="187">
        <f t="shared" si="8"/>
        <v>2800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88">
        <f>'Données projet'!A126</f>
        <v>80</v>
      </c>
      <c r="B128" s="189">
        <f>'Données projet'!D126</f>
        <v>0</v>
      </c>
      <c r="C128" s="200"/>
      <c r="D128" s="187">
        <f t="shared" si="8"/>
        <v>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88">
        <f>'Données projet'!A127</f>
        <v>90</v>
      </c>
      <c r="B129" s="189">
        <f>'Données projet'!D127</f>
        <v>84</v>
      </c>
      <c r="C129" s="200">
        <v>60</v>
      </c>
      <c r="D129" s="187">
        <f t="shared" si="8"/>
        <v>5040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88">
        <f>'Données projet'!A128</f>
        <v>100</v>
      </c>
      <c r="B130" s="189">
        <f>'Données projet'!D128</f>
        <v>0</v>
      </c>
      <c r="C130" s="200"/>
      <c r="D130" s="187">
        <f t="shared" si="8"/>
        <v>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88">
        <f>'Données projet'!A129</f>
        <v>110</v>
      </c>
      <c r="B131" s="189">
        <f>'Données projet'!D129</f>
        <v>106</v>
      </c>
      <c r="C131" s="200">
        <v>100</v>
      </c>
      <c r="D131" s="187">
        <f t="shared" si="8"/>
        <v>10600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88">
        <f>'Données projet'!A130</f>
        <v>120</v>
      </c>
      <c r="B132" s="189">
        <f>'Données projet'!D130</f>
        <v>0</v>
      </c>
      <c r="C132" s="200"/>
      <c r="D132" s="187">
        <f t="shared" si="8"/>
        <v>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88">
        <f>'Données projet'!A131</f>
        <v>130</v>
      </c>
      <c r="B133" s="189">
        <f>'Données projet'!D131</f>
        <v>91</v>
      </c>
      <c r="C133" s="200">
        <v>120</v>
      </c>
      <c r="D133" s="187">
        <f t="shared" si="8"/>
        <v>10920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88">
        <f>'Données projet'!A132</f>
        <v>140</v>
      </c>
      <c r="B134" s="189">
        <f>'Données projet'!D132</f>
        <v>0</v>
      </c>
      <c r="C134" s="200"/>
      <c r="D134" s="187">
        <f t="shared" si="8"/>
        <v>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88">
        <f>'Données projet'!A133</f>
        <v>150</v>
      </c>
      <c r="B135" s="189">
        <f>'Données projet'!D133</f>
        <v>376</v>
      </c>
      <c r="C135" s="200">
        <v>200</v>
      </c>
      <c r="D135" s="187">
        <f t="shared" si="8"/>
        <v>75200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2" t="str">
        <f>IF('Données projet'!B13="","",'Données projet'!B13)</f>
        <v>Chêne pédonculé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3">
        <f>'Données projet'!D141</f>
        <v>34</v>
      </c>
      <c r="C148" s="200">
        <v>10</v>
      </c>
      <c r="D148" s="190">
        <f t="shared" ref="D148:D166" si="10">B148*C148</f>
        <v>340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3">
        <f>'Données projet'!D142</f>
        <v>0</v>
      </c>
      <c r="C149" s="200"/>
      <c r="D149" s="190">
        <f t="shared" si="10"/>
        <v>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3">
        <f>'Données projet'!D143</f>
        <v>56</v>
      </c>
      <c r="C150" s="200">
        <v>15</v>
      </c>
      <c r="D150" s="190">
        <f t="shared" si="10"/>
        <v>840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3">
        <f>'Données projet'!D144</f>
        <v>0</v>
      </c>
      <c r="C151" s="200"/>
      <c r="D151" s="190">
        <f t="shared" si="10"/>
        <v>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3">
        <f>'Données projet'!D145</f>
        <v>56</v>
      </c>
      <c r="C152" s="200">
        <v>20</v>
      </c>
      <c r="D152" s="190">
        <f t="shared" si="10"/>
        <v>1120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3">
        <f>'Données projet'!D146</f>
        <v>0</v>
      </c>
      <c r="C153" s="200"/>
      <c r="D153" s="190">
        <f t="shared" si="10"/>
        <v>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3">
        <f>'Données projet'!D147</f>
        <v>56</v>
      </c>
      <c r="C154" s="200">
        <v>30</v>
      </c>
      <c r="D154" s="190">
        <f t="shared" si="10"/>
        <v>1680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3">
        <f>'Données projet'!D148</f>
        <v>0</v>
      </c>
      <c r="C155" s="200"/>
      <c r="D155" s="190">
        <f t="shared" si="10"/>
        <v>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3">
        <f>'Données projet'!D149</f>
        <v>56</v>
      </c>
      <c r="C156" s="200">
        <v>40</v>
      </c>
      <c r="D156" s="190">
        <f t="shared" si="10"/>
        <v>2240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3">
        <f>'Données projet'!D150</f>
        <v>0</v>
      </c>
      <c r="C157" s="200"/>
      <c r="D157" s="190">
        <f t="shared" si="10"/>
        <v>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3">
        <f>'Données projet'!D151</f>
        <v>56</v>
      </c>
      <c r="C158" s="200">
        <v>50</v>
      </c>
      <c r="D158" s="190">
        <f t="shared" si="10"/>
        <v>2800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3">
        <f>'Données projet'!D152</f>
        <v>0</v>
      </c>
      <c r="C159" s="200"/>
      <c r="D159" s="190">
        <f t="shared" si="10"/>
        <v>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3">
        <f>'Données projet'!D153</f>
        <v>84</v>
      </c>
      <c r="C160" s="200">
        <v>60</v>
      </c>
      <c r="D160" s="190">
        <f t="shared" si="10"/>
        <v>5040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3">
        <f>'Données projet'!D154</f>
        <v>0</v>
      </c>
      <c r="C161" s="200"/>
      <c r="D161" s="190">
        <f t="shared" si="10"/>
        <v>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3">
        <f>'Données projet'!D155</f>
        <v>106</v>
      </c>
      <c r="C162" s="200">
        <v>100</v>
      </c>
      <c r="D162" s="190">
        <f t="shared" si="10"/>
        <v>10600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3">
        <f>'Données projet'!D156</f>
        <v>0</v>
      </c>
      <c r="C163" s="200"/>
      <c r="D163" s="190">
        <f t="shared" si="10"/>
        <v>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3">
        <f>'Données projet'!D157</f>
        <v>91</v>
      </c>
      <c r="C164" s="200">
        <v>120</v>
      </c>
      <c r="D164" s="190">
        <f t="shared" si="10"/>
        <v>10920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3">
        <f>'Données projet'!D158</f>
        <v>0</v>
      </c>
      <c r="C165" s="200"/>
      <c r="D165" s="190">
        <f t="shared" si="10"/>
        <v>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3">
        <f>'Données projet'!D159</f>
        <v>376</v>
      </c>
      <c r="C166" s="200">
        <v>200</v>
      </c>
      <c r="D166" s="190">
        <f t="shared" si="10"/>
        <v>75200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2" t="str">
        <f>IF('Données projet'!B14="","",'Données projet'!B14)</f>
        <v>Aulne glutineux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88">
        <f>'Données projet'!A166</f>
        <v>10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88">
        <f>'Données projet'!A167</f>
        <v>15</v>
      </c>
      <c r="B179" s="189">
        <f>'Données projet'!D167</f>
        <v>0</v>
      </c>
      <c r="C179" s="202"/>
      <c r="D179" s="187">
        <f t="shared" ref="D179:D197" si="11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88">
        <f>'Données projet'!A168</f>
        <v>20</v>
      </c>
      <c r="B180" s="189">
        <f>'Données projet'!D168</f>
        <v>15</v>
      </c>
      <c r="C180" s="202">
        <v>10</v>
      </c>
      <c r="D180" s="187">
        <f t="shared" si="11"/>
        <v>150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88">
        <f>'Données projet'!A169</f>
        <v>25</v>
      </c>
      <c r="B181" s="189">
        <f>'Données projet'!D169</f>
        <v>0</v>
      </c>
      <c r="C181" s="202"/>
      <c r="D181" s="187">
        <f t="shared" si="11"/>
        <v>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88">
        <f>'Données projet'!A170</f>
        <v>30</v>
      </c>
      <c r="B182" s="189">
        <f>'Données projet'!D170</f>
        <v>44</v>
      </c>
      <c r="C182" s="202">
        <v>10</v>
      </c>
      <c r="D182" s="187">
        <f t="shared" si="11"/>
        <v>440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88">
        <f>'Données projet'!A171</f>
        <v>35</v>
      </c>
      <c r="B183" s="189">
        <f>'Données projet'!D171</f>
        <v>0</v>
      </c>
      <c r="C183" s="202"/>
      <c r="D183" s="187">
        <f t="shared" si="11"/>
        <v>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88">
        <f>'Données projet'!A172</f>
        <v>40</v>
      </c>
      <c r="B184" s="189">
        <f>'Données projet'!D172</f>
        <v>50</v>
      </c>
      <c r="C184" s="202">
        <v>15</v>
      </c>
      <c r="D184" s="187">
        <f t="shared" si="11"/>
        <v>750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88">
        <f>'Données projet'!A173</f>
        <v>45</v>
      </c>
      <c r="B185" s="189">
        <f>'Données projet'!D173</f>
        <v>0</v>
      </c>
      <c r="C185" s="202"/>
      <c r="D185" s="187">
        <f t="shared" si="11"/>
        <v>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88">
        <f>'Données projet'!A174</f>
        <v>50</v>
      </c>
      <c r="B186" s="189">
        <f>'Données projet'!D174</f>
        <v>49</v>
      </c>
      <c r="C186" s="202">
        <v>15</v>
      </c>
      <c r="D186" s="187">
        <f t="shared" si="11"/>
        <v>735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88">
        <f>'Données projet'!A175</f>
        <v>55</v>
      </c>
      <c r="B187" s="189">
        <f>'Données projet'!D175</f>
        <v>0</v>
      </c>
      <c r="C187" s="202"/>
      <c r="D187" s="187">
        <f t="shared" si="11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88">
        <f>'Données projet'!A176</f>
        <v>60</v>
      </c>
      <c r="B188" s="189">
        <f>'Données projet'!D176</f>
        <v>45</v>
      </c>
      <c r="C188" s="202">
        <v>20</v>
      </c>
      <c r="D188" s="187">
        <f t="shared" si="11"/>
        <v>900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88">
        <f>'Données projet'!A177</f>
        <v>65</v>
      </c>
      <c r="B189" s="189">
        <f>'Données projet'!D177</f>
        <v>0</v>
      </c>
      <c r="C189" s="202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88">
        <f>'Données projet'!A178</f>
        <v>70</v>
      </c>
      <c r="B190" s="189">
        <f>'Données projet'!D178</f>
        <v>39</v>
      </c>
      <c r="C190" s="202">
        <v>25</v>
      </c>
      <c r="D190" s="187">
        <f t="shared" si="11"/>
        <v>975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88">
        <f>'Données projet'!A179</f>
        <v>75</v>
      </c>
      <c r="B191" s="189">
        <f>'Données projet'!D179</f>
        <v>0</v>
      </c>
      <c r="C191" s="202"/>
      <c r="D191" s="187">
        <f t="shared" si="11"/>
        <v>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88">
        <f>'Données projet'!A180</f>
        <v>80</v>
      </c>
      <c r="B192" s="189">
        <f>'Données projet'!D180</f>
        <v>34</v>
      </c>
      <c r="C192" s="202">
        <v>30</v>
      </c>
      <c r="D192" s="187">
        <f t="shared" si="11"/>
        <v>1020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88">
        <f>'Données projet'!A181</f>
        <v>85</v>
      </c>
      <c r="B193" s="189">
        <f>'Données projet'!D181</f>
        <v>0</v>
      </c>
      <c r="C193" s="202"/>
      <c r="D193" s="187">
        <f t="shared" si="11"/>
        <v>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88">
        <f>'Données projet'!A182</f>
        <v>90</v>
      </c>
      <c r="B194" s="189">
        <f>'Données projet'!D182</f>
        <v>265</v>
      </c>
      <c r="C194" s="202">
        <v>40</v>
      </c>
      <c r="D194" s="187">
        <f t="shared" si="11"/>
        <v>10600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88">
        <f>'Données projet'!A183</f>
        <v>0</v>
      </c>
      <c r="B195" s="189">
        <f>'Données projet'!D183</f>
        <v>0</v>
      </c>
      <c r="C195" s="202"/>
      <c r="D195" s="187">
        <f t="shared" si="11"/>
        <v>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88">
        <f>'Données projet'!A184</f>
        <v>0</v>
      </c>
      <c r="B196" s="189">
        <f>'Données projet'!D184</f>
        <v>0</v>
      </c>
      <c r="C196" s="202"/>
      <c r="D196" s="187">
        <f t="shared" si="11"/>
        <v>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88">
        <f>'Données projet'!A185</f>
        <v>0</v>
      </c>
      <c r="B197" s="189">
        <f>'Données projet'!D185</f>
        <v>0</v>
      </c>
      <c r="C197" s="202"/>
      <c r="D197" s="187">
        <f t="shared" si="11"/>
        <v>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2" t="str">
        <f>IF('Données projet'!$B$15="","",'Données projet'!$B$15)</f>
        <v/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88">
        <f>'Données projet'!A192</f>
        <v>0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88">
        <f>'Données projet'!A193</f>
        <v>0</v>
      </c>
      <c r="B210" s="189">
        <f>'Données projet'!D193</f>
        <v>0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88">
        <f>'Données projet'!A194</f>
        <v>0</v>
      </c>
      <c r="B211" s="189">
        <f>'Données projet'!D194</f>
        <v>0</v>
      </c>
      <c r="C211" s="202"/>
      <c r="D211" s="187">
        <f t="shared" si="12"/>
        <v>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88">
        <f>'Données projet'!A195</f>
        <v>0</v>
      </c>
      <c r="B212" s="189">
        <f>'Données projet'!D195</f>
        <v>0</v>
      </c>
      <c r="C212" s="202"/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88">
        <f>'Données projet'!A196</f>
        <v>0</v>
      </c>
      <c r="B213" s="189">
        <f>'Données projet'!D196</f>
        <v>0</v>
      </c>
      <c r="C213" s="202"/>
      <c r="D213" s="187">
        <f t="shared" si="12"/>
        <v>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88">
        <f>'Données projet'!A197</f>
        <v>0</v>
      </c>
      <c r="B214" s="189">
        <f>'Données projet'!D197</f>
        <v>0</v>
      </c>
      <c r="C214" s="202"/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88">
        <f>'Données projet'!A198</f>
        <v>0</v>
      </c>
      <c r="B215" s="189">
        <f>'Données projet'!D198</f>
        <v>0</v>
      </c>
      <c r="C215" s="202"/>
      <c r="D215" s="187">
        <f t="shared" si="12"/>
        <v>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88">
        <f>'Données projet'!A199</f>
        <v>0</v>
      </c>
      <c r="B216" s="189">
        <f>'Données projet'!D199</f>
        <v>0</v>
      </c>
      <c r="C216" s="202"/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88">
        <f>'Données projet'!A200</f>
        <v>0</v>
      </c>
      <c r="B217" s="189">
        <f>'Données projet'!D200</f>
        <v>0</v>
      </c>
      <c r="C217" s="202"/>
      <c r="D217" s="187">
        <f t="shared" si="12"/>
        <v>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88">
        <f>'Données projet'!A201</f>
        <v>0</v>
      </c>
      <c r="B218" s="189">
        <f>'Données projet'!D201</f>
        <v>0</v>
      </c>
      <c r="C218" s="202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88">
        <f>'Données projet'!A202</f>
        <v>0</v>
      </c>
      <c r="B219" s="189">
        <f>'Données projet'!D202</f>
        <v>0</v>
      </c>
      <c r="C219" s="202"/>
      <c r="D219" s="187">
        <f t="shared" si="12"/>
        <v>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88">
        <f>'Données projet'!A203</f>
        <v>0</v>
      </c>
      <c r="B220" s="189">
        <f>'Données projet'!D203</f>
        <v>0</v>
      </c>
      <c r="C220" s="202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88">
        <f>'Données projet'!A204</f>
        <v>0</v>
      </c>
      <c r="B221" s="189">
        <f>'Données projet'!D204</f>
        <v>0</v>
      </c>
      <c r="C221" s="202"/>
      <c r="D221" s="187">
        <f t="shared" si="12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88">
        <f>'Données projet'!A205</f>
        <v>0</v>
      </c>
      <c r="B222" s="189">
        <f>'Données projet'!D205</f>
        <v>0</v>
      </c>
      <c r="C222" s="202"/>
      <c r="D222" s="187">
        <f t="shared" si="12"/>
        <v>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88">
        <f>'Données projet'!A206</f>
        <v>0</v>
      </c>
      <c r="B223" s="189">
        <f>'Données projet'!D206</f>
        <v>0</v>
      </c>
      <c r="C223" s="202"/>
      <c r="D223" s="187">
        <f t="shared" si="12"/>
        <v>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88">
        <f>'Données projet'!A207</f>
        <v>0</v>
      </c>
      <c r="B224" s="189">
        <f>'Données projet'!D207</f>
        <v>0</v>
      </c>
      <c r="C224" s="202"/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88">
        <f>'Données projet'!A208</f>
        <v>0</v>
      </c>
      <c r="B225" s="189">
        <f>'Données projet'!D208</f>
        <v>0</v>
      </c>
      <c r="C225" s="202"/>
      <c r="D225" s="187">
        <f t="shared" si="12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88">
        <f>'Données projet'!A209</f>
        <v>0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88">
        <f>'Données projet'!A210</f>
        <v>0</v>
      </c>
      <c r="B227" s="189">
        <f>'Données projet'!D210</f>
        <v>0</v>
      </c>
      <c r="C227" s="202"/>
      <c r="D227" s="187">
        <f t="shared" si="12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88">
        <f>'Données projet'!A211</f>
        <v>0</v>
      </c>
      <c r="B228" s="189">
        <f>'Données projet'!D211</f>
        <v>0</v>
      </c>
      <c r="C228" s="202"/>
      <c r="D228" s="187">
        <f t="shared" si="12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88">
        <f>'Données projet'!A218</f>
        <v>0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88">
        <f>'Données projet'!A219</f>
        <v>0</v>
      </c>
      <c r="B241" s="189">
        <f>'Données projet'!D219</f>
        <v>0</v>
      </c>
      <c r="C241" s="202"/>
      <c r="D241" s="187">
        <f t="shared" ref="D241:D259" si="13">B241*C241</f>
        <v>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88">
        <f>'Données projet'!A220</f>
        <v>0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88">
        <f>'Données projet'!A221</f>
        <v>0</v>
      </c>
      <c r="B243" s="189">
        <f>'Données projet'!D221</f>
        <v>0</v>
      </c>
      <c r="C243" s="202"/>
      <c r="D243" s="187">
        <f t="shared" si="13"/>
        <v>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88">
        <f>'Données projet'!A222</f>
        <v>0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88">
        <f>'Données projet'!A223</f>
        <v>0</v>
      </c>
      <c r="B245" s="189">
        <f>'Données projet'!D223</f>
        <v>0</v>
      </c>
      <c r="C245" s="202"/>
      <c r="D245" s="187">
        <f t="shared" si="13"/>
        <v>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88">
        <f>'Données projet'!A224</f>
        <v>0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88">
        <f>'Données projet'!A225</f>
        <v>0</v>
      </c>
      <c r="B247" s="189">
        <f>'Données projet'!D225</f>
        <v>0</v>
      </c>
      <c r="C247" s="202"/>
      <c r="D247" s="187">
        <f t="shared" si="13"/>
        <v>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88">
        <f>'Données projet'!A226</f>
        <v>0</v>
      </c>
      <c r="B248" s="189">
        <f>'Données projet'!D226</f>
        <v>0</v>
      </c>
      <c r="C248" s="202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88">
        <f>'Données projet'!A227</f>
        <v>0</v>
      </c>
      <c r="B249" s="189">
        <f>'Données projet'!D227</f>
        <v>0</v>
      </c>
      <c r="C249" s="202"/>
      <c r="D249" s="187">
        <f t="shared" si="13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88">
        <f>'Données projet'!A228</f>
        <v>0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88">
        <f>'Données projet'!A229</f>
        <v>0</v>
      </c>
      <c r="B251" s="189">
        <f>'Données projet'!D229</f>
        <v>0</v>
      </c>
      <c r="C251" s="202"/>
      <c r="D251" s="187">
        <f t="shared" si="13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88">
        <f>'Données projet'!A230</f>
        <v>0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88">
        <f>'Données projet'!A231</f>
        <v>0</v>
      </c>
      <c r="B253" s="189">
        <f>'Données projet'!D231</f>
        <v>0</v>
      </c>
      <c r="C253" s="202"/>
      <c r="D253" s="187">
        <f t="shared" si="13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88">
        <f>'Données projet'!A244</f>
        <v>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88">
        <f>'Données projet'!A245</f>
        <v>0</v>
      </c>
      <c r="B272" s="189">
        <f>'Données projet'!D245</f>
        <v>0</v>
      </c>
      <c r="C272" s="202"/>
      <c r="D272" s="187">
        <f t="shared" ref="D272:D290" si="14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88">
        <f>'Données projet'!A246</f>
        <v>0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88">
        <f>'Données projet'!A247</f>
        <v>0</v>
      </c>
      <c r="B274" s="189">
        <f>'Données projet'!D247</f>
        <v>0</v>
      </c>
      <c r="C274" s="202"/>
      <c r="D274" s="187">
        <f t="shared" si="14"/>
        <v>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88">
        <f>'Données projet'!A248</f>
        <v>0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88">
        <f>'Données projet'!A249</f>
        <v>0</v>
      </c>
      <c r="B276" s="189">
        <f>'Données projet'!D249</f>
        <v>0</v>
      </c>
      <c r="C276" s="202"/>
      <c r="D276" s="187">
        <f t="shared" si="14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88">
        <f>'Données projet'!A250</f>
        <v>0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88">
        <f>'Données projet'!A251</f>
        <v>0</v>
      </c>
      <c r="B278" s="189">
        <f>'Données projet'!D251</f>
        <v>0</v>
      </c>
      <c r="C278" s="202"/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88">
        <f>'Données projet'!A252</f>
        <v>0</v>
      </c>
      <c r="B279" s="189">
        <f>'Données projet'!D252</f>
        <v>0</v>
      </c>
      <c r="C279" s="202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88">
        <f>'Données projet'!A253</f>
        <v>0</v>
      </c>
      <c r="B280" s="189">
        <f>'Données projet'!D253</f>
        <v>0</v>
      </c>
      <c r="C280" s="202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88">
        <f>'Données projet'!A254</f>
        <v>0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88">
        <f>'Données projet'!A255</f>
        <v>0</v>
      </c>
      <c r="B282" s="189">
        <f>'Données projet'!D255</f>
        <v>0</v>
      </c>
      <c r="C282" s="202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88">
        <f>'Données projet'!A256</f>
        <v>0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88">
        <f>'Données projet'!A257</f>
        <v>0</v>
      </c>
      <c r="B284" s="189">
        <f>'Données projet'!D257</f>
        <v>0</v>
      </c>
      <c r="C284" s="202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88">
        <f>'Données projet'!A258</f>
        <v>0</v>
      </c>
      <c r="B285" s="189">
        <f>'Données projet'!D258</f>
        <v>0</v>
      </c>
      <c r="C285" s="202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88">
        <f>'Données projet'!A259</f>
        <v>0</v>
      </c>
      <c r="B286" s="189">
        <f>'Données projet'!D259</f>
        <v>0</v>
      </c>
      <c r="C286" s="202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88">
        <f>'Données projet'!A260</f>
        <v>0</v>
      </c>
      <c r="B287" s="189">
        <f>'Données projet'!D260</f>
        <v>0</v>
      </c>
      <c r="C287" s="202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88">
        <f>'Données projet'!A261</f>
        <v>0</v>
      </c>
      <c r="B288" s="189">
        <f>'Données projet'!D261</f>
        <v>0</v>
      </c>
      <c r="C288" s="202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88">
        <f>'Données projet'!A262</f>
        <v>0</v>
      </c>
      <c r="B289" s="189">
        <f>'Données projet'!D262</f>
        <v>0</v>
      </c>
      <c r="C289" s="202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88">
        <f>'Données projet'!A263</f>
        <v>0</v>
      </c>
      <c r="B290" s="189">
        <f>'Données projet'!D263</f>
        <v>0</v>
      </c>
      <c r="C290" s="202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2022-12-01T10:31:26Z</dcterms:modified>
</cp:coreProperties>
</file>