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Festival de Cannes\2022 - Nièvre\C+for n° 89 Sauvigny-les-Bois (Festival de Cannes n° 4)\"/>
    </mc:Choice>
  </mc:AlternateContent>
  <bookViews>
    <workbookView xWindow="0" yWindow="0" windowWidth="23040" windowHeight="877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2" i="1" l="1"/>
  <c r="B237" i="1" l="1"/>
  <c r="D237" i="1"/>
  <c r="B236" i="1"/>
  <c r="B235" i="1"/>
  <c r="B234" i="1"/>
  <c r="B233" i="1"/>
  <c r="D234" i="1"/>
  <c r="D232" i="1"/>
  <c r="B232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19" i="1"/>
  <c r="B220" i="1"/>
  <c r="B218" i="1"/>
  <c r="D204" i="1"/>
  <c r="B204" i="1"/>
  <c r="B203" i="1"/>
  <c r="D201" i="1"/>
  <c r="B201" i="1"/>
  <c r="D199" i="1"/>
  <c r="B199" i="1"/>
  <c r="D197" i="1"/>
  <c r="B197" i="1"/>
  <c r="B185" i="1"/>
  <c r="D185" i="1" s="1"/>
  <c r="D195" i="1"/>
  <c r="B195" i="1"/>
  <c r="D193" i="1"/>
  <c r="B193" i="1"/>
  <c r="D184" i="1"/>
  <c r="B184" i="1"/>
  <c r="D183" i="1"/>
  <c r="B183" i="1"/>
  <c r="D181" i="1"/>
  <c r="B181" i="1"/>
  <c r="D179" i="1"/>
  <c r="B179" i="1"/>
  <c r="B177" i="1"/>
  <c r="D175" i="1"/>
  <c r="B175" i="1"/>
  <c r="D173" i="1"/>
  <c r="B173" i="1"/>
  <c r="D171" i="1"/>
  <c r="B171" i="1"/>
  <c r="D169" i="1"/>
  <c r="B169" i="1"/>
  <c r="B167" i="1"/>
  <c r="D167" i="1"/>
  <c r="B182" i="1"/>
  <c r="B180" i="1"/>
  <c r="B178" i="1"/>
  <c r="B176" i="1"/>
  <c r="B174" i="1"/>
  <c r="B172" i="1"/>
  <c r="B170" i="1"/>
  <c r="B168" i="1"/>
  <c r="B166" i="1"/>
  <c r="D278" i="1"/>
  <c r="D272" i="1"/>
  <c r="B272" i="1"/>
  <c r="B271" i="1"/>
  <c r="B69" i="1" l="1"/>
  <c r="D69" i="1"/>
  <c r="D67" i="1"/>
  <c r="B67" i="1"/>
  <c r="D65" i="1"/>
  <c r="B65" i="1"/>
  <c r="D70" i="1"/>
  <c r="B63" i="1"/>
  <c r="D63" i="1"/>
  <c r="D4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G18" i="2"/>
  <c r="FS18" i="2"/>
  <c r="EV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H20" i="2"/>
  <c r="HG20" i="2"/>
  <c r="FS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HG22" i="2"/>
  <c r="HH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V28" i="2"/>
  <c r="HI28" i="2"/>
  <c r="HG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HH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W38" i="2"/>
  <c r="EA38" i="2"/>
  <c r="EX38" i="2"/>
  <c r="HI38" i="2"/>
  <c r="HH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I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C85" i="2"/>
  <c r="HH85" i="2"/>
  <c r="HG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HG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HH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HI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EC122" i="2"/>
  <c r="FS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EX128" i="2"/>
  <c r="HG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G130" i="2"/>
  <c r="HI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EX140" i="2"/>
  <c r="HH140" i="2"/>
  <c r="HG140" i="2"/>
  <c r="FR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HH141" i="2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H144" i="2"/>
  <c r="HG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HH145" i="2"/>
  <c r="HG145" i="2"/>
  <c r="FR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I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HI150" i="2"/>
  <c r="HG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D154" i="2"/>
  <c r="HJ154" i="2"/>
  <c r="AC154" i="2"/>
  <c r="EY154" i="2"/>
  <c r="HH155" i="2"/>
  <c r="HG155" i="2"/>
  <c r="EW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Y155" i="2"/>
  <c r="ED155" i="2"/>
  <c r="HH156" i="2"/>
  <c r="HG156" i="2"/>
  <c r="HI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C157" i="2"/>
  <c r="HH157" i="2"/>
  <c r="HG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C158" i="2"/>
  <c r="ED157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H160" i="2"/>
  <c r="EY159" i="2"/>
  <c r="HI160" i="2"/>
  <c r="H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AB161" i="2"/>
  <c r="HG161" i="2"/>
  <c r="FS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EB162" i="2"/>
  <c r="HG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H163" i="2"/>
  <c r="EY162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V164" i="2"/>
  <c r="ED163" i="2"/>
  <c r="EA164" i="2"/>
  <c r="HG164" i="2"/>
  <c r="DH164" i="2"/>
  <c r="DI163" i="2"/>
  <c r="EY163" i="2"/>
  <c r="FR164" i="2"/>
  <c r="FS164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HH168" i="2"/>
  <c r="DI167" i="2"/>
  <c r="HI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D171" i="2"/>
  <c r="EA172" i="2"/>
  <c r="EY171" i="2"/>
  <c r="HI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D172" i="2"/>
  <c r="EW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EA175" i="2"/>
  <c r="ED174" i="2"/>
  <c r="EB175" i="2"/>
  <c r="AA175" i="2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EW178" i="2"/>
  <c r="HG178" i="2"/>
  <c r="FS178" i="2"/>
  <c r="FQ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D178" i="2"/>
  <c r="HG179" i="2"/>
  <c r="HI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G180" i="2"/>
  <c r="EX180" i="2"/>
  <c r="EY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W186" i="2"/>
  <c r="EA186" i="2"/>
  <c r="ED185" i="2"/>
  <c r="EB186" i="2"/>
  <c r="HG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EB187" i="2"/>
  <c r="EC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B190" i="2"/>
  <c r="ED189" i="2"/>
  <c r="HJ189" i="2"/>
  <c r="EY189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D190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Y191" i="2"/>
  <c r="EW192" i="2"/>
  <c r="EC192" i="2"/>
  <c r="HG192" i="2"/>
  <c r="HI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HI194" i="2"/>
  <c r="FQ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B195" i="2"/>
  <c r="EA195" i="2"/>
  <c r="EY194" i="2"/>
  <c r="DH195" i="2"/>
  <c r="AA195" i="2"/>
  <c r="HG195" i="2"/>
  <c r="HI195" i="2"/>
  <c r="FQ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W197" i="2"/>
  <c r="EY196" i="2"/>
  <c r="HG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HH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ED200" i="2"/>
  <c r="DI200" i="2"/>
  <c r="HG201" i="2"/>
  <c r="HH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S202" i="2"/>
  <c r="EW202" i="2"/>
  <c r="EX202" i="2"/>
  <c r="ED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35" i="2" a="1"/>
  <c r="FY35" i="2" s="1"/>
  <c r="FY186" i="2" a="1"/>
  <c r="FY186" i="2" s="1"/>
  <c r="FY92" i="2" a="1"/>
  <c r="FY92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EI198" i="2" a="1"/>
  <c r="EI198" i="2" s="1"/>
  <c r="EI153" i="2" a="1"/>
  <c r="EI153" i="2" s="1"/>
  <c r="EI106" i="2" a="1"/>
  <c r="EI106" i="2" s="1"/>
  <c r="EI29" i="2" a="1"/>
  <c r="EI29" i="2" s="1"/>
  <c r="EI178" i="2" a="1"/>
  <c r="EI178" i="2" s="1"/>
  <c r="EI142" i="2" a="1"/>
  <c r="EI142" i="2" s="1"/>
  <c r="DN155" i="2" a="1"/>
  <c r="DN155" i="2" s="1"/>
  <c r="DN152" i="2" a="1"/>
  <c r="DN152" i="2" s="1"/>
  <c r="DN184" i="2" a="1"/>
  <c r="DN184" i="2" s="1"/>
  <c r="DN113" i="2" a="1"/>
  <c r="DN11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Y116" i="2" l="1" a="1"/>
  <c r="FY116" i="2" s="1"/>
  <c r="FY111" i="2" a="1"/>
  <c r="FY111" i="2" s="1"/>
  <c r="FY73" i="2" a="1"/>
  <c r="FY73" i="2" s="1"/>
  <c r="FY191" i="2" a="1"/>
  <c r="FY191" i="2" s="1"/>
  <c r="FY152" i="2" a="1"/>
  <c r="FY152" i="2" s="1"/>
  <c r="FY173" i="2" a="1"/>
  <c r="FY173" i="2" s="1"/>
  <c r="FY159" i="2" a="1"/>
  <c r="FY159" i="2" s="1"/>
  <c r="FY102" i="2" a="1"/>
  <c r="FY102" i="2" s="1"/>
  <c r="FY143" i="2" a="1"/>
  <c r="FY143" i="2" s="1"/>
  <c r="FY110" i="2" a="1"/>
  <c r="FY110" i="2" s="1"/>
  <c r="FY153" i="2" a="1"/>
  <c r="FY153" i="2" s="1"/>
  <c r="FY18" i="2" a="1"/>
  <c r="FY18" i="2" s="1"/>
  <c r="GT190" i="2" a="1"/>
  <c r="GT190" i="2" s="1"/>
  <c r="GT38" i="2" a="1"/>
  <c r="GT38" i="2" s="1"/>
  <c r="GT102" i="2" a="1"/>
  <c r="GT102" i="2" s="1"/>
  <c r="GT189" i="2" a="1"/>
  <c r="GT189" i="2" s="1"/>
  <c r="GT198" i="2" a="1"/>
  <c r="GT198" i="2" s="1"/>
  <c r="GT33" i="2" a="1"/>
  <c r="GT33" i="2" s="1"/>
  <c r="GT68" i="2" a="1"/>
  <c r="GT68" i="2" s="1"/>
  <c r="GT107" i="2" a="1"/>
  <c r="GT107" i="2" s="1"/>
  <c r="GT174" i="2" a="1"/>
  <c r="GT174" i="2" s="1"/>
  <c r="GT21" i="2" a="1"/>
  <c r="GT21" i="2" s="1"/>
  <c r="GT147" i="2" a="1"/>
  <c r="GT147" i="2" s="1"/>
  <c r="GT181" i="2" a="1"/>
  <c r="GT181" i="2" s="1"/>
  <c r="GT191" i="2" a="1"/>
  <c r="GT191" i="2" s="1"/>
  <c r="GT12" i="2" a="1"/>
  <c r="GT12" i="2" s="1"/>
  <c r="GT152" i="2" a="1"/>
  <c r="GT152" i="2" s="1"/>
  <c r="GT184" i="2" a="1"/>
  <c r="GT184" i="2" s="1"/>
  <c r="GT126" i="2" a="1"/>
  <c r="GT126" i="2" s="1"/>
  <c r="GT133" i="2" a="1"/>
  <c r="GT133" i="2" s="1"/>
  <c r="GT15" i="2" a="1"/>
  <c r="GT15" i="2" s="1"/>
  <c r="GT74" i="2" a="1"/>
  <c r="GT74" i="2" s="1"/>
  <c r="GT121" i="2" a="1"/>
  <c r="GT121" i="2" s="1"/>
  <c r="HH203" i="2"/>
  <c r="GT138" i="2" a="1"/>
  <c r="GT138" i="2" s="1"/>
  <c r="GT178" i="2" a="1"/>
  <c r="GT178" i="2" s="1"/>
  <c r="GT122" i="2" a="1"/>
  <c r="GT122" i="2" s="1"/>
  <c r="GT11" i="2" a="1"/>
  <c r="GT11" i="2" s="1"/>
  <c r="GT51" i="2" a="1"/>
  <c r="GT51" i="2" s="1"/>
  <c r="FY50" i="2" a="1"/>
  <c r="FY50" i="2" s="1"/>
  <c r="FY69" i="2" a="1"/>
  <c r="FY69" i="2" s="1"/>
  <c r="FY66" i="2" a="1"/>
  <c r="FY66" i="2" s="1"/>
  <c r="FY120" i="2" a="1"/>
  <c r="FY120" i="2" s="1"/>
  <c r="FY71" i="2" a="1"/>
  <c r="FY71" i="2" s="1"/>
  <c r="FY109" i="2" a="1"/>
  <c r="FY109" i="2" s="1"/>
  <c r="FY133" i="2" a="1"/>
  <c r="FY133" i="2" s="1"/>
  <c r="FY140" i="2" a="1"/>
  <c r="FY140" i="2" s="1"/>
  <c r="FY29" i="2" a="1"/>
  <c r="FY29" i="2" s="1"/>
  <c r="FY79" i="2" a="1"/>
  <c r="FY79" i="2" s="1"/>
  <c r="FY165" i="2" a="1"/>
  <c r="FY165" i="2" s="1"/>
  <c r="FY146" i="2" a="1"/>
  <c r="FY146" i="2" s="1"/>
  <c r="FY32" i="2" a="1"/>
  <c r="FY32" i="2" s="1"/>
  <c r="FY22" i="2" a="1"/>
  <c r="FY22" i="2" s="1"/>
  <c r="FY90" i="2" a="1"/>
  <c r="FY90" i="2" s="1"/>
  <c r="FY57" i="2" a="1"/>
  <c r="FY57" i="2" s="1"/>
  <c r="FY54" i="2" a="1"/>
  <c r="FY54" i="2" s="1"/>
  <c r="FS203" i="2"/>
  <c r="FD159" i="2" a="1"/>
  <c r="FD159" i="2" s="1"/>
  <c r="FD131" i="2" a="1"/>
  <c r="FD131" i="2" s="1"/>
  <c r="FD60" i="2" a="1"/>
  <c r="FD60" i="2" s="1"/>
  <c r="FD167" i="2" a="1"/>
  <c r="FD167" i="2" s="1"/>
  <c r="FD187" i="2" a="1"/>
  <c r="FD187" i="2" s="1"/>
  <c r="FD137" i="2" a="1"/>
  <c r="FD137" i="2" s="1"/>
  <c r="FD194" i="2" a="1"/>
  <c r="FD194" i="2" s="1"/>
  <c r="FD43" i="2" a="1"/>
  <c r="FD43" i="2" s="1"/>
  <c r="FD19" i="2" a="1"/>
  <c r="FD19" i="2" s="1"/>
  <c r="FD64" i="2" a="1"/>
  <c r="FD64" i="2" s="1"/>
  <c r="FD82" i="2" a="1"/>
  <c r="FD82" i="2" s="1"/>
  <c r="FD160" i="2" a="1"/>
  <c r="FD160" i="2" s="1"/>
  <c r="FD189" i="2" a="1"/>
  <c r="FD189" i="2" s="1"/>
  <c r="FD14" i="2" a="1"/>
  <c r="FD14" i="2" s="1"/>
  <c r="FD48" i="2" a="1"/>
  <c r="FD48" i="2" s="1"/>
  <c r="FD59" i="2" a="1"/>
  <c r="FD59" i="2" s="1"/>
  <c r="FD107" i="2" a="1"/>
  <c r="FD107" i="2" s="1"/>
  <c r="FD44" i="2" a="1"/>
  <c r="FD44" i="2" s="1"/>
  <c r="FD144" i="2" a="1"/>
  <c r="FD144" i="2" s="1"/>
  <c r="FD188" i="2" a="1"/>
  <c r="FD188" i="2" s="1"/>
  <c r="FD21" i="2" a="1"/>
  <c r="FD21" i="2" s="1"/>
  <c r="EI166" i="2" a="1"/>
  <c r="EI166" i="2" s="1"/>
  <c r="EI145" i="2" a="1"/>
  <c r="EI145" i="2" s="1"/>
  <c r="EI162" i="2" a="1"/>
  <c r="EI162" i="2" s="1"/>
  <c r="EI150" i="2" a="1"/>
  <c r="EI150" i="2" s="1"/>
  <c r="DN129" i="2" a="1"/>
  <c r="DN129" i="2" s="1"/>
  <c r="DN43" i="2" a="1"/>
  <c r="DN43" i="2" s="1"/>
  <c r="DN50" i="2" a="1"/>
  <c r="DN50" i="2" s="1"/>
  <c r="DN186" i="2" a="1"/>
  <c r="DN186" i="2" s="1"/>
  <c r="DN137" i="2" a="1"/>
  <c r="DN137" i="2" s="1"/>
  <c r="DN25" i="2" a="1"/>
  <c r="DN25" i="2" s="1"/>
  <c r="DN124" i="2" a="1"/>
  <c r="DN124" i="2" s="1"/>
  <c r="DN153" i="2" a="1"/>
  <c r="DN153" i="2" s="1"/>
  <c r="DN29" i="2" a="1"/>
  <c r="DN29" i="2" s="1"/>
  <c r="DN170" i="2" a="1"/>
  <c r="DN170" i="2" s="1"/>
  <c r="DN41" i="2" a="1"/>
  <c r="DN41" i="2" s="1"/>
  <c r="CS129" i="2" a="1"/>
  <c r="CS129" i="2" s="1"/>
  <c r="CS52" i="2" a="1"/>
  <c r="CS52" i="2" s="1"/>
  <c r="CS38" i="2" a="1"/>
  <c r="CS38" i="2" s="1"/>
  <c r="CS66" i="2" a="1"/>
  <c r="CS66" i="2" s="1"/>
  <c r="CS161" i="2" a="1"/>
  <c r="CS161" i="2" s="1"/>
  <c r="CS77" i="2" a="1"/>
  <c r="CS77" i="2" s="1"/>
  <c r="AH151" i="2" a="1"/>
  <c r="AH151" i="2" s="1"/>
  <c r="AH163" i="2" a="1"/>
  <c r="AH163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Z52" i="2" l="1"/>
  <c r="GZ97" i="2"/>
  <c r="GZ126" i="2"/>
  <c r="GZ145" i="2"/>
  <c r="GZ163" i="2"/>
  <c r="GZ138" i="2"/>
  <c r="GZ50" i="2"/>
  <c r="GZ175" i="2"/>
  <c r="GZ192" i="2"/>
  <c r="GZ75" i="2"/>
  <c r="GZ110" i="2"/>
  <c r="GZ10" i="2"/>
  <c r="GZ19" i="2"/>
  <c r="GZ129" i="2"/>
  <c r="GZ38" i="2"/>
  <c r="GZ127" i="2"/>
  <c r="GZ142" i="2"/>
  <c r="GZ34" i="2"/>
  <c r="GZ139" i="2"/>
  <c r="GZ201" i="2"/>
  <c r="GZ53" i="2"/>
  <c r="GZ57" i="2"/>
  <c r="GZ194" i="2"/>
  <c r="GZ124" i="2"/>
  <c r="GZ45" i="2"/>
  <c r="GZ122" i="2"/>
  <c r="GZ158" i="2"/>
  <c r="GZ62" i="2"/>
  <c r="GZ76" i="2"/>
  <c r="GZ22" i="2"/>
  <c r="GZ9" i="2"/>
  <c r="GZ154" i="2"/>
  <c r="GZ165" i="2"/>
  <c r="GZ63" i="2"/>
  <c r="GZ106" i="2"/>
  <c r="GZ176" i="2"/>
  <c r="GZ149" i="2"/>
  <c r="GZ55" i="2"/>
  <c r="GZ21" i="2"/>
  <c r="GZ77" i="2"/>
  <c r="GZ74" i="2"/>
  <c r="GZ167" i="2"/>
  <c r="GZ112" i="2"/>
  <c r="GZ33" i="2"/>
  <c r="GZ181" i="2"/>
  <c r="GZ164" i="2"/>
  <c r="GZ107" i="2"/>
  <c r="GZ169" i="2"/>
  <c r="GZ99" i="2"/>
  <c r="GZ195" i="2"/>
  <c r="GZ60" i="2"/>
  <c r="GZ125" i="2"/>
  <c r="GZ49" i="2"/>
  <c r="GZ67" i="2"/>
  <c r="GZ113" i="2"/>
  <c r="GZ46" i="2"/>
  <c r="GZ42" i="2"/>
  <c r="GZ159" i="2"/>
  <c r="GZ95" i="2"/>
  <c r="GZ89" i="2"/>
  <c r="GZ36" i="2"/>
  <c r="GZ69" i="2"/>
  <c r="GZ180" i="2"/>
  <c r="GZ170" i="2"/>
  <c r="GZ5" i="2"/>
  <c r="GZ54" i="2"/>
  <c r="GZ20" i="2"/>
  <c r="GZ123" i="2"/>
  <c r="GZ11" i="2"/>
  <c r="GZ200" i="2"/>
  <c r="GZ44" i="2"/>
  <c r="GZ172" i="2"/>
  <c r="GZ183" i="2"/>
  <c r="GZ15" i="2"/>
  <c r="GZ188" i="2"/>
  <c r="GZ37" i="2"/>
  <c r="GZ56" i="2"/>
  <c r="GZ14" i="2"/>
  <c r="GZ84" i="2"/>
  <c r="GZ171" i="2"/>
  <c r="GZ105" i="2"/>
  <c r="GZ116" i="2"/>
  <c r="GZ168" i="2"/>
  <c r="GZ73" i="2"/>
  <c r="GZ108" i="2"/>
  <c r="GZ191" i="2"/>
  <c r="GZ68" i="2"/>
  <c r="GZ120" i="2"/>
  <c r="GZ134" i="2"/>
  <c r="GZ18" i="2"/>
  <c r="GZ144" i="2"/>
  <c r="GZ160" i="2"/>
  <c r="GZ198" i="2"/>
  <c r="GZ148" i="2"/>
  <c r="GZ29" i="2"/>
  <c r="GZ61" i="2"/>
  <c r="GZ26" i="2"/>
  <c r="GZ12" i="2"/>
  <c r="GZ157" i="2"/>
  <c r="GZ93" i="2"/>
  <c r="GZ102" i="2"/>
  <c r="GZ117" i="2"/>
  <c r="GZ130" i="2"/>
  <c r="GZ186" i="2"/>
  <c r="GZ151" i="2"/>
  <c r="GZ4" i="2"/>
  <c r="GZ100" i="2"/>
  <c r="GZ101" i="2"/>
  <c r="GZ152" i="2"/>
  <c r="GZ70" i="2"/>
  <c r="GZ146" i="2"/>
  <c r="GZ41" i="2"/>
  <c r="GZ135" i="2"/>
  <c r="GZ66" i="2"/>
  <c r="GZ193" i="2"/>
  <c r="GZ83" i="2"/>
  <c r="GZ28" i="2"/>
  <c r="GZ153" i="2"/>
  <c r="GZ162" i="2"/>
  <c r="GZ71" i="2"/>
  <c r="GZ64" i="2"/>
  <c r="GZ128" i="2"/>
  <c r="GZ199" i="2"/>
  <c r="GZ35" i="2"/>
  <c r="GZ131" i="2"/>
  <c r="GZ103" i="2"/>
  <c r="GZ109" i="2"/>
  <c r="GZ111" i="2"/>
  <c r="GZ143" i="2"/>
  <c r="GZ136" i="2"/>
  <c r="GZ90" i="2"/>
  <c r="GZ203" i="2"/>
  <c r="GZ115" i="2"/>
  <c r="GZ7" i="2"/>
  <c r="GZ96" i="2"/>
  <c r="GZ132" i="2"/>
  <c r="GZ6" i="2"/>
  <c r="GZ177" i="2"/>
  <c r="GZ161" i="2"/>
  <c r="GZ86" i="2"/>
  <c r="GZ184" i="2"/>
  <c r="GZ8" i="2"/>
  <c r="GZ79" i="2"/>
  <c r="GZ78" i="2"/>
  <c r="GZ98" i="2"/>
  <c r="GZ141" i="2"/>
  <c r="GZ147" i="2"/>
  <c r="GZ94" i="2"/>
  <c r="GZ118" i="2"/>
  <c r="GZ202" i="2"/>
  <c r="GZ119" i="2"/>
  <c r="GZ39" i="2"/>
  <c r="GZ189" i="2"/>
  <c r="GZ137" i="2"/>
  <c r="GZ17" i="2"/>
  <c r="GZ87" i="2"/>
  <c r="GZ179" i="2"/>
  <c r="GZ182" i="2"/>
  <c r="GZ48" i="2"/>
  <c r="GZ40" i="2"/>
  <c r="GZ156" i="2"/>
  <c r="GZ190" i="2"/>
  <c r="GZ82" i="2"/>
  <c r="GZ24" i="2"/>
  <c r="GZ140" i="2"/>
  <c r="GZ174" i="2"/>
  <c r="GZ16" i="2"/>
  <c r="GZ47" i="2"/>
  <c r="GZ81" i="2"/>
  <c r="GZ185" i="2"/>
  <c r="GZ51" i="2"/>
  <c r="GZ31" i="2"/>
  <c r="GZ150" i="2"/>
  <c r="GZ178" i="2"/>
  <c r="GZ80" i="2"/>
  <c r="GZ25" i="2"/>
  <c r="GZ43" i="2"/>
  <c r="GZ114" i="2"/>
  <c r="GZ27" i="2"/>
  <c r="GZ91" i="2"/>
  <c r="GZ59" i="2"/>
  <c r="GZ32" i="2"/>
  <c r="GZ85" i="2"/>
  <c r="GZ197" i="2"/>
  <c r="GZ155" i="2"/>
  <c r="GZ13" i="2"/>
  <c r="GZ121" i="2"/>
  <c r="GZ92" i="2"/>
  <c r="GZ166" i="2"/>
  <c r="GZ58" i="2"/>
  <c r="GZ187" i="2"/>
  <c r="GZ196" i="2"/>
  <c r="GZ173" i="2"/>
  <c r="GZ65" i="2"/>
  <c r="GZ23" i="2"/>
  <c r="GZ104" i="2"/>
  <c r="GZ133" i="2"/>
  <c r="GZ88" i="2"/>
  <c r="GZ72" i="2"/>
  <c r="GZ30" i="2"/>
  <c r="GZ3" i="2"/>
  <c r="C15" i="4" s="1"/>
  <c r="E15" i="4" s="1"/>
  <c r="F15" i="4" s="1"/>
  <c r="G15" i="4" s="1"/>
  <c r="L15" i="4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<sst xmlns="http://schemas.openxmlformats.org/spreadsheetml/2006/main" count="1179" uniqueCount="324">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</sst>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94720"/>
        <c:axId val="-387191456"/>
      </c:scatterChart>
      <c:valAx>
        <c:axId val="-387194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1456"/>
        <c:crosses val="autoZero"/>
        <c:crossBetween val="midCat"/>
      </c:valAx>
      <c:valAx>
        <c:axId val="-38719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4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83316816"/>
        <c:axId val="-483314640"/>
      </c:scatterChart>
      <c:valAx>
        <c:axId val="-483316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83314640"/>
        <c:crosses val="autoZero"/>
        <c:crossBetween val="midCat"/>
      </c:valAx>
      <c:valAx>
        <c:axId val="-48331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8331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137.74805278734991</c:v>
                </c:pt>
                <c:pt idx="22">
                  <c:v>153.24633362321308</c:v>
                </c:pt>
                <c:pt idx="23">
                  <c:v>168.70731385664786</c:v>
                </c:pt>
                <c:pt idx="24">
                  <c:v>184.13489538732028</c:v>
                </c:pt>
                <c:pt idx="25">
                  <c:v>199.53227181605996</c:v>
                </c:pt>
                <c:pt idx="26">
                  <c:v>214.90210298631573</c:v>
                </c:pt>
                <c:pt idx="27">
                  <c:v>230.24663683192776</c:v>
                </c:pt>
                <c:pt idx="28">
                  <c:v>245.56779696624957</c:v>
                </c:pt>
                <c:pt idx="29">
                  <c:v>260.86724722641287</c:v>
                </c:pt>
                <c:pt idx="30">
                  <c:v>276.14644026006232</c:v>
                </c:pt>
                <c:pt idx="31">
                  <c:v>254.57000537803893</c:v>
                </c:pt>
                <c:pt idx="32">
                  <c:v>270.2425143584897</c:v>
                </c:pt>
                <c:pt idx="33">
                  <c:v>285.89457521279797</c:v>
                </c:pt>
                <c:pt idx="34">
                  <c:v>301.52746504321459</c:v>
                </c:pt>
                <c:pt idx="35">
                  <c:v>317.14231769154236</c:v>
                </c:pt>
                <c:pt idx="36">
                  <c:v>332.74014622063538</c:v>
                </c:pt>
                <c:pt idx="37">
                  <c:v>348.32186095767747</c:v>
                </c:pt>
                <c:pt idx="38">
                  <c:v>363.88828413877462</c:v>
                </c:pt>
                <c:pt idx="39">
                  <c:v>379.44016191597626</c:v>
                </c:pt>
                <c:pt idx="40">
                  <c:v>394.97817429257526</c:v>
                </c:pt>
                <c:pt idx="41">
                  <c:v>409.48531996489595</c:v>
                </c:pt>
                <c:pt idx="42">
                  <c:v>423.98137001578152</c:v>
                </c:pt>
                <c:pt idx="43">
                  <c:v>438.46675717950558</c:v>
                </c:pt>
                <c:pt idx="44">
                  <c:v>452.94188327074266</c:v>
                </c:pt>
                <c:pt idx="45">
                  <c:v>467.4071223319857</c:v>
                </c:pt>
                <c:pt idx="46">
                  <c:v>481.86282337109265</c:v>
                </c:pt>
                <c:pt idx="47">
                  <c:v>496.30931275327674</c:v>
                </c:pt>
                <c:pt idx="48">
                  <c:v>510.74689630015126</c:v>
                </c:pt>
                <c:pt idx="49">
                  <c:v>525.17586113913819</c:v>
                </c:pt>
                <c:pt idx="50">
                  <c:v>539.59647733911208</c:v>
                </c:pt>
                <c:pt idx="51">
                  <c:v>456.24183024976122</c:v>
                </c:pt>
                <c:pt idx="52">
                  <c:v>469.18289082248162</c:v>
                </c:pt>
                <c:pt idx="53">
                  <c:v>482.11634901707697</c:v>
                </c:pt>
                <c:pt idx="54">
                  <c:v>495.04243748759842</c:v>
                </c:pt>
                <c:pt idx="55">
                  <c:v>507.96137574936205</c:v>
                </c:pt>
                <c:pt idx="56">
                  <c:v>520.87337124324085</c:v>
                </c:pt>
                <c:pt idx="57">
                  <c:v>533.77862028895709</c:v>
                </c:pt>
                <c:pt idx="58">
                  <c:v>546.67730894140493</c:v>
                </c:pt>
                <c:pt idx="59">
                  <c:v>559.56961376197251</c:v>
                </c:pt>
                <c:pt idx="60">
                  <c:v>572.45570251510264</c:v>
                </c:pt>
                <c:pt idx="61">
                  <c:v>583.69449347157956</c:v>
                </c:pt>
                <c:pt idx="62">
                  <c:v>594.92877477767217</c:v>
                </c:pt>
                <c:pt idx="63">
                  <c:v>606.15864357528756</c:v>
                </c:pt>
                <c:pt idx="64">
                  <c:v>617.38419311433256</c:v>
                </c:pt>
                <c:pt idx="65">
                  <c:v>628.6055129780724</c:v>
                </c:pt>
                <c:pt idx="66">
                  <c:v>639.82268929156578</c:v>
                </c:pt>
                <c:pt idx="67">
                  <c:v>651.03580491472928</c:v>
                </c:pt>
                <c:pt idx="68">
                  <c:v>662.24493962141491</c:v>
                </c:pt>
                <c:pt idx="69">
                  <c:v>673.45017026573748</c:v>
                </c:pt>
                <c:pt idx="70">
                  <c:v>684.65157093676328</c:v>
                </c:pt>
                <c:pt idx="71">
                  <c:v>592.02596018789347</c:v>
                </c:pt>
                <c:pt idx="72">
                  <c:v>601.49057626451383</c:v>
                </c:pt>
                <c:pt idx="73">
                  <c:v>610.95209793295874</c:v>
                </c:pt>
                <c:pt idx="74">
                  <c:v>620.4105798664915</c:v>
                </c:pt>
                <c:pt idx="75">
                  <c:v>629.86607493557528</c:v>
                </c:pt>
                <c:pt idx="76">
                  <c:v>639.31863429406769</c:v>
                </c:pt>
                <c:pt idx="77">
                  <c:v>648.76830746005442</c:v>
                </c:pt>
                <c:pt idx="78">
                  <c:v>658.21514239172643</c:v>
                </c:pt>
                <c:pt idx="79">
                  <c:v>667.65918555868109</c:v>
                </c:pt>
                <c:pt idx="80">
                  <c:v>677.10048200897643</c:v>
                </c:pt>
                <c:pt idx="81">
                  <c:v>685.40658552693492</c:v>
                </c:pt>
                <c:pt idx="82">
                  <c:v>693.71062477868054</c:v>
                </c:pt>
                <c:pt idx="83">
                  <c:v>702.01262795401635</c:v>
                </c:pt>
                <c:pt idx="84">
                  <c:v>710.31262252176123</c:v>
                </c:pt>
                <c:pt idx="85">
                  <c:v>718.61063525657755</c:v>
                </c:pt>
                <c:pt idx="86">
                  <c:v>726.90669226449916</c:v>
                </c:pt>
                <c:pt idx="87">
                  <c:v>735.20081900723028</c:v>
                </c:pt>
                <c:pt idx="88">
                  <c:v>743.49304032529437</c:v>
                </c:pt>
                <c:pt idx="89">
                  <c:v>751.78338046009458</c:v>
                </c:pt>
                <c:pt idx="90">
                  <c:v>760.07186307495249</c:v>
                </c:pt>
                <c:pt idx="91">
                  <c:v>676.34527833473487</c:v>
                </c:pt>
                <c:pt idx="92">
                  <c:v>684.39989561198638</c:v>
                </c:pt>
                <c:pt idx="93">
                  <c:v>692.4525685777021</c:v>
                </c:pt>
                <c:pt idx="94">
                  <c:v>700.5033230272669</c:v>
                </c:pt>
                <c:pt idx="95">
                  <c:v>708.5521841148925</c:v>
                </c:pt>
                <c:pt idx="96">
                  <c:v>716.5991763768144</c:v>
                </c:pt>
                <c:pt idx="97">
                  <c:v>724.64432375339072</c:v>
                </c:pt>
                <c:pt idx="98">
                  <c:v>732.68764961016916</c:v>
                </c:pt>
                <c:pt idx="99">
                  <c:v>740.72917675798271</c:v>
                </c:pt>
                <c:pt idx="100">
                  <c:v>748.76892747212639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93632"/>
        <c:axId val="-387185472"/>
      </c:scatterChart>
      <c:valAx>
        <c:axId val="-387193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5472"/>
        <c:crosses val="autoZero"/>
        <c:crossBetween val="midCat"/>
      </c:valAx>
      <c:valAx>
        <c:axId val="-38718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3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94176"/>
        <c:axId val="-387190912"/>
      </c:scatterChart>
      <c:valAx>
        <c:axId val="-387194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0912"/>
        <c:crosses val="autoZero"/>
        <c:crossBetween val="midCat"/>
      </c:valAx>
      <c:valAx>
        <c:axId val="-38719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584.32575150478135</c:v>
                </c:pt>
                <c:pt idx="82">
                  <c:v>596.73945494670397</c:v>
                </c:pt>
                <c:pt idx="83">
                  <c:v>609.14778887966042</c:v>
                </c:pt>
                <c:pt idx="84">
                  <c:v>621.55087805639857</c:v>
                </c:pt>
                <c:pt idx="85">
                  <c:v>633.94884184664011</c:v>
                </c:pt>
                <c:pt idx="86">
                  <c:v>555.1959476117446</c:v>
                </c:pt>
                <c:pt idx="87">
                  <c:v>566.33749757672854</c:v>
                </c:pt>
                <c:pt idx="88">
                  <c:v>577.47446592353504</c:v>
                </c:pt>
                <c:pt idx="89">
                  <c:v>588.60695345087686</c:v>
                </c:pt>
                <c:pt idx="90">
                  <c:v>599.73505683441101</c:v>
                </c:pt>
                <c:pt idx="91">
                  <c:v>610.85886887038021</c:v>
                </c:pt>
                <c:pt idx="92">
                  <c:v>621.97847870058933</c:v>
                </c:pt>
                <c:pt idx="93">
                  <c:v>633.09397202046159</c:v>
                </c:pt>
                <c:pt idx="94">
                  <c:v>644.20543127172971</c:v>
                </c:pt>
                <c:pt idx="95">
                  <c:v>655.31293582114586</c:v>
                </c:pt>
                <c:pt idx="96">
                  <c:v>575.54723712647126</c:v>
                </c:pt>
                <c:pt idx="97">
                  <c:v>585.61018050264568</c:v>
                </c:pt>
                <c:pt idx="98">
                  <c:v>595.66952141128706</c:v>
                </c:pt>
                <c:pt idx="99">
                  <c:v>605.72532925827056</c:v>
                </c:pt>
                <c:pt idx="100">
                  <c:v>615.77767095740785</c:v>
                </c:pt>
                <c:pt idx="101">
                  <c:v>625.82661106001262</c:v>
                </c:pt>
                <c:pt idx="102">
                  <c:v>635.8722118757147</c:v>
                </c:pt>
                <c:pt idx="103">
                  <c:v>645.91453358524484</c:v>
                </c:pt>
                <c:pt idx="104">
                  <c:v>655.9536343458409</c:v>
                </c:pt>
                <c:pt idx="105">
                  <c:v>665.98957038987123</c:v>
                </c:pt>
                <c:pt idx="106">
                  <c:v>586.89455079472862</c:v>
                </c:pt>
                <c:pt idx="107">
                  <c:v>595.4555299089252</c:v>
                </c:pt>
                <c:pt idx="108">
                  <c:v>604.01394898353021</c:v>
                </c:pt>
                <c:pt idx="109">
                  <c:v>612.56984940724124</c:v>
                </c:pt>
                <c:pt idx="110">
                  <c:v>621.12327131831091</c:v>
                </c:pt>
                <c:pt idx="111">
                  <c:v>629.6742536593955</c:v>
                </c:pt>
                <c:pt idx="112">
                  <c:v>638.2228342292683</c:v>
                </c:pt>
                <c:pt idx="113">
                  <c:v>646.76904973162016</c:v>
                </c:pt>
                <c:pt idx="114">
                  <c:v>655.31293582114574</c:v>
                </c:pt>
                <c:pt idx="115">
                  <c:v>663.85452714710425</c:v>
                </c:pt>
                <c:pt idx="116">
                  <c:v>592.03144782908828</c:v>
                </c:pt>
                <c:pt idx="117">
                  <c:v>599.30713279218196</c:v>
                </c:pt>
                <c:pt idx="118">
                  <c:v>606.58098171901713</c:v>
                </c:pt>
                <c:pt idx="119">
                  <c:v>613.85301973416642</c:v>
                </c:pt>
                <c:pt idx="120">
                  <c:v>621.1232713183108</c:v>
                </c:pt>
                <c:pt idx="121">
                  <c:v>628.39176033224737</c:v>
                </c:pt>
                <c:pt idx="122">
                  <c:v>635.65851003972955</c:v>
                </c:pt>
                <c:pt idx="123">
                  <c:v>642.92354312920872</c:v>
                </c:pt>
                <c:pt idx="124">
                  <c:v>650.18688173454223</c:v>
                </c:pt>
                <c:pt idx="125">
                  <c:v>657.44854745472685</c:v>
                </c:pt>
                <c:pt idx="126">
                  <c:v>593.31552677912566</c:v>
                </c:pt>
                <c:pt idx="127">
                  <c:v>599.73505683440999</c:v>
                </c:pt>
                <c:pt idx="128">
                  <c:v>606.15315862414161</c:v>
                </c:pt>
                <c:pt idx="129">
                  <c:v>612.56984940724067</c:v>
                </c:pt>
                <c:pt idx="130">
                  <c:v>618.9851460514908</c:v>
                </c:pt>
                <c:pt idx="131">
                  <c:v>625.39906504645353</c:v>
                </c:pt>
                <c:pt idx="132">
                  <c:v>631.81162251582543</c:v>
                </c:pt>
                <c:pt idx="133">
                  <c:v>638.22283422926773</c:v>
                </c:pt>
                <c:pt idx="134">
                  <c:v>644.63271561373642</c:v>
                </c:pt>
                <c:pt idx="135">
                  <c:v>651.04128176433585</c:v>
                </c:pt>
                <c:pt idx="136">
                  <c:v>594.31421485880117</c:v>
                </c:pt>
                <c:pt idx="137">
                  <c:v>599.59241619255545</c:v>
                </c:pt>
                <c:pt idx="138">
                  <c:v>604.86965169329517</c:v>
                </c:pt>
                <c:pt idx="139">
                  <c:v>610.14593097892123</c:v>
                </c:pt>
                <c:pt idx="140">
                  <c:v>615.42126348737179</c:v>
                </c:pt>
                <c:pt idx="141">
                  <c:v>620.69565848153582</c:v>
                </c:pt>
                <c:pt idx="142">
                  <c:v>625.9691250539928</c:v>
                </c:pt>
                <c:pt idx="143">
                  <c:v>631.24167213158387</c:v>
                </c:pt>
                <c:pt idx="144">
                  <c:v>636.51330847982263</c:v>
                </c:pt>
                <c:pt idx="145">
                  <c:v>641.78404270715203</c:v>
                </c:pt>
                <c:pt idx="146">
                  <c:v>647.05388326905359</c:v>
                </c:pt>
                <c:pt idx="147">
                  <c:v>652.32283847201654</c:v>
                </c:pt>
                <c:pt idx="148">
                  <c:v>657.59091647737216</c:v>
                </c:pt>
                <c:pt idx="149">
                  <c:v>662.858125304998</c:v>
                </c:pt>
                <c:pt idx="150">
                  <c:v>668.12447283689914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83296"/>
        <c:axId val="-387196352"/>
      </c:scatterChart>
      <c:valAx>
        <c:axId val="-387183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6352"/>
        <c:crosses val="autoZero"/>
        <c:crossBetween val="midCat"/>
      </c:valAx>
      <c:valAx>
        <c:axId val="-38719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3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557.95210035753439</c:v>
                </c:pt>
                <c:pt idx="82">
                  <c:v>569.80428287631264</c:v>
                </c:pt>
                <c:pt idx="83">
                  <c:v>581.65131546152315</c:v>
                </c:pt>
                <c:pt idx="84">
                  <c:v>593.49331776439851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567.48874784305497</c:v>
                </c:pt>
                <c:pt idx="137">
                  <c:v>572.52819008178778</c:v>
                </c:pt>
                <c:pt idx="138">
                  <c:v>577.56670598332778</c:v>
                </c:pt>
                <c:pt idx="139">
                  <c:v>582.60430477227158</c:v>
                </c:pt>
                <c:pt idx="140">
                  <c:v>587.64099550061076</c:v>
                </c:pt>
                <c:pt idx="141">
                  <c:v>592.67678705244703</c:v>
                </c:pt>
                <c:pt idx="142">
                  <c:v>597.71168814853706</c:v>
                </c:pt>
                <c:pt idx="143">
                  <c:v>602.7457073506763</c:v>
                </c:pt>
                <c:pt idx="144">
                  <c:v>607.77885306593032</c:v>
                </c:pt>
                <c:pt idx="145">
                  <c:v>612.81113355071682</c:v>
                </c:pt>
                <c:pt idx="146">
                  <c:v>617.84255691474698</c:v>
                </c:pt>
                <c:pt idx="147">
                  <c:v>622.87313112483321</c:v>
                </c:pt>
                <c:pt idx="148">
                  <c:v>627.90286400856496</c:v>
                </c:pt>
                <c:pt idx="149">
                  <c:v>632.93176325786294</c:v>
                </c:pt>
                <c:pt idx="150">
                  <c:v>637.959836432413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95808"/>
        <c:axId val="-387193088"/>
      </c:scatterChart>
      <c:valAx>
        <c:axId val="-387195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3088"/>
        <c:crosses val="autoZero"/>
        <c:crossBetween val="midCat"/>
      </c:valAx>
      <c:valAx>
        <c:axId val="-38719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5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2.9620026788976301</c:v>
                </c:pt>
                <c:pt idx="2">
                  <c:v>3.6175098803284391</c:v>
                </c:pt>
                <c:pt idx="3">
                  <c:v>4.4186314454759623</c:v>
                </c:pt>
                <c:pt idx="4">
                  <c:v>5.3978287101665492</c:v>
                </c:pt>
                <c:pt idx="5">
                  <c:v>6.5948234102560903</c:v>
                </c:pt>
                <c:pt idx="6">
                  <c:v>8.0582265330304406</c:v>
                </c:pt>
                <c:pt idx="7">
                  <c:v>9.847533626551515</c:v>
                </c:pt>
                <c:pt idx="8">
                  <c:v>12.035569225080392</c:v>
                </c:pt>
                <c:pt idx="9">
                  <c:v>14.711481736853962</c:v>
                </c:pt>
                <c:pt idx="10">
                  <c:v>17.984413062832726</c:v>
                </c:pt>
                <c:pt idx="11">
                  <c:v>21.987995332765678</c:v>
                </c:pt>
                <c:pt idx="12">
                  <c:v>26.885861637800076</c:v>
                </c:pt>
                <c:pt idx="13">
                  <c:v>32.878399955020733</c:v>
                </c:pt>
                <c:pt idx="14">
                  <c:v>40.211031376345858</c:v>
                </c:pt>
                <c:pt idx="15">
                  <c:v>49.184357454314494</c:v>
                </c:pt>
                <c:pt idx="16">
                  <c:v>58.718854475687237</c:v>
                </c:pt>
                <c:pt idx="17">
                  <c:v>68.212852792069654</c:v>
                </c:pt>
                <c:pt idx="18">
                  <c:v>77.672805478494112</c:v>
                </c:pt>
                <c:pt idx="19">
                  <c:v>87.103455627199097</c:v>
                </c:pt>
                <c:pt idx="20">
                  <c:v>96.50843047567578</c:v>
                </c:pt>
                <c:pt idx="21">
                  <c:v>83.873146453077638</c:v>
                </c:pt>
                <c:pt idx="22">
                  <c:v>94.092290977081163</c:v>
                </c:pt>
                <c:pt idx="23">
                  <c:v>104.28373422341643</c:v>
                </c:pt>
                <c:pt idx="24">
                  <c:v>114.45056981624451</c:v>
                </c:pt>
                <c:pt idx="25">
                  <c:v>124.5952952084466</c:v>
                </c:pt>
                <c:pt idx="26">
                  <c:v>135.2523227638853</c:v>
                </c:pt>
                <c:pt idx="27">
                  <c:v>145.8891268499311</c:v>
                </c:pt>
                <c:pt idx="28">
                  <c:v>156.50739143470912</c:v>
                </c:pt>
                <c:pt idx="29">
                  <c:v>167.1085529281807</c:v>
                </c:pt>
                <c:pt idx="30">
                  <c:v>177.6938503237302</c:v>
                </c:pt>
                <c:pt idx="31">
                  <c:v>151.20048166263604</c:v>
                </c:pt>
                <c:pt idx="32">
                  <c:v>161.81002849455973</c:v>
                </c:pt>
                <c:pt idx="33">
                  <c:v>172.40311381841866</c:v>
                </c:pt>
                <c:pt idx="34">
                  <c:v>182.98089262147982</c:v>
                </c:pt>
                <c:pt idx="35">
                  <c:v>193.54437527040807</c:v>
                </c:pt>
                <c:pt idx="36">
                  <c:v>203.56725462336883</c:v>
                </c:pt>
                <c:pt idx="37">
                  <c:v>213.57871664581683</c:v>
                </c:pt>
                <c:pt idx="38">
                  <c:v>223.57937244826439</c:v>
                </c:pt>
                <c:pt idx="39">
                  <c:v>233.5697739499831</c:v>
                </c:pt>
                <c:pt idx="40">
                  <c:v>243.55042195408137</c:v>
                </c:pt>
                <c:pt idx="41">
                  <c:v>209.62814717632156</c:v>
                </c:pt>
                <c:pt idx="42">
                  <c:v>219.1066940859038</c:v>
                </c:pt>
                <c:pt idx="43">
                  <c:v>228.57582257279702</c:v>
                </c:pt>
                <c:pt idx="44">
                  <c:v>238.03597818890856</c:v>
                </c:pt>
                <c:pt idx="45">
                  <c:v>247.48756814320438</c:v>
                </c:pt>
                <c:pt idx="46">
                  <c:v>256.93096597176776</c:v>
                </c:pt>
                <c:pt idx="47">
                  <c:v>266.36651548463811</c:v>
                </c:pt>
                <c:pt idx="48">
                  <c:v>275.79453412361988</c:v>
                </c:pt>
                <c:pt idx="49">
                  <c:v>285.21531583652137</c:v>
                </c:pt>
                <c:pt idx="50">
                  <c:v>294.62913355147089</c:v>
                </c:pt>
                <c:pt idx="51">
                  <c:v>256.14432047394888</c:v>
                </c:pt>
                <c:pt idx="52">
                  <c:v>264.79445514427846</c:v>
                </c:pt>
                <c:pt idx="53">
                  <c:v>273.43821903105123</c:v>
                </c:pt>
                <c:pt idx="54">
                  <c:v>282.07584211332158</c:v>
                </c:pt>
                <c:pt idx="55">
                  <c:v>290.70753912232271</c:v>
                </c:pt>
                <c:pt idx="56">
                  <c:v>299.07220016759283</c:v>
                </c:pt>
                <c:pt idx="57">
                  <c:v>307.43164978258176</c:v>
                </c:pt>
                <c:pt idx="58">
                  <c:v>315.78604978151731</c:v>
                </c:pt>
                <c:pt idx="59">
                  <c:v>324.13555271053281</c:v>
                </c:pt>
                <c:pt idx="60">
                  <c:v>332.48030260881734</c:v>
                </c:pt>
                <c:pt idx="61">
                  <c:v>293.58348965406168</c:v>
                </c:pt>
                <c:pt idx="62">
                  <c:v>301.68508019664785</c:v>
                </c:pt>
                <c:pt idx="63">
                  <c:v>309.78182841816863</c:v>
                </c:pt>
                <c:pt idx="64">
                  <c:v>317.87387884766332</c:v>
                </c:pt>
                <c:pt idx="65">
                  <c:v>325.96136804849976</c:v>
                </c:pt>
                <c:pt idx="66">
                  <c:v>333.52306901364278</c:v>
                </c:pt>
                <c:pt idx="67">
                  <c:v>341.08099188151004</c:v>
                </c:pt>
                <c:pt idx="68">
                  <c:v>348.63523225300651</c:v>
                </c:pt>
                <c:pt idx="69">
                  <c:v>356.18588124438639</c:v>
                </c:pt>
                <c:pt idx="70">
                  <c:v>363.73302579033697</c:v>
                </c:pt>
                <c:pt idx="71">
                  <c:v>324.13555271053309</c:v>
                </c:pt>
                <c:pt idx="72">
                  <c:v>331.43746407545251</c:v>
                </c:pt>
                <c:pt idx="73">
                  <c:v>338.73582807336555</c:v>
                </c:pt>
                <c:pt idx="74">
                  <c:v>346.0307319885394</c:v>
                </c:pt>
                <c:pt idx="75">
                  <c:v>353.32225912134953</c:v>
                </c:pt>
                <c:pt idx="76">
                  <c:v>360.35025103245766</c:v>
                </c:pt>
                <c:pt idx="77">
                  <c:v>367.37524535104626</c:v>
                </c:pt>
                <c:pt idx="78">
                  <c:v>374.39730753366734</c:v>
                </c:pt>
                <c:pt idx="79">
                  <c:v>381.41650037906203</c:v>
                </c:pt>
                <c:pt idx="80">
                  <c:v>388.4328841840877</c:v>
                </c:pt>
                <c:pt idx="81">
                  <c:v>350.718524849787</c:v>
                </c:pt>
                <c:pt idx="82">
                  <c:v>357.22707313668053</c:v>
                </c:pt>
                <c:pt idx="83">
                  <c:v>363.73302579033697</c:v>
                </c:pt>
                <c:pt idx="84">
                  <c:v>370.23643583282046</c:v>
                </c:pt>
                <c:pt idx="85">
                  <c:v>376.73735426970956</c:v>
                </c:pt>
                <c:pt idx="86">
                  <c:v>383.23583020103388</c:v>
                </c:pt>
                <c:pt idx="87">
                  <c:v>389.73191092428829</c:v>
                </c:pt>
                <c:pt idx="88">
                  <c:v>396.22564203021756</c:v>
                </c:pt>
                <c:pt idx="89">
                  <c:v>402.71706749198864</c:v>
                </c:pt>
                <c:pt idx="90">
                  <c:v>409.20622974831167</c:v>
                </c:pt>
                <c:pt idx="91">
                  <c:v>372.31699843147612</c:v>
                </c:pt>
                <c:pt idx="92">
                  <c:v>378.29720943764664</c:v>
                </c:pt>
                <c:pt idx="93">
                  <c:v>384.27536287018273</c:v>
                </c:pt>
                <c:pt idx="94">
                  <c:v>390.25149528606488</c:v>
                </c:pt>
                <c:pt idx="95">
                  <c:v>396.22564203021761</c:v>
                </c:pt>
                <c:pt idx="96">
                  <c:v>402.19783729377281</c:v>
                </c:pt>
                <c:pt idx="97">
                  <c:v>408.16811416868967</c:v>
                </c:pt>
                <c:pt idx="98">
                  <c:v>414.13650469901057</c:v>
                </c:pt>
                <c:pt idx="99">
                  <c:v>420.10303992900572</c:v>
                </c:pt>
                <c:pt idx="100">
                  <c:v>426.06774994843914</c:v>
                </c:pt>
                <c:pt idx="101">
                  <c:v>391.16073180592321</c:v>
                </c:pt>
                <c:pt idx="102">
                  <c:v>396.48534302968648</c:v>
                </c:pt>
                <c:pt idx="103">
                  <c:v>401.80840512729782</c:v>
                </c:pt>
                <c:pt idx="104">
                  <c:v>407.12994153760968</c:v>
                </c:pt>
                <c:pt idx="105">
                  <c:v>412.44997503614496</c:v>
                </c:pt>
                <c:pt idx="106">
                  <c:v>417.76852776237507</c:v>
                </c:pt>
                <c:pt idx="107">
                  <c:v>423.08562124553572</c:v>
                </c:pt>
                <c:pt idx="108">
                  <c:v>428.40127642907754</c:v>
                </c:pt>
                <c:pt idx="109">
                  <c:v>433.71551369383707</c:v>
                </c:pt>
                <c:pt idx="110">
                  <c:v>439.02835288001444</c:v>
                </c:pt>
                <c:pt idx="111">
                  <c:v>405.18321350307696</c:v>
                </c:pt>
                <c:pt idx="112">
                  <c:v>410.24428844188589</c:v>
                </c:pt>
                <c:pt idx="113">
                  <c:v>415.30401531716234</c:v>
                </c:pt>
                <c:pt idx="114">
                  <c:v>420.36241288638047</c:v>
                </c:pt>
                <c:pt idx="115">
                  <c:v>425.41949941830882</c:v>
                </c:pt>
                <c:pt idx="116">
                  <c:v>430.47529271153195</c:v>
                </c:pt>
                <c:pt idx="117">
                  <c:v>435.5298101120556</c:v>
                </c:pt>
                <c:pt idx="118">
                  <c:v>440.58306853005132</c:v>
                </c:pt>
                <c:pt idx="119">
                  <c:v>445.63508445579265</c:v>
                </c:pt>
                <c:pt idx="120">
                  <c:v>450.68587397483105</c:v>
                </c:pt>
                <c:pt idx="121">
                  <c:v>6.1663475311105072E-12</c:v>
                </c:pt>
                <c:pt idx="122">
                  <c:v>6.1663475311105072E-12</c:v>
                </c:pt>
                <c:pt idx="123">
                  <c:v>6.1663475311105072E-12</c:v>
                </c:pt>
                <c:pt idx="124">
                  <c:v>6.1663475311105072E-12</c:v>
                </c:pt>
                <c:pt idx="125">
                  <c:v>6.1663475311105072E-12</c:v>
                </c:pt>
                <c:pt idx="126">
                  <c:v>6.1663475311105072E-12</c:v>
                </c:pt>
                <c:pt idx="127">
                  <c:v>6.1663475311105072E-12</c:v>
                </c:pt>
                <c:pt idx="128">
                  <c:v>6.1663475311105072E-12</c:v>
                </c:pt>
                <c:pt idx="129">
                  <c:v>6.1663475311105072E-12</c:v>
                </c:pt>
                <c:pt idx="130">
                  <c:v>6.1663475311105072E-12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88192"/>
        <c:axId val="-387190368"/>
      </c:scatterChart>
      <c:valAx>
        <c:axId val="-387188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90368"/>
        <c:crosses val="autoZero"/>
        <c:crossBetween val="midCat"/>
      </c:valAx>
      <c:valAx>
        <c:axId val="-38719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8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91.742969984406372</c:v>
                </c:pt>
                <c:pt idx="27">
                  <c:v>105.9557293591423</c:v>
                </c:pt>
                <c:pt idx="28">
                  <c:v>120.12142182376846</c:v>
                </c:pt>
                <c:pt idx="29">
                  <c:v>134.24638938649045</c:v>
                </c:pt>
                <c:pt idx="30">
                  <c:v>148.33552588657849</c:v>
                </c:pt>
                <c:pt idx="31">
                  <c:v>160.87445980010816</c:v>
                </c:pt>
                <c:pt idx="32">
                  <c:v>173.3902523967221</c:v>
                </c:pt>
                <c:pt idx="33">
                  <c:v>185.88481063386453</c:v>
                </c:pt>
                <c:pt idx="34">
                  <c:v>198.35976383962796</c:v>
                </c:pt>
                <c:pt idx="35">
                  <c:v>210.8165194357947</c:v>
                </c:pt>
                <c:pt idx="36">
                  <c:v>168.46242240333265</c:v>
                </c:pt>
                <c:pt idx="37">
                  <c:v>179.07212574507776</c:v>
                </c:pt>
                <c:pt idx="38">
                  <c:v>189.66710135325764</c:v>
                </c:pt>
                <c:pt idx="39">
                  <c:v>200.24828861934861</c:v>
                </c:pt>
                <c:pt idx="40">
                  <c:v>210.81651943579459</c:v>
                </c:pt>
                <c:pt idx="41">
                  <c:v>220.24209728386401</c:v>
                </c:pt>
                <c:pt idx="42">
                  <c:v>229.65841439261331</c:v>
                </c:pt>
                <c:pt idx="43">
                  <c:v>239.06590436046727</c:v>
                </c:pt>
                <c:pt idx="44">
                  <c:v>248.46496383915076</c:v>
                </c:pt>
                <c:pt idx="45">
                  <c:v>257.85595699105755</c:v>
                </c:pt>
                <c:pt idx="46">
                  <c:v>213.07952740360656</c:v>
                </c:pt>
                <c:pt idx="47">
                  <c:v>220.99573745004457</c:v>
                </c:pt>
                <c:pt idx="48">
                  <c:v>228.90543935922878</c:v>
                </c:pt>
                <c:pt idx="49">
                  <c:v>236.80889001154415</c:v>
                </c:pt>
                <c:pt idx="50">
                  <c:v>244.70632771903044</c:v>
                </c:pt>
                <c:pt idx="51">
                  <c:v>251.0952400785371</c:v>
                </c:pt>
                <c:pt idx="52">
                  <c:v>257.48046784349401</c:v>
                </c:pt>
                <c:pt idx="53">
                  <c:v>263.86211541012494</c:v>
                </c:pt>
                <c:pt idx="54">
                  <c:v>270.24028170556272</c:v>
                </c:pt>
                <c:pt idx="55">
                  <c:v>276.61506059958816</c:v>
                </c:pt>
                <c:pt idx="56">
                  <c:v>245.08225003541096</c:v>
                </c:pt>
                <c:pt idx="57">
                  <c:v>251.0952400785371</c:v>
                </c:pt>
                <c:pt idx="58">
                  <c:v>257.10496630927088</c:v>
                </c:pt>
                <c:pt idx="59">
                  <c:v>263.11151589765069</c:v>
                </c:pt>
                <c:pt idx="60">
                  <c:v>269.11497170292409</c:v>
                </c:pt>
                <c:pt idx="61">
                  <c:v>273.99055606211817</c:v>
                </c:pt>
                <c:pt idx="62">
                  <c:v>278.86419064084293</c:v>
                </c:pt>
                <c:pt idx="63">
                  <c:v>283.73591438004928</c:v>
                </c:pt>
                <c:pt idx="64">
                  <c:v>288.60576477216404</c:v>
                </c:pt>
                <c:pt idx="65">
                  <c:v>293.47377793906486</c:v>
                </c:pt>
                <c:pt idx="66">
                  <c:v>273.24059406456797</c:v>
                </c:pt>
                <c:pt idx="67">
                  <c:v>277.36481607055646</c:v>
                </c:pt>
                <c:pt idx="68">
                  <c:v>281.48766152009551</c:v>
                </c:pt>
                <c:pt idx="69">
                  <c:v>285.60915345709304</c:v>
                </c:pt>
                <c:pt idx="70">
                  <c:v>289.72931420493512</c:v>
                </c:pt>
                <c:pt idx="71">
                  <c:v>293.0993798144579</c:v>
                </c:pt>
                <c:pt idx="72">
                  <c:v>296.46858031425853</c:v>
                </c:pt>
                <c:pt idx="73">
                  <c:v>299.83692694209077</c:v>
                </c:pt>
                <c:pt idx="74">
                  <c:v>303.20443066214938</c:v>
                </c:pt>
                <c:pt idx="75">
                  <c:v>306.57110217476492</c:v>
                </c:pt>
                <c:pt idx="76">
                  <c:v>309.93695192564923</c:v>
                </c:pt>
                <c:pt idx="77">
                  <c:v>313.30199011471785</c:v>
                </c:pt>
                <c:pt idx="78">
                  <c:v>316.66622670451295</c:v>
                </c:pt>
                <c:pt idx="79">
                  <c:v>320.02967142824997</c:v>
                </c:pt>
                <c:pt idx="80">
                  <c:v>323.39233379750675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87104"/>
        <c:axId val="-387186560"/>
      </c:scatterChart>
      <c:valAx>
        <c:axId val="-387187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6560"/>
        <c:crosses val="autoZero"/>
        <c:crossBetween val="midCat"/>
      </c:valAx>
      <c:valAx>
        <c:axId val="-38718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7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2.2722689418857001</c:v>
                </c:pt>
                <c:pt idx="2">
                  <c:v>2.9811939431965353</c:v>
                </c:pt>
                <c:pt idx="3">
                  <c:v>3.9121992676315998</c:v>
                </c:pt>
                <c:pt idx="4">
                  <c:v>5.1351210801835467</c:v>
                </c:pt>
                <c:pt idx="5">
                  <c:v>6.7418348206905847</c:v>
                </c:pt>
                <c:pt idx="6">
                  <c:v>8.8532334218268698</c:v>
                </c:pt>
                <c:pt idx="7">
                  <c:v>11.62842171118703</c:v>
                </c:pt>
                <c:pt idx="8">
                  <c:v>15.276832773850055</c:v>
                </c:pt>
                <c:pt idx="9">
                  <c:v>20.074197381373185</c:v>
                </c:pt>
                <c:pt idx="10">
                  <c:v>26.383595025832772</c:v>
                </c:pt>
                <c:pt idx="11">
                  <c:v>34.683207752637891</c:v>
                </c:pt>
                <c:pt idx="12">
                  <c:v>45.602916409341539</c:v>
                </c:pt>
                <c:pt idx="13">
                  <c:v>59.972563481656245</c:v>
                </c:pt>
                <c:pt idx="14">
                  <c:v>78.885610710074289</c:v>
                </c:pt>
                <c:pt idx="15">
                  <c:v>103.78311366213529</c:v>
                </c:pt>
                <c:pt idx="16">
                  <c:v>117.54699592937901</c:v>
                </c:pt>
                <c:pt idx="17">
                  <c:v>131.27150660369628</c:v>
                </c:pt>
                <c:pt idx="18">
                  <c:v>144.96134716666674</c:v>
                </c:pt>
                <c:pt idx="19">
                  <c:v>158.62025622860287</c:v>
                </c:pt>
                <c:pt idx="20">
                  <c:v>172.25127460514977</c:v>
                </c:pt>
                <c:pt idx="21">
                  <c:v>185.67070453258009</c:v>
                </c:pt>
                <c:pt idx="22">
                  <c:v>199.06749046538292</c:v>
                </c:pt>
                <c:pt idx="23">
                  <c:v>212.44337170835354</c:v>
                </c:pt>
                <c:pt idx="24">
                  <c:v>225.79985044996022</c:v>
                </c:pt>
                <c:pt idx="25">
                  <c:v>239.138236506986</c:v>
                </c:pt>
                <c:pt idx="26">
                  <c:v>173.93000803099332</c:v>
                </c:pt>
                <c:pt idx="27">
                  <c:v>186.78794247300308</c:v>
                </c:pt>
                <c:pt idx="28">
                  <c:v>199.62522507053666</c:v>
                </c:pt>
                <c:pt idx="29">
                  <c:v>212.44337170835345</c:v>
                </c:pt>
                <c:pt idx="30">
                  <c:v>225.24370022974736</c:v>
                </c:pt>
                <c:pt idx="31">
                  <c:v>237.28672059909331</c:v>
                </c:pt>
                <c:pt idx="32">
                  <c:v>249.31581208109557</c:v>
                </c:pt>
                <c:pt idx="33">
                  <c:v>261.33174174990091</c:v>
                </c:pt>
                <c:pt idx="34">
                  <c:v>273.33520033559711</c:v>
                </c:pt>
                <c:pt idx="35">
                  <c:v>285.32681291349411</c:v>
                </c:pt>
                <c:pt idx="36">
                  <c:v>242.6552193545505</c:v>
                </c:pt>
                <c:pt idx="37">
                  <c:v>253.56907009189914</c:v>
                </c:pt>
                <c:pt idx="38">
                  <c:v>264.47228568418126</c:v>
                </c:pt>
                <c:pt idx="39">
                  <c:v>275.36536664429354</c:v>
                </c:pt>
                <c:pt idx="40">
                  <c:v>286.24877062592168</c:v>
                </c:pt>
                <c:pt idx="41">
                  <c:v>296.57021208011378</c:v>
                </c:pt>
                <c:pt idx="42">
                  <c:v>306.88364556713356</c:v>
                </c:pt>
                <c:pt idx="43">
                  <c:v>317.18937830536407</c:v>
                </c:pt>
                <c:pt idx="44">
                  <c:v>327.48769590830915</c:v>
                </c:pt>
                <c:pt idx="45">
                  <c:v>337.77886455023253</c:v>
                </c:pt>
                <c:pt idx="46">
                  <c:v>294.9119574096888</c:v>
                </c:pt>
                <c:pt idx="47">
                  <c:v>304.49015286905723</c:v>
                </c:pt>
                <c:pt idx="48">
                  <c:v>314.06164885604761</c:v>
                </c:pt>
                <c:pt idx="49">
                  <c:v>323.62667847115432</c:v>
                </c:pt>
                <c:pt idx="50">
                  <c:v>333.18545990213522</c:v>
                </c:pt>
                <c:pt idx="51">
                  <c:v>342.18723913127047</c:v>
                </c:pt>
                <c:pt idx="52">
                  <c:v>351.1838133017921</c:v>
                </c:pt>
                <c:pt idx="53">
                  <c:v>360.17533464453732</c:v>
                </c:pt>
                <c:pt idx="54">
                  <c:v>369.1619471646768</c:v>
                </c:pt>
                <c:pt idx="55">
                  <c:v>378.14378727996046</c:v>
                </c:pt>
                <c:pt idx="56">
                  <c:v>339.79952573014128</c:v>
                </c:pt>
                <c:pt idx="57">
                  <c:v>348.24671923697093</c:v>
                </c:pt>
                <c:pt idx="58">
                  <c:v>356.68941678151765</c:v>
                </c:pt>
                <c:pt idx="59">
                  <c:v>365.12773986416681</c:v>
                </c:pt>
                <c:pt idx="60">
                  <c:v>373.56180390729855</c:v>
                </c:pt>
                <c:pt idx="61">
                  <c:v>381.25884465884684</c:v>
                </c:pt>
                <c:pt idx="62">
                  <c:v>388.95250618065228</c:v>
                </c:pt>
                <c:pt idx="63">
                  <c:v>396.6428647905862</c:v>
                </c:pt>
                <c:pt idx="64">
                  <c:v>404.32999360363391</c:v>
                </c:pt>
                <c:pt idx="65">
                  <c:v>412.01396272598663</c:v>
                </c:pt>
                <c:pt idx="66">
                  <c:v>374.47829807012619</c:v>
                </c:pt>
                <c:pt idx="67">
                  <c:v>381.80850305381085</c:v>
                </c:pt>
                <c:pt idx="68">
                  <c:v>389.13564804516926</c:v>
                </c:pt>
                <c:pt idx="69">
                  <c:v>396.45979883257809</c:v>
                </c:pt>
                <c:pt idx="70">
                  <c:v>403.78101857356381</c:v>
                </c:pt>
                <c:pt idx="71">
                  <c:v>410.73351773963401</c:v>
                </c:pt>
                <c:pt idx="72">
                  <c:v>417.68347648311186</c:v>
                </c:pt>
                <c:pt idx="73">
                  <c:v>424.63094306781801</c:v>
                </c:pt>
                <c:pt idx="74">
                  <c:v>431.57596404832128</c:v>
                </c:pt>
                <c:pt idx="75">
                  <c:v>438.51858435761028</c:v>
                </c:pt>
                <c:pt idx="76">
                  <c:v>403.7810185735637</c:v>
                </c:pt>
                <c:pt idx="77">
                  <c:v>410.18472923262584</c:v>
                </c:pt>
                <c:pt idx="78">
                  <c:v>416.58628147770673</c:v>
                </c:pt>
                <c:pt idx="79">
                  <c:v>422.98571318193154</c:v>
                </c:pt>
                <c:pt idx="80">
                  <c:v>429.38306097806168</c:v>
                </c:pt>
                <c:pt idx="81">
                  <c:v>435.77836031740293</c:v>
                </c:pt>
                <c:pt idx="82">
                  <c:v>442.17164552507137</c:v>
                </c:pt>
                <c:pt idx="83">
                  <c:v>448.56294985189771</c:v>
                </c:pt>
                <c:pt idx="84">
                  <c:v>454.95230552321544</c:v>
                </c:pt>
                <c:pt idx="85">
                  <c:v>461.33974378476478</c:v>
                </c:pt>
                <c:pt idx="86">
                  <c:v>427.92099191345005</c:v>
                </c:pt>
                <c:pt idx="87">
                  <c:v>433.76862772797989</c:v>
                </c:pt>
                <c:pt idx="88">
                  <c:v>439.61457098626988</c:v>
                </c:pt>
                <c:pt idx="89">
                  <c:v>445.4588473889209</c:v>
                </c:pt>
                <c:pt idx="90">
                  <c:v>451.30148190662845</c:v>
                </c:pt>
                <c:pt idx="91">
                  <c:v>456.95999128132956</c:v>
                </c:pt>
                <c:pt idx="92">
                  <c:v>462.61700403114037</c:v>
                </c:pt>
                <c:pt idx="93">
                  <c:v>468.2725410526304</c:v>
                </c:pt>
                <c:pt idx="94">
                  <c:v>473.92662269607291</c:v>
                </c:pt>
                <c:pt idx="95">
                  <c:v>479.57926878622084</c:v>
                </c:pt>
                <c:pt idx="96">
                  <c:v>449.29325995855169</c:v>
                </c:pt>
                <c:pt idx="97">
                  <c:v>454.58725142973572</c:v>
                </c:pt>
                <c:pt idx="98">
                  <c:v>459.87992534905925</c:v>
                </c:pt>
                <c:pt idx="99">
                  <c:v>465.171299031422</c:v>
                </c:pt>
                <c:pt idx="100">
                  <c:v>470.46138936536425</c:v>
                </c:pt>
                <c:pt idx="101">
                  <c:v>475.56786051841237</c:v>
                </c:pt>
                <c:pt idx="102">
                  <c:v>480.67316514665953</c:v>
                </c:pt>
                <c:pt idx="103">
                  <c:v>485.77731739723913</c:v>
                </c:pt>
                <c:pt idx="104">
                  <c:v>490.88033109552151</c:v>
                </c:pt>
                <c:pt idx="105">
                  <c:v>495.98221975577576</c:v>
                </c:pt>
                <c:pt idx="106">
                  <c:v>500.90084498851144</c:v>
                </c:pt>
                <c:pt idx="107">
                  <c:v>505.81844798714792</c:v>
                </c:pt>
                <c:pt idx="108">
                  <c:v>510.7350400988426</c:v>
                </c:pt>
                <c:pt idx="109">
                  <c:v>515.65063243431803</c:v>
                </c:pt>
                <c:pt idx="110">
                  <c:v>520.565235875045</c:v>
                </c:pt>
                <c:pt idx="111">
                  <c:v>2.1921244502123119E-12</c:v>
                </c:pt>
                <c:pt idx="112">
                  <c:v>2.1921244502123119E-12</c:v>
                </c:pt>
                <c:pt idx="113">
                  <c:v>2.1921244502123119E-12</c:v>
                </c:pt>
                <c:pt idx="114">
                  <c:v>2.1921244502123119E-12</c:v>
                </c:pt>
                <c:pt idx="115">
                  <c:v>2.1921244502123119E-12</c:v>
                </c:pt>
                <c:pt idx="116">
                  <c:v>2.1921244502123119E-12</c:v>
                </c:pt>
                <c:pt idx="117">
                  <c:v>2.1921244502123119E-12</c:v>
                </c:pt>
                <c:pt idx="118">
                  <c:v>2.1921244502123119E-12</c:v>
                </c:pt>
                <c:pt idx="119">
                  <c:v>2.1921244502123119E-12</c:v>
                </c:pt>
                <c:pt idx="120">
                  <c:v>2.1921244502123119E-12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86016"/>
        <c:axId val="-387184384"/>
      </c:scatterChart>
      <c:valAx>
        <c:axId val="-387186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4384"/>
        <c:crosses val="autoZero"/>
        <c:crossBetween val="midCat"/>
      </c:valAx>
      <c:valAx>
        <c:axId val="-3871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1.5144034055137181</c:v>
                </c:pt>
                <c:pt idx="2">
                  <c:v>1.7279085442358726</c:v>
                </c:pt>
                <c:pt idx="3">
                  <c:v>1.9716245662731533</c:v>
                </c:pt>
                <c:pt idx="4">
                  <c:v>2.2498411057682812</c:v>
                </c:pt>
                <c:pt idx="5">
                  <c:v>2.567458861524365</c:v>
                </c:pt>
                <c:pt idx="6">
                  <c:v>2.9300769081213907</c:v>
                </c:pt>
                <c:pt idx="7">
                  <c:v>3.344092517446922</c:v>
                </c:pt>
                <c:pt idx="8">
                  <c:v>31.016388210236382</c:v>
                </c:pt>
                <c:pt idx="9">
                  <c:v>60.809943006577576</c:v>
                </c:pt>
                <c:pt idx="10">
                  <c:v>98.976731776989922</c:v>
                </c:pt>
                <c:pt idx="11">
                  <c:v>136.7701028540686</c:v>
                </c:pt>
                <c:pt idx="12">
                  <c:v>180.06710745260622</c:v>
                </c:pt>
                <c:pt idx="13">
                  <c:v>225.98154987046453</c:v>
                </c:pt>
                <c:pt idx="14">
                  <c:v>268.83064805939489</c:v>
                </c:pt>
                <c:pt idx="15">
                  <c:v>314.36718299063779</c:v>
                </c:pt>
                <c:pt idx="16">
                  <c:v>359.75730281799156</c:v>
                </c:pt>
                <c:pt idx="17">
                  <c:v>402.19636940093932</c:v>
                </c:pt>
                <c:pt idx="18">
                  <c:v>441.71852368369053</c:v>
                </c:pt>
                <c:pt idx="19">
                  <c:v>481.16489803427618</c:v>
                </c:pt>
                <c:pt idx="20">
                  <c:v>517.73202350546057</c:v>
                </c:pt>
                <c:pt idx="21">
                  <c:v>551.43785489185404</c:v>
                </c:pt>
                <c:pt idx="22">
                  <c:v>582.29687133981781</c:v>
                </c:pt>
                <c:pt idx="23">
                  <c:v>610.32089499588039</c:v>
                </c:pt>
                <c:pt idx="24">
                  <c:v>635.51965696913351</c:v>
                </c:pt>
                <c:pt idx="25">
                  <c:v>660.69777812562995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7183840"/>
        <c:axId val="-483319536"/>
      </c:scatterChart>
      <c:valAx>
        <c:axId val="-387183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83319536"/>
        <c:crosses val="autoZero"/>
        <c:crossBetween val="midCat"/>
      </c:valAx>
      <c:valAx>
        <c:axId val="-4833195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7183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A273" sqref="A27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11.58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4.1185067091802814E-2</v>
      </c>
      <c r="D9" s="36">
        <f t="shared" ref="D9:D18" si="0">C9*$C$5</f>
        <v>0.47692307692307662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38</v>
      </c>
      <c r="C10" s="35">
        <v>4.1185067091802814E-2</v>
      </c>
      <c r="D10" s="36">
        <f t="shared" si="0"/>
        <v>0.47692307692307662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14</v>
      </c>
      <c r="C11" s="35">
        <v>0.14446658695363349</v>
      </c>
      <c r="D11" s="36">
        <f t="shared" si="0"/>
        <v>1.6729230769230758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12</v>
      </c>
      <c r="C12" s="35">
        <v>0.18565165404543629</v>
      </c>
      <c r="D12" s="36">
        <f t="shared" si="0"/>
        <v>2.1498461538461524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</v>
      </c>
      <c r="C13" s="35">
        <v>1.4082635844293867E-2</v>
      </c>
      <c r="D13" s="36">
        <f t="shared" si="0"/>
        <v>0.16307692307692298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6</v>
      </c>
      <c r="C14" s="35">
        <v>0.15472078295912481</v>
      </c>
      <c r="D14" s="36">
        <f t="shared" si="0"/>
        <v>1.7916666666666652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21</v>
      </c>
      <c r="C15" s="35">
        <v>3.8212435233160598E-2</v>
      </c>
      <c r="D15" s="36">
        <f t="shared" si="0"/>
        <v>0.44249999999999973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50</v>
      </c>
      <c r="C16" s="35">
        <v>6.7199747575395208E-2</v>
      </c>
      <c r="D16" s="36">
        <f t="shared" si="0"/>
        <v>0.77817307692307647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112</v>
      </c>
      <c r="C17" s="35">
        <v>0.20783605984747033</v>
      </c>
      <c r="D17" s="36">
        <f t="shared" si="0"/>
        <v>2.4067415730337065</v>
      </c>
      <c r="E17" s="37">
        <v>25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29</v>
      </c>
      <c r="C18" s="35">
        <v>3.3246977547495668E-3</v>
      </c>
      <c r="D18" s="36">
        <f t="shared" si="0"/>
        <v>3.8499999999999986E-2</v>
      </c>
      <c r="E18" s="37">
        <v>69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0.89786473439686976</v>
      </c>
      <c r="D19" s="41">
        <f>SUM(D9:D18)</f>
        <v>10.397273624315753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28</v>
      </c>
      <c r="C36" s="61"/>
      <c r="D36" s="61"/>
      <c r="E36" s="54"/>
      <c r="F36" s="54"/>
      <c r="G36" s="54"/>
      <c r="H36" s="54"/>
      <c r="I36" s="52">
        <f>IFERROR(B36/A36,"")</f>
        <v>1.4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1">
        <v>121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9.3000000000000007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1">
        <v>267</v>
      </c>
      <c r="C38" s="61">
        <v>1</v>
      </c>
      <c r="D38" s="61">
        <v>91</v>
      </c>
      <c r="E38" s="54"/>
      <c r="F38" s="54"/>
      <c r="G38" s="54"/>
      <c r="H38" s="54"/>
      <c r="I38" s="56">
        <f t="shared" si="1"/>
        <v>14.6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1">
        <v>380</v>
      </c>
      <c r="C39" s="61">
        <v>2</v>
      </c>
      <c r="D39" s="61">
        <v>91</v>
      </c>
      <c r="E39" s="54"/>
      <c r="F39" s="54"/>
      <c r="G39" s="54"/>
      <c r="H39" s="54"/>
      <c r="I39" s="52">
        <f t="shared" si="1"/>
        <v>20.399999999999999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1">
        <v>516</v>
      </c>
      <c r="C40" s="61">
        <v>3</v>
      </c>
      <c r="D40" s="61">
        <v>112</v>
      </c>
      <c r="E40" s="54"/>
      <c r="F40" s="54"/>
      <c r="G40" s="54"/>
      <c r="H40" s="54"/>
      <c r="I40" s="52">
        <f t="shared" si="1"/>
        <v>22.7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1">
        <v>631</v>
      </c>
      <c r="C41" s="61">
        <v>4</v>
      </c>
      <c r="D41" s="61">
        <v>109</v>
      </c>
      <c r="E41" s="54"/>
      <c r="F41" s="54"/>
      <c r="G41" s="54"/>
      <c r="H41" s="54"/>
      <c r="I41" s="56">
        <f t="shared" si="1"/>
        <v>22.7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1">
        <v>734</v>
      </c>
      <c r="C42" s="61">
        <v>5</v>
      </c>
      <c r="D42" s="61">
        <v>110</v>
      </c>
      <c r="E42" s="54"/>
      <c r="F42" s="54"/>
      <c r="G42" s="54"/>
      <c r="H42" s="54"/>
      <c r="I42" s="56">
        <f t="shared" si="1"/>
        <v>21.2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90</v>
      </c>
      <c r="B43" s="61">
        <v>802</v>
      </c>
      <c r="C43" s="61">
        <v>6</v>
      </c>
      <c r="D43" s="61">
        <v>97</v>
      </c>
      <c r="E43" s="54"/>
      <c r="F43" s="54"/>
      <c r="G43" s="54"/>
      <c r="H43" s="54"/>
      <c r="I43" s="52">
        <f t="shared" si="1"/>
        <v>17.8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100</v>
      </c>
      <c r="B44" s="61">
        <v>855</v>
      </c>
      <c r="C44" s="61">
        <v>7</v>
      </c>
      <c r="D44" s="61">
        <f>B44</f>
        <v>855</v>
      </c>
      <c r="E44" s="54"/>
      <c r="F44" s="54"/>
      <c r="G44" s="54"/>
      <c r="H44" s="54"/>
      <c r="I44" s="52">
        <f t="shared" si="1"/>
        <v>15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noir d'Autriche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91</v>
      </c>
      <c r="C62" s="61"/>
      <c r="D62" s="61"/>
      <c r="E62" s="54"/>
      <c r="F62" s="54"/>
      <c r="G62" s="54"/>
      <c r="H62" s="54"/>
      <c r="I62" s="56">
        <f>IFERROR(B62/A62,"")</f>
        <v>4.55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1">
        <f>203+7</f>
        <v>210</v>
      </c>
      <c r="C63" s="61">
        <v>1</v>
      </c>
      <c r="D63" s="61">
        <f>22+7</f>
        <v>29</v>
      </c>
      <c r="E63" s="54"/>
      <c r="F63" s="54"/>
      <c r="G63" s="54"/>
      <c r="H63" s="54">
        <v>1</v>
      </c>
      <c r="I63" s="52">
        <f>IF(A63&lt;&gt;0,(B63-(B62-D62))/(A63-A62),"")</f>
        <v>11.9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1">
        <v>303</v>
      </c>
      <c r="C64" s="61"/>
      <c r="D64" s="61"/>
      <c r="E64" s="54"/>
      <c r="F64" s="54"/>
      <c r="G64" s="54"/>
      <c r="H64" s="54"/>
      <c r="I64" s="52">
        <f>IF(A64&lt;&gt;0,(B64-(B63-D63))/(A64-A63),"")</f>
        <v>12.2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61">
        <f>382+35</f>
        <v>417</v>
      </c>
      <c r="C65" s="61">
        <v>2</v>
      </c>
      <c r="D65" s="61">
        <f>41+35</f>
        <v>76</v>
      </c>
      <c r="E65" s="54"/>
      <c r="F65" s="54"/>
      <c r="G65" s="54"/>
      <c r="H65" s="54"/>
      <c r="I65" s="52">
        <f>IF(A65&lt;&gt;0,(B65-(B64-D64))/(A65-A64),"")</f>
        <v>11.4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61">
        <v>443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10.199999999999999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70</v>
      </c>
      <c r="B67" s="61">
        <f>490+42</f>
        <v>532</v>
      </c>
      <c r="C67" s="61">
        <v>3</v>
      </c>
      <c r="D67" s="61">
        <f>39+42</f>
        <v>81</v>
      </c>
      <c r="E67" s="54"/>
      <c r="F67" s="54"/>
      <c r="G67" s="54"/>
      <c r="H67" s="54"/>
      <c r="I67" s="52">
        <f t="shared" si="2"/>
        <v>8.9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80</v>
      </c>
      <c r="B68" s="61">
        <v>526</v>
      </c>
      <c r="C68" s="61"/>
      <c r="D68" s="61"/>
      <c r="E68" s="54"/>
      <c r="F68" s="54"/>
      <c r="G68" s="54"/>
      <c r="H68" s="54"/>
      <c r="I68" s="52">
        <f t="shared" si="2"/>
        <v>7.5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90</v>
      </c>
      <c r="B69" s="53">
        <f>556+36</f>
        <v>592</v>
      </c>
      <c r="C69" s="53">
        <v>4</v>
      </c>
      <c r="D69" s="53">
        <f>36+37</f>
        <v>73</v>
      </c>
      <c r="E69" s="54"/>
      <c r="F69" s="54"/>
      <c r="G69" s="54"/>
      <c r="H69" s="54"/>
      <c r="I69" s="52">
        <f t="shared" si="2"/>
        <v>6.6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100</v>
      </c>
      <c r="B70" s="53">
        <v>583</v>
      </c>
      <c r="C70" s="53">
        <v>5</v>
      </c>
      <c r="D70" s="53">
        <f>B70</f>
        <v>583</v>
      </c>
      <c r="E70" s="54"/>
      <c r="F70" s="54"/>
      <c r="G70" s="54"/>
      <c r="H70" s="54"/>
      <c r="I70" s="52">
        <f t="shared" si="2"/>
        <v>6.4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sessile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42</v>
      </c>
      <c r="C88" s="61"/>
      <c r="D88" s="61"/>
      <c r="E88" s="54"/>
      <c r="F88" s="54"/>
      <c r="G88" s="54"/>
      <c r="H88" s="91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v>70</v>
      </c>
      <c r="C89" s="61">
        <v>1</v>
      </c>
      <c r="D89" s="61">
        <v>8</v>
      </c>
      <c r="E89" s="54"/>
      <c r="F89" s="54"/>
      <c r="G89" s="54"/>
      <c r="H89" s="91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v>97</v>
      </c>
      <c r="C90" s="61"/>
      <c r="D90" s="61"/>
      <c r="E90" s="91"/>
      <c r="F90" s="91"/>
      <c r="G90" s="91"/>
      <c r="H90" s="91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v>137</v>
      </c>
      <c r="C91" s="61">
        <v>2</v>
      </c>
      <c r="D91" s="61">
        <v>42</v>
      </c>
      <c r="E91" s="91"/>
      <c r="F91" s="91"/>
      <c r="G91" s="91"/>
      <c r="H91" s="91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v>137</v>
      </c>
      <c r="C92" s="61"/>
      <c r="D92" s="61"/>
      <c r="E92" s="91"/>
      <c r="F92" s="91"/>
      <c r="G92" s="91"/>
      <c r="H92" s="91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v>179</v>
      </c>
      <c r="C93" s="61">
        <v>3</v>
      </c>
      <c r="D93" s="61">
        <v>42</v>
      </c>
      <c r="E93" s="91"/>
      <c r="F93" s="91"/>
      <c r="G93" s="91"/>
      <c r="H93" s="91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v>178</v>
      </c>
      <c r="C94" s="61"/>
      <c r="D94" s="61"/>
      <c r="E94" s="91"/>
      <c r="F94" s="91"/>
      <c r="G94" s="91"/>
      <c r="H94" s="91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1">
        <v>218</v>
      </c>
      <c r="C95" s="61">
        <v>4</v>
      </c>
      <c r="D95" s="61">
        <v>42</v>
      </c>
      <c r="E95" s="91"/>
      <c r="F95" s="91"/>
      <c r="G95" s="91"/>
      <c r="H95" s="91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61">
        <v>214</v>
      </c>
      <c r="C96" s="61"/>
      <c r="D96" s="61"/>
      <c r="E96" s="91"/>
      <c r="F96" s="91"/>
      <c r="G96" s="91"/>
      <c r="H96" s="91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61">
        <v>250</v>
      </c>
      <c r="C97" s="61">
        <v>5</v>
      </c>
      <c r="D97" s="61">
        <v>42</v>
      </c>
      <c r="E97" s="91"/>
      <c r="F97" s="91"/>
      <c r="G97" s="91"/>
      <c r="H97" s="91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61">
        <v>242</v>
      </c>
      <c r="C98" s="61"/>
      <c r="D98" s="61"/>
      <c r="E98" s="91"/>
      <c r="F98" s="91"/>
      <c r="G98" s="91"/>
      <c r="H98" s="91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61">
        <v>273</v>
      </c>
      <c r="C99" s="61">
        <v>6</v>
      </c>
      <c r="D99" s="61">
        <v>42</v>
      </c>
      <c r="E99" s="91"/>
      <c r="F99" s="91"/>
      <c r="G99" s="91"/>
      <c r="H99" s="91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61">
        <v>261</v>
      </c>
      <c r="C100" s="61"/>
      <c r="D100" s="61"/>
      <c r="E100" s="66"/>
      <c r="F100" s="66"/>
      <c r="G100" s="66"/>
      <c r="H100" s="66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85</v>
      </c>
      <c r="B101" s="61">
        <v>290</v>
      </c>
      <c r="C101" s="61">
        <v>7</v>
      </c>
      <c r="D101" s="61">
        <v>42</v>
      </c>
      <c r="E101" s="66"/>
      <c r="F101" s="66"/>
      <c r="G101" s="66"/>
      <c r="H101" s="66"/>
      <c r="I101" s="56">
        <f t="shared" si="3"/>
        <v>5.8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1">
        <v>95</v>
      </c>
      <c r="B102" s="53">
        <v>300</v>
      </c>
      <c r="C102" s="53">
        <v>8</v>
      </c>
      <c r="D102" s="53">
        <v>42</v>
      </c>
      <c r="E102" s="57"/>
      <c r="F102" s="57"/>
      <c r="G102" s="57"/>
      <c r="H102" s="57"/>
      <c r="I102" s="56">
        <f t="shared" si="3"/>
        <v>5.2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1">
        <v>105</v>
      </c>
      <c r="B103" s="53">
        <v>305</v>
      </c>
      <c r="C103" s="53">
        <v>9</v>
      </c>
      <c r="D103" s="53">
        <v>41</v>
      </c>
      <c r="E103" s="57"/>
      <c r="F103" s="57"/>
      <c r="G103" s="57"/>
      <c r="H103" s="57"/>
      <c r="I103" s="56">
        <f t="shared" si="3"/>
        <v>4.7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1">
        <v>115</v>
      </c>
      <c r="B104" s="53">
        <v>304</v>
      </c>
      <c r="C104" s="53">
        <v>10</v>
      </c>
      <c r="D104" s="53">
        <v>37</v>
      </c>
      <c r="E104" s="57"/>
      <c r="F104" s="57"/>
      <c r="G104" s="57"/>
      <c r="H104" s="57"/>
      <c r="I104" s="56">
        <f t="shared" si="3"/>
        <v>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1">
        <v>125</v>
      </c>
      <c r="B105" s="53">
        <v>301</v>
      </c>
      <c r="C105" s="53">
        <v>11</v>
      </c>
      <c r="D105" s="53">
        <v>33</v>
      </c>
      <c r="E105" s="57"/>
      <c r="F105" s="57"/>
      <c r="G105" s="57"/>
      <c r="H105" s="57"/>
      <c r="I105" s="56">
        <f t="shared" si="3"/>
        <v>3.4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1">
        <v>135</v>
      </c>
      <c r="B106" s="53">
        <v>298</v>
      </c>
      <c r="C106" s="53">
        <v>12</v>
      </c>
      <c r="D106" s="53">
        <v>29</v>
      </c>
      <c r="E106" s="57"/>
      <c r="F106" s="57"/>
      <c r="G106" s="57"/>
      <c r="H106" s="57"/>
      <c r="I106" s="56">
        <f t="shared" si="3"/>
        <v>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1">
        <v>150</v>
      </c>
      <c r="B107" s="53">
        <v>306</v>
      </c>
      <c r="C107" s="53">
        <v>13</v>
      </c>
      <c r="D107" s="53">
        <v>306</v>
      </c>
      <c r="E107" s="57"/>
      <c r="F107" s="57"/>
      <c r="G107" s="57"/>
      <c r="H107" s="57"/>
      <c r="I107" s="56">
        <f t="shared" si="3"/>
        <v>2.4666666666666668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pubescent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v>70</v>
      </c>
      <c r="C115" s="61">
        <v>1</v>
      </c>
      <c r="D115" s="61">
        <v>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v>97</v>
      </c>
      <c r="C116" s="61"/>
      <c r="D116" s="61"/>
      <c r="E116" s="54"/>
      <c r="F116" s="54"/>
      <c r="G116" s="54"/>
      <c r="H116" s="54"/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v>137</v>
      </c>
      <c r="C117" s="61">
        <v>2</v>
      </c>
      <c r="D117" s="61">
        <v>42</v>
      </c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v>137</v>
      </c>
      <c r="C118" s="61"/>
      <c r="D118" s="61"/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v>179</v>
      </c>
      <c r="C119" s="61">
        <v>3</v>
      </c>
      <c r="D119" s="61">
        <v>42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v>178</v>
      </c>
      <c r="C120" s="61"/>
      <c r="D120" s="61"/>
      <c r="E120" s="91"/>
      <c r="F120" s="91"/>
      <c r="G120" s="91"/>
      <c r="H120" s="91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1">
        <v>218</v>
      </c>
      <c r="C121" s="61">
        <v>4</v>
      </c>
      <c r="D121" s="61">
        <v>42</v>
      </c>
      <c r="E121" s="91"/>
      <c r="F121" s="91"/>
      <c r="G121" s="91"/>
      <c r="H121" s="91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61">
        <v>214</v>
      </c>
      <c r="C122" s="61"/>
      <c r="D122" s="61"/>
      <c r="E122" s="91"/>
      <c r="F122" s="91"/>
      <c r="G122" s="91"/>
      <c r="H122" s="91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61">
        <v>250</v>
      </c>
      <c r="C123" s="61">
        <v>5</v>
      </c>
      <c r="D123" s="61">
        <v>42</v>
      </c>
      <c r="E123" s="91"/>
      <c r="F123" s="91"/>
      <c r="G123" s="91"/>
      <c r="H123" s="91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61">
        <v>242</v>
      </c>
      <c r="C124" s="61"/>
      <c r="D124" s="61"/>
      <c r="E124" s="91"/>
      <c r="F124" s="91"/>
      <c r="G124" s="91"/>
      <c r="H124" s="91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61">
        <v>273</v>
      </c>
      <c r="C125" s="61">
        <v>6</v>
      </c>
      <c r="D125" s="61">
        <v>42</v>
      </c>
      <c r="E125" s="91"/>
      <c r="F125" s="91"/>
      <c r="G125" s="91"/>
      <c r="H125" s="91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61">
        <v>261</v>
      </c>
      <c r="C126" s="61"/>
      <c r="D126" s="61"/>
      <c r="E126" s="66"/>
      <c r="F126" s="66"/>
      <c r="G126" s="66"/>
      <c r="H126" s="66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85</v>
      </c>
      <c r="B127" s="61">
        <v>290</v>
      </c>
      <c r="C127" s="61">
        <v>7</v>
      </c>
      <c r="D127" s="61">
        <v>42</v>
      </c>
      <c r="E127" s="66"/>
      <c r="F127" s="66"/>
      <c r="G127" s="66"/>
      <c r="H127" s="66"/>
      <c r="I127" s="56">
        <f t="shared" si="4"/>
        <v>5.8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281">
        <v>95</v>
      </c>
      <c r="B128" s="53">
        <v>300</v>
      </c>
      <c r="C128" s="53">
        <v>8</v>
      </c>
      <c r="D128" s="53">
        <v>42</v>
      </c>
      <c r="E128" s="57"/>
      <c r="F128" s="57"/>
      <c r="G128" s="57"/>
      <c r="H128" s="57"/>
      <c r="I128" s="56">
        <f t="shared" si="4"/>
        <v>5.2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281">
        <v>105</v>
      </c>
      <c r="B129" s="53">
        <v>305</v>
      </c>
      <c r="C129" s="53">
        <v>9</v>
      </c>
      <c r="D129" s="53">
        <v>41</v>
      </c>
      <c r="E129" s="57"/>
      <c r="F129" s="57"/>
      <c r="G129" s="57"/>
      <c r="H129" s="57"/>
      <c r="I129" s="56">
        <f t="shared" si="4"/>
        <v>4.7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81">
        <v>115</v>
      </c>
      <c r="B130" s="53">
        <v>304</v>
      </c>
      <c r="C130" s="53">
        <v>10</v>
      </c>
      <c r="D130" s="53">
        <v>37</v>
      </c>
      <c r="E130" s="57"/>
      <c r="F130" s="57"/>
      <c r="G130" s="57"/>
      <c r="H130" s="57"/>
      <c r="I130" s="56">
        <f t="shared" si="4"/>
        <v>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81">
        <v>125</v>
      </c>
      <c r="B131" s="53">
        <v>301</v>
      </c>
      <c r="C131" s="53">
        <v>11</v>
      </c>
      <c r="D131" s="53">
        <v>33</v>
      </c>
      <c r="E131" s="57"/>
      <c r="F131" s="57"/>
      <c r="G131" s="57"/>
      <c r="H131" s="57"/>
      <c r="I131" s="56">
        <f t="shared" si="4"/>
        <v>3.4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81">
        <v>135</v>
      </c>
      <c r="B132" s="53">
        <v>298</v>
      </c>
      <c r="C132" s="53">
        <v>12</v>
      </c>
      <c r="D132" s="53">
        <v>29</v>
      </c>
      <c r="E132" s="57"/>
      <c r="F132" s="57"/>
      <c r="G132" s="57"/>
      <c r="H132" s="57"/>
      <c r="I132" s="56">
        <f t="shared" si="4"/>
        <v>3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81">
        <v>150</v>
      </c>
      <c r="B133" s="53">
        <v>306</v>
      </c>
      <c r="C133" s="53">
        <v>13</v>
      </c>
      <c r="D133" s="53">
        <v>306</v>
      </c>
      <c r="E133" s="57"/>
      <c r="F133" s="57"/>
      <c r="G133" s="57"/>
      <c r="H133" s="57"/>
      <c r="I133" s="56">
        <f t="shared" si="4"/>
        <v>2.4666666666666668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>
        <v>1</v>
      </c>
      <c r="D141" s="61">
        <v>8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97</v>
      </c>
      <c r="C142" s="61"/>
      <c r="D142" s="61"/>
      <c r="E142" s="54"/>
      <c r="F142" s="54"/>
      <c r="G142" s="54"/>
      <c r="H142" s="54"/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137</v>
      </c>
      <c r="C143" s="61">
        <v>2</v>
      </c>
      <c r="D143" s="61">
        <v>42</v>
      </c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137</v>
      </c>
      <c r="C144" s="61"/>
      <c r="D144" s="61"/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179</v>
      </c>
      <c r="C145" s="61">
        <v>3</v>
      </c>
      <c r="D145" s="61">
        <v>42</v>
      </c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178</v>
      </c>
      <c r="C146" s="61"/>
      <c r="D146" s="61"/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v>218</v>
      </c>
      <c r="C147" s="61">
        <v>4</v>
      </c>
      <c r="D147" s="61">
        <v>42</v>
      </c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1">
        <v>214</v>
      </c>
      <c r="C148" s="61"/>
      <c r="D148" s="61"/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1">
        <v>250</v>
      </c>
      <c r="C149" s="61">
        <v>5</v>
      </c>
      <c r="D149" s="61">
        <v>42</v>
      </c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1">
        <v>242</v>
      </c>
      <c r="C150" s="61"/>
      <c r="D150" s="61"/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1">
        <v>273</v>
      </c>
      <c r="C151" s="61">
        <v>6</v>
      </c>
      <c r="D151" s="61">
        <v>42</v>
      </c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61">
        <v>261</v>
      </c>
      <c r="C152" s="61"/>
      <c r="D152" s="61"/>
      <c r="E152" s="57"/>
      <c r="F152" s="57"/>
      <c r="G152" s="57"/>
      <c r="H152" s="57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85</v>
      </c>
      <c r="B153" s="61">
        <v>290</v>
      </c>
      <c r="C153" s="61">
        <v>7</v>
      </c>
      <c r="D153" s="61">
        <v>42</v>
      </c>
      <c r="E153" s="57"/>
      <c r="F153" s="57"/>
      <c r="G153" s="57"/>
      <c r="H153" s="57"/>
      <c r="I153" s="59">
        <f t="shared" si="5"/>
        <v>5.8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81">
        <v>95</v>
      </c>
      <c r="B154" s="53">
        <v>300</v>
      </c>
      <c r="C154" s="53">
        <v>8</v>
      </c>
      <c r="D154" s="53">
        <v>42</v>
      </c>
      <c r="E154" s="57"/>
      <c r="F154" s="57"/>
      <c r="G154" s="57"/>
      <c r="H154" s="57"/>
      <c r="I154" s="59">
        <f t="shared" si="5"/>
        <v>5.2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81">
        <v>105</v>
      </c>
      <c r="B155" s="53">
        <v>305</v>
      </c>
      <c r="C155" s="53">
        <v>9</v>
      </c>
      <c r="D155" s="53">
        <v>41</v>
      </c>
      <c r="E155" s="57"/>
      <c r="F155" s="57"/>
      <c r="G155" s="57"/>
      <c r="H155" s="57"/>
      <c r="I155" s="59">
        <f t="shared" si="5"/>
        <v>4.7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81">
        <v>115</v>
      </c>
      <c r="B156" s="53">
        <v>304</v>
      </c>
      <c r="C156" s="53">
        <v>10</v>
      </c>
      <c r="D156" s="53">
        <v>37</v>
      </c>
      <c r="E156" s="57"/>
      <c r="F156" s="57"/>
      <c r="G156" s="57"/>
      <c r="H156" s="57"/>
      <c r="I156" s="59">
        <f t="shared" si="5"/>
        <v>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81">
        <v>125</v>
      </c>
      <c r="B157" s="53">
        <v>301</v>
      </c>
      <c r="C157" s="53">
        <v>11</v>
      </c>
      <c r="D157" s="53">
        <v>33</v>
      </c>
      <c r="E157" s="57"/>
      <c r="F157" s="57"/>
      <c r="G157" s="57"/>
      <c r="H157" s="57"/>
      <c r="I157" s="59">
        <f t="shared" si="5"/>
        <v>3.4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81">
        <v>135</v>
      </c>
      <c r="B158" s="53">
        <v>298</v>
      </c>
      <c r="C158" s="53">
        <v>12</v>
      </c>
      <c r="D158" s="53">
        <v>29</v>
      </c>
      <c r="E158" s="57"/>
      <c r="F158" s="57"/>
      <c r="G158" s="57"/>
      <c r="H158" s="57"/>
      <c r="I158" s="59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81">
        <v>150</v>
      </c>
      <c r="B159" s="53">
        <v>306</v>
      </c>
      <c r="C159" s="53">
        <v>13</v>
      </c>
      <c r="D159" s="53">
        <v>306</v>
      </c>
      <c r="E159" s="57"/>
      <c r="F159" s="57"/>
      <c r="G159" s="57"/>
      <c r="H159" s="57"/>
      <c r="I159" s="59">
        <f t="shared" si="5"/>
        <v>2.4666666666666668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Charme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1">
        <f>35/1.56</f>
        <v>22.435897435897434</v>
      </c>
      <c r="C166" s="61"/>
      <c r="D166" s="61"/>
      <c r="E166" s="54"/>
      <c r="F166" s="54"/>
      <c r="G166" s="54"/>
      <c r="H166" s="54"/>
      <c r="I166" s="52">
        <f>IFERROR(B166/A166,"")</f>
        <v>1.4957264957264955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1">
        <f>63/1.56+7/1.56</f>
        <v>44.871794871794869</v>
      </c>
      <c r="C167" s="61">
        <v>1</v>
      </c>
      <c r="D167" s="61">
        <f>(7+10)/1.56</f>
        <v>10.897435897435898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4.4871794871794872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1">
        <f>91/1.56</f>
        <v>58.333333333333329</v>
      </c>
      <c r="C168" s="61"/>
      <c r="D168" s="61"/>
      <c r="E168" s="54"/>
      <c r="F168" s="54"/>
      <c r="G168" s="54"/>
      <c r="H168" s="54"/>
      <c r="I168" s="52">
        <f t="shared" si="6"/>
        <v>4.8717948717948714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1">
        <f>118/1.56+13/1.56</f>
        <v>83.974358974358964</v>
      </c>
      <c r="C169" s="61">
        <v>2</v>
      </c>
      <c r="D169" s="61">
        <f>(15+13)/1.56</f>
        <v>17.948717948717949</v>
      </c>
      <c r="E169" s="54"/>
      <c r="F169" s="54"/>
      <c r="G169" s="54"/>
      <c r="H169" s="54">
        <v>1</v>
      </c>
      <c r="I169" s="52">
        <f t="shared" si="6"/>
        <v>5.1282051282051269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1">
        <f>143/1.56</f>
        <v>91.666666666666657</v>
      </c>
      <c r="C170" s="61"/>
      <c r="D170" s="61"/>
      <c r="E170" s="54"/>
      <c r="F170" s="54"/>
      <c r="G170" s="54"/>
      <c r="H170" s="54"/>
      <c r="I170" s="52">
        <f t="shared" si="6"/>
        <v>5.1282051282051269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1">
        <f>165/1.56+16/1.56</f>
        <v>116.02564102564102</v>
      </c>
      <c r="C171" s="61">
        <v>3</v>
      </c>
      <c r="D171" s="61">
        <f>(16+17)/1.56</f>
        <v>21.153846153846153</v>
      </c>
      <c r="E171" s="54"/>
      <c r="F171" s="54"/>
      <c r="G171" s="54"/>
      <c r="H171" s="54"/>
      <c r="I171" s="52">
        <f t="shared" si="6"/>
        <v>4.8717948717948731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1">
        <f>184/1.56</f>
        <v>117.94871794871794</v>
      </c>
      <c r="C172" s="61"/>
      <c r="D172" s="61"/>
      <c r="E172" s="54"/>
      <c r="F172" s="54"/>
      <c r="G172" s="54"/>
      <c r="H172" s="54"/>
      <c r="I172" s="52">
        <f t="shared" si="6"/>
        <v>4.6153846153846159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61">
        <f>202/1.56+18/1.56</f>
        <v>141.02564102564102</v>
      </c>
      <c r="C173" s="53">
        <v>4</v>
      </c>
      <c r="D173" s="53">
        <f>(18+18)/1.56</f>
        <v>23.076923076923077</v>
      </c>
      <c r="E173" s="54"/>
      <c r="F173" s="54"/>
      <c r="G173" s="54"/>
      <c r="H173" s="54"/>
      <c r="I173" s="52">
        <f t="shared" si="6"/>
        <v>4.6153846153846159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61">
        <f>217/1.56</f>
        <v>139.10256410256409</v>
      </c>
      <c r="C174" s="53"/>
      <c r="D174" s="53"/>
      <c r="E174" s="54"/>
      <c r="F174" s="54"/>
      <c r="G174" s="54"/>
      <c r="H174" s="54"/>
      <c r="I174" s="52">
        <f t="shared" si="6"/>
        <v>4.2307692307692291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60</v>
      </c>
      <c r="B175" s="61">
        <f>231/1.56+18/1.56</f>
        <v>159.61538461538461</v>
      </c>
      <c r="C175" s="53">
        <v>5</v>
      </c>
      <c r="D175" s="53">
        <f>(18+18)/1.56</f>
        <v>23.076923076923077</v>
      </c>
      <c r="E175" s="54"/>
      <c r="F175" s="54"/>
      <c r="G175" s="54"/>
      <c r="H175" s="54"/>
      <c r="I175" s="52">
        <f t="shared" si="6"/>
        <v>4.1025641025641049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65</v>
      </c>
      <c r="B176" s="61">
        <f>244/1.56</f>
        <v>156.41025641025641</v>
      </c>
      <c r="C176" s="53"/>
      <c r="D176" s="53"/>
      <c r="E176" s="54"/>
      <c r="F176" s="54"/>
      <c r="G176" s="54"/>
      <c r="H176" s="54"/>
      <c r="I176" s="52">
        <f t="shared" si="6"/>
        <v>3.9743589743589722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70</v>
      </c>
      <c r="B177" s="61">
        <f>255/1.56+18/1.56</f>
        <v>175</v>
      </c>
      <c r="C177" s="53">
        <v>6</v>
      </c>
      <c r="D177" s="53">
        <v>23.076923076923077</v>
      </c>
      <c r="E177" s="54"/>
      <c r="F177" s="54"/>
      <c r="G177" s="54"/>
      <c r="H177" s="54"/>
      <c r="I177" s="52">
        <f t="shared" si="6"/>
        <v>3.7179487179487181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75</v>
      </c>
      <c r="B178" s="61">
        <f>265/1.56</f>
        <v>169.87179487179486</v>
      </c>
      <c r="C178" s="53"/>
      <c r="D178" s="53"/>
      <c r="E178" s="54"/>
      <c r="F178" s="54"/>
      <c r="G178" s="54"/>
      <c r="H178" s="54"/>
      <c r="I178" s="52">
        <f t="shared" si="6"/>
        <v>3.5897435897435854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80</v>
      </c>
      <c r="B179" s="61">
        <f>275/1.56+17/1.56</f>
        <v>187.17948717948718</v>
      </c>
      <c r="C179" s="53">
        <v>7</v>
      </c>
      <c r="D179" s="53">
        <f>(17+17)/1.56</f>
        <v>21.794871794871796</v>
      </c>
      <c r="E179" s="54"/>
      <c r="F179" s="54"/>
      <c r="G179" s="54"/>
      <c r="H179" s="54"/>
      <c r="I179" s="52">
        <f t="shared" si="6"/>
        <v>3.4615384615384643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85</v>
      </c>
      <c r="B180" s="61">
        <f>283/1.56</f>
        <v>181.41025641025641</v>
      </c>
      <c r="C180" s="53"/>
      <c r="D180" s="53"/>
      <c r="E180" s="54"/>
      <c r="F180" s="54"/>
      <c r="G180" s="54"/>
      <c r="H180" s="54"/>
      <c r="I180" s="52">
        <f t="shared" si="6"/>
        <v>3.2051282051282044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90</v>
      </c>
      <c r="B181" s="61">
        <f>291/1.56+17/1.56</f>
        <v>197.4358974358974</v>
      </c>
      <c r="C181" s="53">
        <v>8</v>
      </c>
      <c r="D181" s="53">
        <f>(16+17)/1.56</f>
        <v>21.153846153846153</v>
      </c>
      <c r="E181" s="54"/>
      <c r="F181" s="54"/>
      <c r="G181" s="54"/>
      <c r="H181" s="54"/>
      <c r="I181" s="52">
        <f t="shared" si="6"/>
        <v>3.2051282051281986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95</v>
      </c>
      <c r="B182" s="61">
        <f>298/1.56</f>
        <v>191.02564102564102</v>
      </c>
      <c r="C182" s="53"/>
      <c r="D182" s="53"/>
      <c r="E182" s="54"/>
      <c r="F182" s="54"/>
      <c r="G182" s="54"/>
      <c r="H182" s="54"/>
      <c r="I182" s="52">
        <f t="shared" si="6"/>
        <v>2.948717948717956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100</v>
      </c>
      <c r="B183" s="61">
        <f>305/1.56+16/1.56</f>
        <v>205.76923076923075</v>
      </c>
      <c r="C183" s="53">
        <v>9</v>
      </c>
      <c r="D183" s="53">
        <f>(16+15)/1.56</f>
        <v>19.871794871794872</v>
      </c>
      <c r="E183" s="54"/>
      <c r="F183" s="54"/>
      <c r="G183" s="54"/>
      <c r="H183" s="54"/>
      <c r="I183" s="52">
        <f t="shared" si="6"/>
        <v>2.9487179487179445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110</v>
      </c>
      <c r="B184" s="61">
        <f>316/1.56+15/1.56</f>
        <v>212.17948717948718</v>
      </c>
      <c r="C184" s="53">
        <v>10</v>
      </c>
      <c r="D184" s="53">
        <f>(15+15)/1.56</f>
        <v>19.23076923076923</v>
      </c>
      <c r="E184" s="54"/>
      <c r="F184" s="54"/>
      <c r="G184" s="54"/>
      <c r="H184" s="54"/>
      <c r="I184" s="52">
        <f t="shared" si="6"/>
        <v>2.62820512820513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120</v>
      </c>
      <c r="B185" s="61">
        <f>326/1.56+14/1.56</f>
        <v>217.94871794871796</v>
      </c>
      <c r="C185" s="53">
        <v>11</v>
      </c>
      <c r="D185" s="53">
        <f>B185</f>
        <v>217.94871794871796</v>
      </c>
      <c r="E185" s="54"/>
      <c r="F185" s="54"/>
      <c r="G185" s="54"/>
      <c r="H185" s="54"/>
      <c r="I185" s="52">
        <f t="shared" si="6"/>
        <v>2.5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champêtre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1">
        <v>18</v>
      </c>
      <c r="C192" s="61"/>
      <c r="D192" s="61"/>
      <c r="E192" s="54"/>
      <c r="F192" s="54"/>
      <c r="G192" s="54"/>
      <c r="H192" s="54"/>
      <c r="I192" s="52">
        <f>IFERROR(B192/A192,"")</f>
        <v>0.9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1">
        <f>53+3</f>
        <v>56</v>
      </c>
      <c r="C193" s="61">
        <v>1</v>
      </c>
      <c r="D193" s="61">
        <f>14+3</f>
        <v>17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1">
        <v>76</v>
      </c>
      <c r="C194" s="61"/>
      <c r="D194" s="61"/>
      <c r="E194" s="54"/>
      <c r="F194" s="54"/>
      <c r="G194" s="54"/>
      <c r="H194" s="54"/>
      <c r="I194" s="52">
        <f t="shared" si="7"/>
        <v>7.4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1">
        <f>95+14</f>
        <v>109</v>
      </c>
      <c r="C195" s="61">
        <v>2</v>
      </c>
      <c r="D195" s="61">
        <f>14+14</f>
        <v>28</v>
      </c>
      <c r="E195" s="54"/>
      <c r="F195" s="54"/>
      <c r="G195" s="54"/>
      <c r="H195" s="54"/>
      <c r="I195" s="52">
        <f t="shared" si="7"/>
        <v>6.6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1">
        <v>109</v>
      </c>
      <c r="C196" s="61"/>
      <c r="D196" s="61"/>
      <c r="E196" s="54"/>
      <c r="F196" s="54"/>
      <c r="G196" s="54"/>
      <c r="H196" s="54"/>
      <c r="I196" s="52">
        <f t="shared" si="7"/>
        <v>5.6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1">
        <f>120+14</f>
        <v>134</v>
      </c>
      <c r="C197" s="61">
        <v>3</v>
      </c>
      <c r="D197" s="61">
        <f>14+14</f>
        <v>28</v>
      </c>
      <c r="E197" s="54"/>
      <c r="F197" s="54"/>
      <c r="G197" s="54"/>
      <c r="H197" s="54"/>
      <c r="I197" s="52">
        <f t="shared" si="7"/>
        <v>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1">
        <v>127</v>
      </c>
      <c r="C198" s="61"/>
      <c r="D198" s="61"/>
      <c r="E198" s="54"/>
      <c r="F198" s="54"/>
      <c r="G198" s="54"/>
      <c r="H198" s="54"/>
      <c r="I198" s="52">
        <f t="shared" si="7"/>
        <v>4.2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f>133+11</f>
        <v>144</v>
      </c>
      <c r="C199" s="53">
        <v>4</v>
      </c>
      <c r="D199" s="53">
        <f>11+9</f>
        <v>20</v>
      </c>
      <c r="E199" s="54"/>
      <c r="F199" s="54"/>
      <c r="G199" s="54"/>
      <c r="H199" s="54"/>
      <c r="I199" s="52">
        <f t="shared" si="7"/>
        <v>3.4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140</v>
      </c>
      <c r="C200" s="53"/>
      <c r="D200" s="53"/>
      <c r="E200" s="54"/>
      <c r="F200" s="54"/>
      <c r="G200" s="54"/>
      <c r="H200" s="54"/>
      <c r="I200" s="52">
        <f t="shared" si="7"/>
        <v>3.2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f>146+7</f>
        <v>153</v>
      </c>
      <c r="C201" s="53">
        <v>5</v>
      </c>
      <c r="D201" s="53">
        <f>6+7</f>
        <v>13</v>
      </c>
      <c r="E201" s="54"/>
      <c r="F201" s="54"/>
      <c r="G201" s="54"/>
      <c r="H201" s="54"/>
      <c r="I201" s="52">
        <f t="shared" si="7"/>
        <v>2.6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151</v>
      </c>
      <c r="C202" s="53"/>
      <c r="D202" s="53"/>
      <c r="E202" s="54"/>
      <c r="F202" s="54"/>
      <c r="G202" s="54"/>
      <c r="H202" s="54"/>
      <c r="I202" s="52">
        <f t="shared" si="7"/>
        <v>2.2000000000000002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f>155+5</f>
        <v>160</v>
      </c>
      <c r="C203" s="53"/>
      <c r="D203" s="53"/>
      <c r="E203" s="54"/>
      <c r="F203" s="54"/>
      <c r="G203" s="54"/>
      <c r="H203" s="54"/>
      <c r="I203" s="52">
        <f t="shared" si="7"/>
        <v>1.8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53">
        <f>160+5+4</f>
        <v>169</v>
      </c>
      <c r="C204" s="53">
        <v>6</v>
      </c>
      <c r="D204" s="53">
        <f>B204</f>
        <v>169</v>
      </c>
      <c r="E204" s="54"/>
      <c r="F204" s="54"/>
      <c r="G204" s="54"/>
      <c r="H204" s="54"/>
      <c r="I204" s="52">
        <f t="shared" si="7"/>
        <v>1.8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Tilleul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1">
        <f>96/1.56+11/1.56</f>
        <v>68.589743589743591</v>
      </c>
      <c r="C218" s="53"/>
      <c r="D218" s="61"/>
      <c r="E218" s="64"/>
      <c r="F218" s="64"/>
      <c r="G218" s="64"/>
      <c r="H218" s="64"/>
      <c r="I218" s="56">
        <f>IFERROR(B218/A218,"")</f>
        <v>4.5726495726495724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1">
        <f>(149+20+11)/1.56</f>
        <v>115.38461538461539</v>
      </c>
      <c r="C219" s="53"/>
      <c r="D219" s="61"/>
      <c r="E219" s="64"/>
      <c r="F219" s="64"/>
      <c r="G219" s="64"/>
      <c r="H219" s="64"/>
      <c r="I219" s="56">
        <f t="shared" ref="I219:I237" si="8">IF(A219&lt;&gt;0,(B219-(B218-D218))/(A219-A218),"")</f>
        <v>9.3589743589743595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1">
        <f>(196+11+20+25)/1.56</f>
        <v>161.53846153846152</v>
      </c>
      <c r="C220" s="53">
        <v>1</v>
      </c>
      <c r="D220" s="61">
        <f>(28+25+20+11)/1.56</f>
        <v>53.846153846153847</v>
      </c>
      <c r="E220" s="64"/>
      <c r="F220" s="64"/>
      <c r="G220" s="64"/>
      <c r="H220" s="64">
        <v>1</v>
      </c>
      <c r="I220" s="56">
        <f t="shared" si="8"/>
        <v>9.2307692307692264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1">
        <f>237/1.56</f>
        <v>151.92307692307691</v>
      </c>
      <c r="C221" s="58"/>
      <c r="D221" s="58"/>
      <c r="E221" s="64"/>
      <c r="F221" s="64"/>
      <c r="G221" s="64"/>
      <c r="H221" s="64"/>
      <c r="I221" s="56">
        <f t="shared" si="8"/>
        <v>8.8461538461538449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1">
        <f>(273+29)/1.56</f>
        <v>193.58974358974359</v>
      </c>
      <c r="C222" s="58">
        <v>2</v>
      </c>
      <c r="D222" s="58">
        <f>(29+29)/1.56</f>
        <v>37.179487179487175</v>
      </c>
      <c r="E222" s="64"/>
      <c r="F222" s="64"/>
      <c r="G222" s="64"/>
      <c r="H222" s="64"/>
      <c r="I222" s="56">
        <f t="shared" si="8"/>
        <v>8.3333333333333375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1">
        <f>303/1.56</f>
        <v>194.23076923076923</v>
      </c>
      <c r="C223" s="58"/>
      <c r="D223" s="58"/>
      <c r="E223" s="64"/>
      <c r="F223" s="64"/>
      <c r="G223" s="64"/>
      <c r="H223" s="64"/>
      <c r="I223" s="56">
        <f t="shared" si="8"/>
        <v>7.5641025641025639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1">
        <f>(330+29)/1.56</f>
        <v>230.12820512820511</v>
      </c>
      <c r="C224" s="58">
        <v>3</v>
      </c>
      <c r="D224" s="58">
        <f>(28+29)/1.56</f>
        <v>36.53846153846154</v>
      </c>
      <c r="E224" s="64"/>
      <c r="F224" s="64"/>
      <c r="G224" s="64"/>
      <c r="H224" s="64"/>
      <c r="I224" s="56">
        <f t="shared" si="8"/>
        <v>7.1794871794871771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61">
        <f>354/1.56</f>
        <v>226.92307692307691</v>
      </c>
      <c r="C225" s="58"/>
      <c r="D225" s="58"/>
      <c r="E225" s="64"/>
      <c r="F225" s="64"/>
      <c r="G225" s="64"/>
      <c r="H225" s="64"/>
      <c r="I225" s="56">
        <f t="shared" si="8"/>
        <v>6.6666666666666687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61">
        <f>(376+27)/1.56</f>
        <v>258.33333333333331</v>
      </c>
      <c r="C226" s="58">
        <v>4</v>
      </c>
      <c r="D226" s="58">
        <f>(24+27)/1.56</f>
        <v>32.692307692307693</v>
      </c>
      <c r="E226" s="64"/>
      <c r="F226" s="64"/>
      <c r="G226" s="64"/>
      <c r="H226" s="64"/>
      <c r="I226" s="56">
        <f t="shared" si="8"/>
        <v>6.2820512820512819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61">
        <f>398/1.56</f>
        <v>255.12820512820511</v>
      </c>
      <c r="C227" s="58"/>
      <c r="D227" s="58"/>
      <c r="E227" s="64"/>
      <c r="F227" s="64"/>
      <c r="G227" s="64"/>
      <c r="H227" s="64"/>
      <c r="I227" s="56">
        <f t="shared" si="8"/>
        <v>5.8974358974358951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61">
        <f>(415+25)/1.56</f>
        <v>282.05128205128204</v>
      </c>
      <c r="C228" s="58">
        <v>5</v>
      </c>
      <c r="D228" s="58">
        <f>(25+24)/1.56</f>
        <v>31.410256410256409</v>
      </c>
      <c r="E228" s="64"/>
      <c r="F228" s="64"/>
      <c r="G228" s="64"/>
      <c r="H228" s="64"/>
      <c r="I228" s="56">
        <f t="shared" si="8"/>
        <v>5.3846153846153868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61">
        <f>431/1.56</f>
        <v>276.28205128205127</v>
      </c>
      <c r="C229" s="58"/>
      <c r="D229" s="58"/>
      <c r="E229" s="64"/>
      <c r="F229" s="64"/>
      <c r="G229" s="64"/>
      <c r="H229" s="64"/>
      <c r="I229" s="56">
        <f t="shared" si="8"/>
        <v>5.1282051282051269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61">
        <f>(446+23)/1.56</f>
        <v>300.64102564102564</v>
      </c>
      <c r="C230" s="58">
        <v>6</v>
      </c>
      <c r="D230" s="58">
        <f>(22+23)/1.56</f>
        <v>28.846153846153847</v>
      </c>
      <c r="E230" s="65"/>
      <c r="F230" s="65"/>
      <c r="G230" s="65"/>
      <c r="H230" s="65"/>
      <c r="I230" s="56">
        <f t="shared" si="8"/>
        <v>4.8717948717948731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61">
        <f>459/1.56</f>
        <v>294.23076923076923</v>
      </c>
      <c r="C231" s="92"/>
      <c r="D231" s="61"/>
      <c r="E231" s="57"/>
      <c r="F231" s="57"/>
      <c r="G231" s="57"/>
      <c r="H231" s="57"/>
      <c r="I231" s="56">
        <f t="shared" si="8"/>
        <v>4.4871794871794917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85</v>
      </c>
      <c r="B232" s="61">
        <f>(472+22)/1.56</f>
        <v>316.66666666666663</v>
      </c>
      <c r="C232" s="53">
        <v>7</v>
      </c>
      <c r="D232" s="53">
        <f>(21+22)/1.56</f>
        <v>27.564102564102562</v>
      </c>
      <c r="E232" s="57"/>
      <c r="F232" s="57"/>
      <c r="G232" s="57"/>
      <c r="H232" s="57"/>
      <c r="I232" s="56">
        <f t="shared" si="8"/>
        <v>4.4871794871794801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90</v>
      </c>
      <c r="B233" s="61">
        <f>483/1.56</f>
        <v>309.61538461538458</v>
      </c>
      <c r="C233" s="53"/>
      <c r="D233" s="53"/>
      <c r="E233" s="57"/>
      <c r="F233" s="57"/>
      <c r="G233" s="57"/>
      <c r="H233" s="57"/>
      <c r="I233" s="56">
        <f t="shared" si="8"/>
        <v>4.1025641025640995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95</v>
      </c>
      <c r="B234" s="61">
        <f>(494+20)/1.56</f>
        <v>329.4871794871795</v>
      </c>
      <c r="C234" s="53">
        <v>8</v>
      </c>
      <c r="D234" s="53">
        <f>(20+19)/1.56</f>
        <v>25</v>
      </c>
      <c r="E234" s="57"/>
      <c r="F234" s="57"/>
      <c r="G234" s="57"/>
      <c r="H234" s="57"/>
      <c r="I234" s="56">
        <f t="shared" si="8"/>
        <v>3.9743589743589838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100</v>
      </c>
      <c r="B235" s="61">
        <f>504/1.56</f>
        <v>323.07692307692304</v>
      </c>
      <c r="C235" s="53"/>
      <c r="D235" s="53"/>
      <c r="E235" s="57"/>
      <c r="F235" s="57"/>
      <c r="G235" s="57"/>
      <c r="H235" s="57"/>
      <c r="I235" s="56">
        <f t="shared" si="8"/>
        <v>3.717948717948707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105</v>
      </c>
      <c r="B236" s="61">
        <f>(514+18)/1.56</f>
        <v>341.02564102564099</v>
      </c>
      <c r="C236" s="53"/>
      <c r="D236" s="53"/>
      <c r="E236" s="57"/>
      <c r="F236" s="57"/>
      <c r="G236" s="57"/>
      <c r="H236" s="57"/>
      <c r="I236" s="56">
        <f t="shared" si="8"/>
        <v>3.5897435897435912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110</v>
      </c>
      <c r="B237" s="61">
        <f>(523+18+18)/1.56</f>
        <v>358.33333333333331</v>
      </c>
      <c r="C237" s="53">
        <v>9</v>
      </c>
      <c r="D237" s="53">
        <f>B237</f>
        <v>358.33333333333331</v>
      </c>
      <c r="E237" s="57"/>
      <c r="F237" s="57"/>
      <c r="G237" s="57"/>
      <c r="H237" s="57"/>
      <c r="I237" s="56">
        <f t="shared" si="8"/>
        <v>3.4615384615384643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Peuplier Koster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7</v>
      </c>
      <c r="B244" s="61">
        <v>2.6112000000000002</v>
      </c>
      <c r="C244" s="61"/>
      <c r="D244" s="61"/>
      <c r="E244" s="54"/>
      <c r="F244" s="54"/>
      <c r="G244" s="54"/>
      <c r="H244" s="64"/>
      <c r="I244" s="56">
        <f>IFERROR(B244/A244,"")</f>
        <v>0.37302857142857143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8</v>
      </c>
      <c r="B245" s="61">
        <v>26.111999999999998</v>
      </c>
      <c r="C245" s="61"/>
      <c r="D245" s="61"/>
      <c r="E245" s="64"/>
      <c r="F245" s="64"/>
      <c r="G245" s="64"/>
      <c r="H245" s="64"/>
      <c r="I245" s="56">
        <f>IF(A245&lt;&gt;0,(B245-(B244-D244))/(A245-A244),"")</f>
        <v>23.500799999999998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9</v>
      </c>
      <c r="B246" s="61">
        <v>52.223999999999997</v>
      </c>
      <c r="C246" s="61"/>
      <c r="D246" s="61"/>
      <c r="E246" s="64"/>
      <c r="F246" s="64"/>
      <c r="G246" s="64"/>
      <c r="H246" s="64"/>
      <c r="I246" s="56">
        <f>IF(A246&lt;&gt;0,(B246-(B245-D245))/(A246-A245),"")</f>
        <v>26.111999999999998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10</v>
      </c>
      <c r="B247" s="61">
        <v>86.169599999999988</v>
      </c>
      <c r="C247" s="61"/>
      <c r="D247" s="61"/>
      <c r="E247" s="64"/>
      <c r="F247" s="64"/>
      <c r="G247" s="64"/>
      <c r="H247" s="64"/>
      <c r="I247" s="56">
        <f t="shared" ref="I247:I263" si="9">IF(A247&lt;&gt;0,(B247-(B246-D246))/(A247-A246),"")</f>
        <v>33.945599999999992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11</v>
      </c>
      <c r="B248" s="61">
        <v>120.11520000000002</v>
      </c>
      <c r="C248" s="61"/>
      <c r="D248" s="61"/>
      <c r="E248" s="64"/>
      <c r="F248" s="64"/>
      <c r="G248" s="64"/>
      <c r="H248" s="64"/>
      <c r="I248" s="56">
        <f t="shared" si="9"/>
        <v>33.945600000000027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12</v>
      </c>
      <c r="B249" s="61">
        <v>159.28319999999999</v>
      </c>
      <c r="C249" s="61"/>
      <c r="D249" s="61"/>
      <c r="E249" s="64"/>
      <c r="F249" s="64"/>
      <c r="G249" s="64"/>
      <c r="H249" s="64"/>
      <c r="I249" s="56">
        <f t="shared" si="9"/>
        <v>39.167999999999978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13</v>
      </c>
      <c r="B250" s="61">
        <v>201.06240000000003</v>
      </c>
      <c r="C250" s="61"/>
      <c r="D250" s="61"/>
      <c r="E250" s="64"/>
      <c r="F250" s="64"/>
      <c r="G250" s="64"/>
      <c r="H250" s="64"/>
      <c r="I250" s="56">
        <f t="shared" si="9"/>
        <v>41.779200000000031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>
        <v>14</v>
      </c>
      <c r="B251" s="58">
        <v>240.23040000000003</v>
      </c>
      <c r="C251" s="58"/>
      <c r="D251" s="58"/>
      <c r="E251" s="64"/>
      <c r="F251" s="64"/>
      <c r="G251" s="64"/>
      <c r="H251" s="64"/>
      <c r="I251" s="56">
        <f t="shared" si="9"/>
        <v>39.168000000000006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>
        <v>15</v>
      </c>
      <c r="B252" s="58">
        <v>282.00959999999998</v>
      </c>
      <c r="C252" s="58"/>
      <c r="D252" s="58"/>
      <c r="E252" s="64"/>
      <c r="F252" s="64"/>
      <c r="G252" s="64"/>
      <c r="H252" s="64"/>
      <c r="I252" s="56">
        <f t="shared" si="9"/>
        <v>41.779199999999946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>
        <v>16</v>
      </c>
      <c r="B253" s="58">
        <v>323.78880000000004</v>
      </c>
      <c r="C253" s="58"/>
      <c r="D253" s="58"/>
      <c r="E253" s="64"/>
      <c r="F253" s="64"/>
      <c r="G253" s="64"/>
      <c r="H253" s="64"/>
      <c r="I253" s="56">
        <f t="shared" si="9"/>
        <v>41.77920000000006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>
        <v>17</v>
      </c>
      <c r="B254" s="58">
        <v>362.95680000000004</v>
      </c>
      <c r="C254" s="58"/>
      <c r="D254" s="58"/>
      <c r="E254" s="64"/>
      <c r="F254" s="64"/>
      <c r="G254" s="64"/>
      <c r="H254" s="64"/>
      <c r="I254" s="56">
        <f t="shared" si="9"/>
        <v>39.168000000000006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>
        <v>18</v>
      </c>
      <c r="B255" s="58">
        <v>399.5136</v>
      </c>
      <c r="C255" s="58"/>
      <c r="D255" s="58"/>
      <c r="E255" s="64"/>
      <c r="F255" s="64"/>
      <c r="G255" s="64"/>
      <c r="H255" s="64"/>
      <c r="I255" s="56">
        <f t="shared" si="9"/>
        <v>36.556799999999953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>
        <v>19</v>
      </c>
      <c r="B256" s="58">
        <v>436.07040000000001</v>
      </c>
      <c r="C256" s="58"/>
      <c r="D256" s="58"/>
      <c r="E256" s="65"/>
      <c r="F256" s="65"/>
      <c r="G256" s="65"/>
      <c r="H256" s="65"/>
      <c r="I256" s="56">
        <f t="shared" si="9"/>
        <v>36.55680000000001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>
        <v>20</v>
      </c>
      <c r="B257" s="61">
        <v>470.01599999999996</v>
      </c>
      <c r="C257" s="92"/>
      <c r="D257" s="61"/>
      <c r="E257" s="57"/>
      <c r="F257" s="57"/>
      <c r="G257" s="57"/>
      <c r="H257" s="57"/>
      <c r="I257" s="56">
        <f t="shared" si="9"/>
        <v>33.945599999999956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21</v>
      </c>
      <c r="B258" s="53">
        <v>501.35040000000004</v>
      </c>
      <c r="C258" s="53"/>
      <c r="D258" s="53"/>
      <c r="E258" s="57"/>
      <c r="F258" s="57"/>
      <c r="G258" s="57"/>
      <c r="H258" s="57"/>
      <c r="I258" s="56">
        <f t="shared" si="9"/>
        <v>31.334400000000073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22</v>
      </c>
      <c r="B259" s="53">
        <v>530.07360000000006</v>
      </c>
      <c r="C259" s="53"/>
      <c r="D259" s="53"/>
      <c r="E259" s="57"/>
      <c r="F259" s="57"/>
      <c r="G259" s="57"/>
      <c r="H259" s="57"/>
      <c r="I259" s="56">
        <f t="shared" si="9"/>
        <v>28.72320000000002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23</v>
      </c>
      <c r="B260" s="53">
        <v>556.18560000000002</v>
      </c>
      <c r="C260" s="53"/>
      <c r="D260" s="53"/>
      <c r="E260" s="57"/>
      <c r="F260" s="57"/>
      <c r="G260" s="57"/>
      <c r="H260" s="57"/>
      <c r="I260" s="56">
        <f t="shared" si="9"/>
        <v>26.111999999999966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24</v>
      </c>
      <c r="B261" s="53">
        <v>579.68640000000005</v>
      </c>
      <c r="C261" s="53"/>
      <c r="D261" s="53"/>
      <c r="E261" s="57"/>
      <c r="F261" s="57"/>
      <c r="G261" s="57"/>
      <c r="H261" s="57"/>
      <c r="I261" s="56">
        <f t="shared" si="9"/>
        <v>23.500800000000027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25</v>
      </c>
      <c r="B262" s="53">
        <v>603.18720000000008</v>
      </c>
      <c r="C262" s="53">
        <v>1</v>
      </c>
      <c r="D262" s="53">
        <f>B262</f>
        <v>603.18720000000008</v>
      </c>
      <c r="E262" s="57">
        <v>0.78</v>
      </c>
      <c r="F262" s="57"/>
      <c r="G262" s="57"/>
      <c r="H262" s="57">
        <v>0.22</v>
      </c>
      <c r="I262" s="56">
        <f t="shared" si="9"/>
        <v>23.500800000000027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Merisier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15</v>
      </c>
      <c r="B270" s="61">
        <v>40</v>
      </c>
      <c r="C270" s="53"/>
      <c r="D270" s="61"/>
      <c r="E270" s="54"/>
      <c r="F270" s="54"/>
      <c r="G270" s="54"/>
      <c r="H270" s="54"/>
      <c r="I270" s="56">
        <f>IFERROR(B270/A270,"")</f>
        <v>2.6666666666666665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20</v>
      </c>
      <c r="B271" s="61">
        <f>85+3</f>
        <v>88</v>
      </c>
      <c r="C271" s="53"/>
      <c r="D271" s="61"/>
      <c r="E271" s="54"/>
      <c r="F271" s="54"/>
      <c r="G271" s="54"/>
      <c r="H271" s="54"/>
      <c r="I271" s="56">
        <f>IF(A271&lt;&gt;0,(B271-(B270-D270))/(A271-A270),"")</f>
        <v>9.6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25</v>
      </c>
      <c r="B272" s="61">
        <f>113+3+25</f>
        <v>141</v>
      </c>
      <c r="C272" s="53">
        <v>1</v>
      </c>
      <c r="D272" s="61">
        <f>3+25+27</f>
        <v>55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10.6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31</v>
      </c>
      <c r="B273" s="61">
        <v>155</v>
      </c>
      <c r="C273" s="53">
        <v>2</v>
      </c>
      <c r="D273" s="61">
        <v>36</v>
      </c>
      <c r="E273" s="54"/>
      <c r="F273" s="54"/>
      <c r="G273" s="54"/>
      <c r="H273" s="54"/>
      <c r="I273" s="56">
        <f t="shared" si="10"/>
        <v>11.5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37</v>
      </c>
      <c r="B274" s="61">
        <v>188</v>
      </c>
      <c r="C274" s="53">
        <v>3</v>
      </c>
      <c r="D274" s="61">
        <v>36</v>
      </c>
      <c r="E274" s="54"/>
      <c r="F274" s="54"/>
      <c r="G274" s="54"/>
      <c r="H274" s="54"/>
      <c r="I274" s="56">
        <f t="shared" si="10"/>
        <v>11.5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44</v>
      </c>
      <c r="B275" s="61">
        <v>230</v>
      </c>
      <c r="C275" s="53">
        <v>4</v>
      </c>
      <c r="D275" s="61">
        <v>43</v>
      </c>
      <c r="E275" s="64"/>
      <c r="F275" s="64"/>
      <c r="G275" s="64"/>
      <c r="H275" s="64"/>
      <c r="I275" s="56">
        <f t="shared" si="10"/>
        <v>11.142857142857142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61">
        <v>52</v>
      </c>
      <c r="B276" s="61">
        <v>270</v>
      </c>
      <c r="C276" s="61">
        <v>5</v>
      </c>
      <c r="D276" s="61">
        <v>48</v>
      </c>
      <c r="E276" s="64"/>
      <c r="F276" s="64"/>
      <c r="G276" s="64"/>
      <c r="H276" s="64"/>
      <c r="I276" s="56">
        <f t="shared" si="10"/>
        <v>10.375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61">
        <v>60</v>
      </c>
      <c r="B277" s="61">
        <v>297</v>
      </c>
      <c r="C277" s="61">
        <v>6</v>
      </c>
      <c r="D277" s="61">
        <v>47</v>
      </c>
      <c r="E277" s="64"/>
      <c r="F277" s="64"/>
      <c r="G277" s="64"/>
      <c r="H277" s="64"/>
      <c r="I277" s="56">
        <f t="shared" si="10"/>
        <v>9.375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61">
        <v>69</v>
      </c>
      <c r="B278" s="61">
        <v>328</v>
      </c>
      <c r="C278" s="61">
        <v>7</v>
      </c>
      <c r="D278" s="61">
        <f>B278</f>
        <v>328</v>
      </c>
      <c r="E278" s="64"/>
      <c r="F278" s="64"/>
      <c r="G278" s="64"/>
      <c r="H278" s="64"/>
      <c r="I278" s="56">
        <f t="shared" si="10"/>
        <v>8.6666666666666661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23" sqref="B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Cèdre de l'Atlas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Pin noir d'Autriche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Chêne sessile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Chêne pubescent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Charme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Erable champêtre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Tilleul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Peuplier Koster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Merisier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399.92909819003523</v>
      </c>
      <c r="T3" s="60">
        <f>IF('Données projet'!E9&gt;30,$R$33-$H$33,LOOKUP('Données projet'!$E$9,$A$3:$A$203,R3:R203)-LOOKUP('Données projet'!$E$9,$A$3:$A$203,$H$3:$H$203))</f>
        <v>163.7053537268381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455.43477166687273</v>
      </c>
      <c r="AO3" s="60">
        <f>IF('Données projet'!E10&gt;30,$AM$33-$H$33,LOOKUP('Données projet'!$E$10,$A$3:$A$203,AM3:AM203)-LOOKUP('Données projet'!$E$10,$A$3:$A$203,$H$3:$H$203))</f>
        <v>312.81310692672895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430.11660085503223</v>
      </c>
      <c r="BJ3" s="60">
        <f>IF('Données projet'!E11&gt;30,$BH$33-$H$33,LOOKUP('Données projet'!$E$11,$A$3:$A$203,BH3:BH203)-LOOKUP('Données projet'!$E$11,$A$3:$A$203,$H$3:$H$203))</f>
        <v>231.36959598460686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476.8965664931755</v>
      </c>
      <c r="CE3" s="60">
        <f>IF('Données projet'!E12&gt;30,$CC$33-$H$33,LOOKUP('Données projet'!$E$12,$A$3:$A$203,CC3:CC203)-LOOKUP('Données projet'!$E$12,$A$3:$A$203,$H$3:$H$203))</f>
        <v>254.25036207346591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456.86147223520601</v>
      </c>
      <c r="CZ3" s="60">
        <f>IF('Données projet'!E13&gt;30,$CX$33-$H$33,LOOKUP('Données projet'!$E$13,$A$3:$A$203,CX3:CX203)-LOOKUP('Données projet'!$E$13,$A$3:$A$203,$H$3:$H$203))</f>
        <v>244.45149244446094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300.36889324671682</v>
      </c>
      <c r="DU3" s="60">
        <f>IF('Données projet'!E14&gt;30,$DS$33-$H$33,LOOKUP('Données projet'!$E$14,$A$3:$A$203,DS3:DS203)-LOOKUP('Données projet'!$E$14,$A$3:$A$203,$H$3:$H$203))</f>
        <v>214.36051699039683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202.46844517174412</v>
      </c>
      <c r="EP3" s="60">
        <f>IF('Données projet'!E15&gt;30,$EN$33-$H$33,LOOKUP('Données projet'!$E$15,$A$3:$A$203,EN3:EN203)-LOOKUP('Données projet'!$E$15,$A$3:$A$203,$H$3:$H$203))</f>
        <v>185.00219255324515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344.87493856469382</v>
      </c>
      <c r="FK3" s="60">
        <f>IF('Données projet'!E16&gt;30,$FI$33-$H$33,LOOKUP('Données projet'!$E$16,$A$3:$A$203,FI3:FI203)-LOOKUP('Données projet'!$E$16,$A$3:$A$203,$H$3:$H$203))</f>
        <v>261.91036689641402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256.66666666666669</v>
      </c>
      <c r="GE3" s="60">
        <f ca="1">AVERAGE(OFFSET($GD$3,0,0,'Données projet'!$E$17+1,1))-AVERAGE(OFFSET($H$3,0,0,'Données projet'!$E$17+1,1))</f>
        <v>268.19959446602911</v>
      </c>
      <c r="GF3" s="60">
        <f>IF('Données projet'!E17&gt;30,$GD$33-$H$33,LOOKUP('Données projet'!$E$17,$A$3:$A$203,GD3:GD203)-LOOKUP('Données projet'!$E$17,$A$3:$A$203,$H$3:$H$203))</f>
        <v>691.2533336811855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256.66666666666669</v>
      </c>
      <c r="GZ3" s="60">
        <f ca="1">AVERAGE(OFFSET($GY$3,0,0,'Données projet'!$E$18+1,1))-AVERAGE(OFFSET($H$3,0,0,'Données projet'!$E$18+1,1))</f>
        <v>292.57482726862594</v>
      </c>
      <c r="HA3" s="60">
        <f>IF('Données projet'!E18&gt;30,$GY$33-$H$33,LOOKUP('Données projet'!$E$18,$A$3:$A$203,GY3:GY203)-LOOKUP('Données projet'!$E$18,$A$3:$A$203,$H$3:$H$203))</f>
        <v>283.48738729114024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</v>
      </c>
      <c r="N4" s="14">
        <f>IF('Données projet'!$A$36&gt;35,N3+M4-V3,IF(A4&lt;'Données projet'!$A$36,$K$205^A4,IF(A4='Données projet'!$A$36,'Données projet'!$B$36,N3+M4-V3)))</f>
        <v>1.1812937373976771</v>
      </c>
      <c r="O4" s="14">
        <f>N4*VLOOKUP('Données projet'!$B$9,Paramètres!$A$1:$I$89,3,0)*VLOOKUP('Données projet'!$B$9,Paramètres!$A$1:$I$89,5,0)</f>
        <v>0.55284546910211285</v>
      </c>
      <c r="P4" s="14">
        <f>EXP(-1.0587+0.8836*LN(O4)+0.284)</f>
        <v>0.27297114564908254</v>
      </c>
      <c r="Q4" s="22">
        <f t="shared" ref="Q4:Q34" si="2">(O4+P4)*0.475*44/12</f>
        <v>1.4382972706916652</v>
      </c>
      <c r="R4" s="60">
        <f t="shared" si="0"/>
        <v>259.32718615958055</v>
      </c>
      <c r="S4" s="60">
        <f ca="1">AVERAGE(OFFSET($R$3,0,0,'Données projet'!$E$9+1,1))-AVERAGE(OFFSET($H$3,0,0,'Données projet'!$E$9+1,1))</f>
        <v>399.92909819003523</v>
      </c>
      <c r="T4" s="60">
        <f>$T$3</f>
        <v>163.7053537268381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4.55</v>
      </c>
      <c r="AI4" s="14">
        <f>IF('Données projet'!$A$62&gt;35,AI3+AH4-AQ3,IF(A4&lt;'Données projet'!$A$62,$AF$205^A4,IF(A4='Données projet'!$A$62,'Données projet'!$B$62,AI3+AH4-AQ3)))</f>
        <v>1.2530028811664373</v>
      </c>
      <c r="AJ4" s="14">
        <f>AI4*VLOOKUP('Données projet'!$B$10,Paramètres!$A$1:$I$89,3,0)*VLOOKUP('Données projet'!$B$10,Paramètres!$A$1:$I$89,5,0)</f>
        <v>0.74929572293752955</v>
      </c>
      <c r="AK4" s="14">
        <f>EXP(-1.0587+0.8836*LN(AJ4)+0.284)</f>
        <v>0.35710479340754359</v>
      </c>
      <c r="AL4" s="22">
        <f t="shared" ref="AL4:AL67" si="4">(AJ4+AK4)*0.475*44/12</f>
        <v>1.9269808993010022</v>
      </c>
      <c r="AM4" s="60">
        <f t="shared" ref="AM4:AM67" si="5">AL4+(AD4+AE4)*44/12</f>
        <v>259.81586978818984</v>
      </c>
      <c r="AN4" s="60">
        <f ca="1">AVERAGE(OFFSET($AM$3,0,0,'Données projet'!$E$10+1,1))-AVERAGE(OFFSET($H$3,0,0,'Données projet'!$E$10+1,1))</f>
        <v>455.43477166687273</v>
      </c>
      <c r="AO4" s="60">
        <f>$AO$3</f>
        <v>312.81310692672895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0">
        <f t="shared" ref="BH4:BH67" si="8">BG4+(AY4+AZ4)*44/12</f>
        <v>260.65521412271448</v>
      </c>
      <c r="BI4" s="60">
        <f ca="1">AVERAGE(OFFSET($BH$3,0,0,'Données projet'!$E$11+1,1))-AVERAGE(OFFSET($H$3,0,0,'Données projet'!$E$11+1,1))</f>
        <v>430.11660085503223</v>
      </c>
      <c r="BJ4" s="60">
        <f>$BJ$3</f>
        <v>231.36959598460686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1.2223636300497438</v>
      </c>
      <c r="CA4" s="14">
        <f>EXP(-1.0587+0.8836*LN(BZ4)+0.284)</f>
        <v>0.55030360208821416</v>
      </c>
      <c r="CB4" s="22">
        <f t="shared" ref="CB4:CB67" si="10">(BZ4+CA4)*0.475*44/12</f>
        <v>3.0873954293069432</v>
      </c>
      <c r="CC4" s="60">
        <f t="shared" ref="CC4:CC67" si="11">CB4+(BT4+BU4)*44/12</f>
        <v>260.97628431819578</v>
      </c>
      <c r="CD4" s="60">
        <f ca="1">AVERAGE(OFFSET($CC$3,0,0,'Données projet'!$E$12+1,1))-AVERAGE(OFFSET($H$3,0,0,'Données projet'!$E$12+1,1))</f>
        <v>476.8965664931755</v>
      </c>
      <c r="CE4" s="60">
        <f>$CE$3</f>
        <v>254.25036207346591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1.165946847124371</v>
      </c>
      <c r="CV4" s="14">
        <f>EXP(-1.0587+0.8836*LN(CU4)+0.284)</f>
        <v>0.52780002987456354</v>
      </c>
      <c r="CW4" s="22">
        <f t="shared" ref="CW4:CW67" si="13">(CU4+CV4)*0.475*44/12</f>
        <v>2.9499424774398109</v>
      </c>
      <c r="CX4" s="60">
        <f t="shared" ref="CX4:CX67" si="14">CW4+(CO4+CP4)*44/12</f>
        <v>260.83883136632869</v>
      </c>
      <c r="CY4" s="60">
        <f ca="1">AVERAGE(OFFSET($CX$3,0,0,'Données projet'!$E$13+1,1))-AVERAGE(OFFSET($H$3,0,0,'Données projet'!$E$13+1,1))</f>
        <v>456.86147223520601</v>
      </c>
      <c r="CZ4" s="60">
        <f>$CZ$3</f>
        <v>244.45149244446094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1.4957264957264955</v>
      </c>
      <c r="DO4" s="13">
        <f>IF('Données projet'!$A$166&gt;35,DO3+DN4-DW3,IF(A4&lt;'Données projet'!$A$166,$DL$205^A4,IF(A4='Données projet'!$A$166,'Données projet'!$B$166,DO3+DN4-DW3)))</f>
        <v>1.2304469565436837</v>
      </c>
      <c r="DP4" s="18">
        <f>DO4*VLOOKUP('Données projet'!$B$14,Paramètres!$A$1:$I$89,3,0)*VLOOKUP('Données projet'!$B$14,Paramètres!$A$1:$I$89,5,0)</f>
        <v>1.1708933238469694</v>
      </c>
      <c r="DQ4" s="14">
        <f>EXP(-1.0587+0.8836*LN(DP4)+0.284)</f>
        <v>0.52977807073540206</v>
      </c>
      <c r="DR4" s="22">
        <f t="shared" ref="DR4:DR67" si="16">(DP4+DQ4)*0.475*44/12</f>
        <v>2.9620026788976301</v>
      </c>
      <c r="DS4" s="60">
        <f t="shared" ref="DS4:DS67" si="17">DR4+(DJ4+DK4)*44/12</f>
        <v>260.8508915677865</v>
      </c>
      <c r="DT4" s="60">
        <f ca="1">AVERAGE(OFFSET($DS$3,0,0,'Données projet'!$E$14+1,1))-AVERAGE(OFFSET($H$3,0,0,'Données projet'!$E$14+1,1))</f>
        <v>300.36889324671682</v>
      </c>
      <c r="DU4" s="60">
        <f>$DU$3</f>
        <v>214.36051699039683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</v>
      </c>
      <c r="EJ4" s="13">
        <f>IF('Données projet'!$A$192&gt;35,EJ3+EI4-ER3,IF(A4&lt;'Données projet'!$A$192,$EG$205^A4,IF(A4='Données projet'!$A$192,'Données projet'!$B$192,EJ3+EI4-ER3)))</f>
        <v>1.1554831727638066</v>
      </c>
      <c r="EK4" s="18">
        <f>EJ4*VLOOKUP('Données projet'!$B$15,Paramètres!$A$1:$I$89,3,0)*VLOOKUP('Données projet'!$B$15,Paramètres!$A$1:$I$89,5,0)</f>
        <v>1.0094300997264616</v>
      </c>
      <c r="EL4" s="14">
        <f>EXP(-1.0587+0.8836*LN(EK4)+0.284)</f>
        <v>0.46467984937949935</v>
      </c>
      <c r="EM4" s="22">
        <f t="shared" ref="EM4:EM67" si="19">(EK4+EL4)*0.475*44/12</f>
        <v>2.5674081613595483</v>
      </c>
      <c r="EN4" s="60">
        <f t="shared" ref="EN4:EN67" si="20">EM4+(EE4+EF4)*44/12</f>
        <v>260.45629705024839</v>
      </c>
      <c r="EO4" s="60">
        <f ca="1">AVERAGE(OFFSET($EN$3,0,0,'Données projet'!$E$15+1,1))-AVERAGE(OFFSET($H$3,0,0,'Données projet'!$E$15+1,1))</f>
        <v>202.46844517174412</v>
      </c>
      <c r="EP4" s="60">
        <f>$EP$3</f>
        <v>185.00219255324515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4.5726495726495724</v>
      </c>
      <c r="FE4" s="13">
        <f>IF('Données projet'!$A$218&gt;35,FE3+FD4-FM3,IF(A4&lt;'Données projet'!$A$218,$FB$205^A4,IF(A4='Données projet'!$A$218,'Données projet'!$B$218,FE3+FD4-FM3)))</f>
        <v>1.325614599907154</v>
      </c>
      <c r="FF4" s="18">
        <f>FE4*VLOOKUP('Données projet'!$B$16,Paramètres!$A$1:$I$89,3,0)*VLOOKUP('Données projet'!$B$16,Paramètres!$A$1:$I$89,5,0)</f>
        <v>0.88922227361771888</v>
      </c>
      <c r="FG4" s="14">
        <f>EXP(-1.0587+0.8836*LN(FF4)+0.284)</f>
        <v>0.41542975043148694</v>
      </c>
      <c r="FH4" s="22">
        <f t="shared" ref="FH4:FH67" si="22">(FF4+FG4)*0.475*44/12</f>
        <v>2.2722689418857001</v>
      </c>
      <c r="FI4" s="60">
        <f t="shared" ref="FI4:FI67" si="23">FH4+(EZ4+FA4)*44/12</f>
        <v>260.16115783077458</v>
      </c>
      <c r="FJ4" s="60">
        <f ca="1">AVERAGE(OFFSET($FI$3,0,0,'Données projet'!$E$16+1,1))-AVERAGE(OFFSET($H$3,0,0,'Données projet'!$E$16+1,1))</f>
        <v>344.87493856469382</v>
      </c>
      <c r="FK4" s="60">
        <f>$FK$3</f>
        <v>261.91036689641402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0.37302857142857143</v>
      </c>
      <c r="FZ4" s="13">
        <f>IF('Données projet'!$A$244&gt;35,FZ3+FY4-GH3,IF(A4&lt;'Données projet'!$A$244,$FW$205^A4,IF(A4='Données projet'!$A$244,'Données projet'!$B$244,FZ3+FY4-GH3)))</f>
        <v>1.1469608418847643</v>
      </c>
      <c r="GA4" s="18">
        <f>FZ4*VLOOKUP('Données projet'!$B$17,Paramètres!$A$1:$I$89,3,0)*VLOOKUP('Données projet'!$B$17,Paramètres!$A$1:$I$89,5,0)</f>
        <v>0.58329840574891578</v>
      </c>
      <c r="GB4" s="14">
        <f>EXP(-1.0587+0.8836*LN(GA4)+0.284)</f>
        <v>0.28621551129245348</v>
      </c>
      <c r="GC4" s="22">
        <f t="shared" ref="GC4:GC67" si="25">(GA4+GB4)*0.475*44/12</f>
        <v>1.5144034055137181</v>
      </c>
      <c r="GD4" s="60">
        <f t="shared" ref="GD4:GD67" si="26">GC4+(FU4+FV4)*44/12</f>
        <v>259.40329229440255</v>
      </c>
      <c r="GE4" s="60">
        <f ca="1">AVERAGE(OFFSET($GD$3,0,0,'Données projet'!$E$17+1,1))-AVERAGE(OFFSET($H$3,0,0,'Données projet'!$E$17+1,1))</f>
        <v>268.19959446602911</v>
      </c>
      <c r="GF4" s="60">
        <f>$GF$3</f>
        <v>691.2533336811855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2.6666666666666665</v>
      </c>
      <c r="GU4" s="13">
        <f>IF('Données projet'!$A$270&gt;35,GU3+GT4-HC3,IF(A4&lt;'Données projet'!$A$270,$GR$205^A4,IF(A4='Données projet'!$A$270,'Données projet'!$B$270,GU3+GT4-HC3)))</f>
        <v>1.2788040393997409</v>
      </c>
      <c r="GV4" s="18">
        <f>GU4*VLOOKUP('Données projet'!$B$18,Paramètres!$A$1:$I$89,3,0)*VLOOKUP('Données projet'!$B$18,Paramètres!$A$1:$I$89,5,0)</f>
        <v>0.99746715073179792</v>
      </c>
      <c r="GW4" s="14">
        <f>EXP(-1.0587+0.8836*LN(GV4)+0.284)</f>
        <v>0.45981048445793882</v>
      </c>
      <c r="GX4" s="22">
        <f t="shared" ref="GX4:GX67" si="28">(GV4+GW4)*0.475*44/12</f>
        <v>2.5380918812887914</v>
      </c>
      <c r="GY4" s="60">
        <f t="shared" ref="GY4:GY67" si="29">GX4+(GP4+GQ4)*44/12</f>
        <v>260.42698077017764</v>
      </c>
      <c r="GZ4" s="60">
        <f ca="1">AVERAGE(OFFSET($GY$3,0,0,'Données projet'!$E$18+1,1))-AVERAGE(OFFSET($H$3,0,0,'Données projet'!$E$18+1,1))</f>
        <v>292.57482726862594</v>
      </c>
      <c r="HA4" s="60">
        <f>$HA$3</f>
        <v>283.48738729114024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</v>
      </c>
      <c r="N5" s="14">
        <f>IF('Données projet'!$A$36&gt;35,N4+M5-V4,IF(A5&lt;'Données projet'!$A$36,$K$205^A5,IF(A5='Données projet'!$A$36,'Données projet'!$B$36,N4+M5-V4)))</f>
        <v>1.395454894014972</v>
      </c>
      <c r="O5" s="14">
        <f>N5*VLOOKUP('Données projet'!$B$9,Paramètres!$A$1:$I$89,3,0)*VLOOKUP('Données projet'!$B$9,Paramètres!$A$1:$I$89,5,0)</f>
        <v>0.65307289039900684</v>
      </c>
      <c r="P5" s="14">
        <f t="shared" ref="P5:P68" si="33">EXP(-1.0587+0.8836*LN(O5)+0.284)</f>
        <v>0.31626576584246652</v>
      </c>
      <c r="Q5" s="22">
        <f t="shared" si="2"/>
        <v>1.6882648262872328</v>
      </c>
      <c r="R5" s="60">
        <f t="shared" si="0"/>
        <v>260.79937593739839</v>
      </c>
      <c r="S5" s="60">
        <f ca="1">AVERAGE(OFFSET($R$3,0,0,'Données projet'!$E$9+1,1))-AVERAGE(OFFSET($H$3,0,0,'Données projet'!$E$9+1,1))</f>
        <v>399.92909819003523</v>
      </c>
      <c r="T5" s="60">
        <f t="shared" ref="T5:T68" si="34">$T$3</f>
        <v>163.7053537268381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4.55</v>
      </c>
      <c r="AI5" s="14">
        <f>IF('Données projet'!$A$62&gt;35,AI4+AH5-AQ4,IF(A5&lt;'Données projet'!$A$62,$AF$205^A5,IF(A5='Données projet'!$A$62,'Données projet'!$B$62,AI4+AH5-AQ4)))</f>
        <v>1.570016220211393</v>
      </c>
      <c r="AJ5" s="14">
        <f>AI5*VLOOKUP('Données projet'!$B$10,Paramètres!$A$1:$I$89,3,0)*VLOOKUP('Données projet'!$B$10,Paramètres!$A$1:$I$89,5,0)</f>
        <v>0.9388696996864131</v>
      </c>
      <c r="AK5" s="14">
        <f t="shared" ref="AK5:AK68" si="35">EXP(-1.0587+0.8836*LN(AJ5)+0.284)</f>
        <v>0.43585911075604999</v>
      </c>
      <c r="AL5" s="22">
        <f t="shared" si="4"/>
        <v>2.3943193448539568</v>
      </c>
      <c r="AM5" s="60">
        <f t="shared" si="5"/>
        <v>261.5054304559651</v>
      </c>
      <c r="AN5" s="60">
        <f ca="1">AVERAGE(OFFSET($AM$3,0,0,'Données projet'!$E$10+1,1))-AVERAGE(OFFSET($H$3,0,0,'Données projet'!$E$10+1,1))</f>
        <v>455.43477166687273</v>
      </c>
      <c r="AO5" s="60">
        <f t="shared" ref="AO5:AO68" si="36">$AO$3</f>
        <v>312.81310692672895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0">
        <f t="shared" si="8"/>
        <v>262.42339882093205</v>
      </c>
      <c r="BI5" s="60">
        <f ca="1">AVERAGE(OFFSET($BH$3,0,0,'Données projet'!$E$11+1,1))-AVERAGE(OFFSET($H$3,0,0,'Données projet'!$E$11+1,1))</f>
        <v>430.11660085503223</v>
      </c>
      <c r="BJ5" s="60">
        <f t="shared" ref="BJ5:BJ68" si="38">$BJ$3</f>
        <v>231.36959598460686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1.47354323872622</v>
      </c>
      <c r="CA5" s="14">
        <f t="shared" ref="CA5:CA68" si="39">EXP(-1.0587+0.8836*LN(BZ5)+0.284)</f>
        <v>0.64910881835703094</v>
      </c>
      <c r="CB5" s="22">
        <f t="shared" si="10"/>
        <v>3.6969523327533285</v>
      </c>
      <c r="CC5" s="60">
        <f t="shared" si="11"/>
        <v>262.80806344386446</v>
      </c>
      <c r="CD5" s="60">
        <f ca="1">AVERAGE(OFFSET($CC$3,0,0,'Données projet'!$E$12+1,1))-AVERAGE(OFFSET($H$3,0,0,'Données projet'!$E$12+1,1))</f>
        <v>476.8965664931755</v>
      </c>
      <c r="CE5" s="60">
        <f t="shared" ref="CE5:CE68" si="40">$CE$3</f>
        <v>254.25036207346591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1.4055335507850097</v>
      </c>
      <c r="CV5" s="14">
        <f t="shared" ref="CV5:CV68" si="41">EXP(-1.0587+0.8836*LN(CU5)+0.284)</f>
        <v>0.62256480317525631</v>
      </c>
      <c r="CW5" s="22">
        <f t="shared" si="13"/>
        <v>3.5322712998141292</v>
      </c>
      <c r="CX5" s="60">
        <f t="shared" si="14"/>
        <v>262.64338241092526</v>
      </c>
      <c r="CY5" s="60">
        <f ca="1">AVERAGE(OFFSET($CX$3,0,0,'Données projet'!$E$13+1,1))-AVERAGE(OFFSET($H$3,0,0,'Données projet'!$E$13+1,1))</f>
        <v>456.86147223520601</v>
      </c>
      <c r="CZ5" s="60">
        <f t="shared" ref="CZ5:CZ68" si="42">$CZ$3</f>
        <v>244.45149244446094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1.4957264957264955</v>
      </c>
      <c r="DO5" s="13">
        <f>IF('Données projet'!$A$166&gt;35,DO4+DN5-DW4,IF(A5&lt;'Données projet'!$A$166,$DL$205^A5,IF(A5='Données projet'!$A$166,'Données projet'!$B$166,DO4+DN5-DW4)))</f>
        <v>1.5139997128676139</v>
      </c>
      <c r="DP5" s="18">
        <f>DO5*VLOOKUP('Données projet'!$B$14,Paramètres!$A$1:$I$89,3,0)*VLOOKUP('Données projet'!$B$14,Paramètres!$A$1:$I$89,5,0)</f>
        <v>1.4407221267648214</v>
      </c>
      <c r="DQ5" s="14">
        <f t="shared" ref="DQ5:DQ68" si="43">EXP(-1.0587+0.8836*LN(DP5)+0.284)</f>
        <v>0.6363170389739955</v>
      </c>
      <c r="DR5" s="22">
        <f t="shared" si="16"/>
        <v>3.6175098803284391</v>
      </c>
      <c r="DS5" s="60">
        <f t="shared" si="17"/>
        <v>262.72862099143958</v>
      </c>
      <c r="DT5" s="60">
        <f ca="1">AVERAGE(OFFSET($DS$3,0,0,'Données projet'!$E$14+1,1))-AVERAGE(OFFSET($H$3,0,0,'Données projet'!$E$14+1,1))</f>
        <v>300.36889324671682</v>
      </c>
      <c r="DU5" s="60">
        <f t="shared" ref="DU5:DU68" si="44">$DU$3</f>
        <v>214.36051699039683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</v>
      </c>
      <c r="EJ5" s="13">
        <f>IF('Données projet'!$A$192&gt;35,EJ4+EI5-ER4,IF(A5&lt;'Données projet'!$A$192,$EG$205^A5,IF(A5='Données projet'!$A$192,'Données projet'!$B$192,EJ4+EI5-ER4)))</f>
        <v>1.335141362540313</v>
      </c>
      <c r="EK5" s="18">
        <f>EJ5*VLOOKUP('Données projet'!$B$15,Paramètres!$A$1:$I$89,3,0)*VLOOKUP('Données projet'!$B$15,Paramètres!$A$1:$I$89,5,0)</f>
        <v>1.1663794943152175</v>
      </c>
      <c r="EL5" s="14">
        <f t="shared" ref="EL5:EL68" si="45">EXP(-1.0587+0.8836*LN(EK5)+0.284)</f>
        <v>0.52797307958445927</v>
      </c>
      <c r="EM5" s="22">
        <f t="shared" si="19"/>
        <v>2.9509973995419365</v>
      </c>
      <c r="EN5" s="60">
        <f t="shared" si="20"/>
        <v>262.0621085106531</v>
      </c>
      <c r="EO5" s="60">
        <f ca="1">AVERAGE(OFFSET($EN$3,0,0,'Données projet'!$E$15+1,1))-AVERAGE(OFFSET($H$3,0,0,'Données projet'!$E$15+1,1))</f>
        <v>202.46844517174412</v>
      </c>
      <c r="EP5" s="60">
        <f t="shared" ref="EP5:EP68" si="46">$EP$3</f>
        <v>185.00219255324515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4.5726495726495724</v>
      </c>
      <c r="FE5" s="13">
        <f>IF('Données projet'!$A$218&gt;35,FE4+FD5-FM4,IF(A5&lt;'Données projet'!$A$218,$FB$205^A5,IF(A5='Données projet'!$A$218,'Données projet'!$B$218,FE4+FD5-FM4)))</f>
        <v>1.7572540674870041</v>
      </c>
      <c r="FF5" s="18">
        <f>FE5*VLOOKUP('Données projet'!$B$16,Paramètres!$A$1:$I$89,3,0)*VLOOKUP('Données projet'!$B$16,Paramètres!$A$1:$I$89,5,0)</f>
        <v>1.1787660284702823</v>
      </c>
      <c r="FG5" s="14">
        <f t="shared" ref="FG5:FG68" si="47">EXP(-1.0587+0.8836*LN(FF5)+0.284)</f>
        <v>0.5329242738435177</v>
      </c>
      <c r="FH5" s="22">
        <f t="shared" si="22"/>
        <v>2.9811939431965353</v>
      </c>
      <c r="FI5" s="60">
        <f t="shared" si="23"/>
        <v>262.0923050543077</v>
      </c>
      <c r="FJ5" s="60">
        <f ca="1">AVERAGE(OFFSET($FI$3,0,0,'Données projet'!$E$16+1,1))-AVERAGE(OFFSET($H$3,0,0,'Données projet'!$E$16+1,1))</f>
        <v>344.87493856469382</v>
      </c>
      <c r="FK5" s="60">
        <f t="shared" ref="FK5:FK68" si="48">$FK$3</f>
        <v>261.91036689641402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0.37302857142857143</v>
      </c>
      <c r="FZ5" s="13">
        <f>IF('Données projet'!$A$244&gt;35,FZ4+FY5-GH4,IF(A5&lt;'Données projet'!$A$244,$FW$205^A5,IF(A5='Données projet'!$A$244,'Données projet'!$B$244,FZ4+FY5-GH4)))</f>
        <v>1.3155191728170073</v>
      </c>
      <c r="GA5" s="18">
        <f>FZ5*VLOOKUP('Données projet'!$B$17,Paramètres!$A$1:$I$89,3,0)*VLOOKUP('Données projet'!$B$17,Paramètres!$A$1:$I$89,5,0)</f>
        <v>0.66902043052781723</v>
      </c>
      <c r="GB5" s="14">
        <f t="shared" ref="GB5:GB68" si="49">EXP(-1.0587+0.8836*LN(GA5)+0.284)</f>
        <v>0.32308016903344938</v>
      </c>
      <c r="GC5" s="22">
        <f t="shared" si="25"/>
        <v>1.7279085442358726</v>
      </c>
      <c r="GD5" s="60">
        <f t="shared" si="26"/>
        <v>260.83901965534699</v>
      </c>
      <c r="GE5" s="60">
        <f ca="1">AVERAGE(OFFSET($GD$3,0,0,'Données projet'!$E$17+1,1))-AVERAGE(OFFSET($H$3,0,0,'Données projet'!$E$17+1,1))</f>
        <v>268.19959446602911</v>
      </c>
      <c r="GF5" s="60">
        <f t="shared" ref="GF5:GF68" si="50">$GF$3</f>
        <v>691.2533336811855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2.6666666666666665</v>
      </c>
      <c r="GU5" s="13">
        <f>IF('Données projet'!$A$270&gt;35,GU4+GT5-HC4,IF(A5&lt;'Données projet'!$A$270,$GR$205^A5,IF(A5='Données projet'!$A$270,'Données projet'!$B$270,GU4+GT5-HC4)))</f>
        <v>1.6353397711850939</v>
      </c>
      <c r="GV5" s="18">
        <f>GU5*VLOOKUP('Données projet'!$B$18,Paramètres!$A$1:$I$89,3,0)*VLOOKUP('Données projet'!$B$18,Paramètres!$A$1:$I$89,5,0)</f>
        <v>1.2755650215243732</v>
      </c>
      <c r="GW5" s="14">
        <f t="shared" ref="GW5:GW68" si="51">EXP(-1.0587+0.8836*LN(GV5)+0.284)</f>
        <v>0.57141400910743001</v>
      </c>
      <c r="GX5" s="22">
        <f t="shared" si="28"/>
        <v>3.2168218116837237</v>
      </c>
      <c r="GY5" s="60">
        <f t="shared" si="29"/>
        <v>262.32793292279484</v>
      </c>
      <c r="GZ5" s="60">
        <f ca="1">AVERAGE(OFFSET($GY$3,0,0,'Données projet'!$E$18+1,1))-AVERAGE(OFFSET($H$3,0,0,'Données projet'!$E$18+1,1))</f>
        <v>292.57482726862594</v>
      </c>
      <c r="HA5" s="60">
        <f t="shared" ref="HA5:HA68" si="52">$HA$3</f>
        <v>283.48738729114024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</v>
      </c>
      <c r="N6" s="14">
        <f>IF('Données projet'!$A$36&gt;35,N5+M6-V5,IF(A6&lt;'Données projet'!$A$36,$K$205^A6,IF(A6='Données projet'!$A$36,'Données projet'!$B$36,N5+M6-V5)))</f>
        <v>1.6484421271208256</v>
      </c>
      <c r="O6" s="14">
        <f>N6*VLOOKUP('Données projet'!$B$9,Paramètres!$A$1:$I$89,3,0)*VLOOKUP('Données projet'!$B$9,Paramètres!$A$1:$I$89,5,0)</f>
        <v>0.77147091549254643</v>
      </c>
      <c r="P6" s="14">
        <f t="shared" si="33"/>
        <v>0.36642713428952517</v>
      </c>
      <c r="Q6" s="22">
        <f t="shared" si="2"/>
        <v>1.9818391033704412</v>
      </c>
      <c r="R6" s="60">
        <f t="shared" si="0"/>
        <v>262.31517243670373</v>
      </c>
      <c r="S6" s="60">
        <f ca="1">AVERAGE(OFFSET($R$3,0,0,'Données projet'!$E$9+1,1))-AVERAGE(OFFSET($H$3,0,0,'Données projet'!$E$9+1,1))</f>
        <v>399.92909819003523</v>
      </c>
      <c r="T6" s="60">
        <f t="shared" si="34"/>
        <v>163.7053537268381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4.55</v>
      </c>
      <c r="AI6" s="14">
        <f>IF('Données projet'!$A$62&gt;35,AI5+AH6-AQ5,IF(A6&lt;'Données projet'!$A$62,$AF$205^A6,IF(A6='Données projet'!$A$62,'Données projet'!$B$62,AI5+AH6-AQ5)))</f>
        <v>1.9672348474029151</v>
      </c>
      <c r="AJ6" s="14">
        <f>AI6*VLOOKUP('Données projet'!$B$10,Paramètres!$A$1:$I$89,3,0)*VLOOKUP('Données projet'!$B$10,Paramètres!$A$1:$I$89,5,0)</f>
        <v>1.1764064387469433</v>
      </c>
      <c r="AK6" s="14">
        <f t="shared" si="35"/>
        <v>0.53198155817597481</v>
      </c>
      <c r="AL6" s="22">
        <f t="shared" si="4"/>
        <v>2.9754424279740825</v>
      </c>
      <c r="AM6" s="60">
        <f t="shared" si="5"/>
        <v>263.3087757613074</v>
      </c>
      <c r="AN6" s="60">
        <f ca="1">AVERAGE(OFFSET($AM$3,0,0,'Données projet'!$E$10+1,1))-AVERAGE(OFFSET($H$3,0,0,'Données projet'!$E$10+1,1))</f>
        <v>455.43477166687273</v>
      </c>
      <c r="AO6" s="60">
        <f t="shared" si="36"/>
        <v>312.81310692672895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0">
        <f t="shared" si="8"/>
        <v>264.29973523978072</v>
      </c>
      <c r="BI6" s="60">
        <f ca="1">AVERAGE(OFFSET($BH$3,0,0,'Données projet'!$E$11+1,1))-AVERAGE(OFFSET($H$3,0,0,'Données projet'!$E$11+1,1))</f>
        <v>430.11660085503223</v>
      </c>
      <c r="BJ6" s="60">
        <f t="shared" si="38"/>
        <v>231.36959598460686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1.7763369450933317</v>
      </c>
      <c r="CA6" s="14">
        <f t="shared" si="39"/>
        <v>0.76565418883323866</v>
      </c>
      <c r="CB6" s="22">
        <f t="shared" si="10"/>
        <v>4.4273012249221102</v>
      </c>
      <c r="CC6" s="60">
        <f t="shared" si="11"/>
        <v>264.76063455825545</v>
      </c>
      <c r="CD6" s="60">
        <f ca="1">AVERAGE(OFFSET($CC$3,0,0,'Données projet'!$E$12+1,1))-AVERAGE(OFFSET($H$3,0,0,'Données projet'!$E$12+1,1))</f>
        <v>476.8965664931755</v>
      </c>
      <c r="CE6" s="60">
        <f t="shared" si="40"/>
        <v>254.25036207346591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1.694352163012101</v>
      </c>
      <c r="CV6" s="14">
        <f t="shared" si="41"/>
        <v>0.73434428233124405</v>
      </c>
      <c r="CW6" s="22">
        <f t="shared" si="13"/>
        <v>4.2299796423063247</v>
      </c>
      <c r="CX6" s="60">
        <f t="shared" si="14"/>
        <v>264.56331297563963</v>
      </c>
      <c r="CY6" s="60">
        <f ca="1">AVERAGE(OFFSET($CX$3,0,0,'Données projet'!$E$13+1,1))-AVERAGE(OFFSET($H$3,0,0,'Données projet'!$E$13+1,1))</f>
        <v>456.86147223520601</v>
      </c>
      <c r="CZ6" s="60">
        <f t="shared" si="42"/>
        <v>244.45149244446094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1.4957264957264955</v>
      </c>
      <c r="DO6" s="13">
        <f>IF('Données projet'!$A$166&gt;35,DO5+DN6-DW5,IF(A6&lt;'Données projet'!$A$166,$DL$205^A6,IF(A6='Données projet'!$A$166,'Données projet'!$B$166,DO5+DN6-DW5)))</f>
        <v>1.8628963389059665</v>
      </c>
      <c r="DP6" s="18">
        <f>DO6*VLOOKUP('Données projet'!$B$14,Paramètres!$A$1:$I$89,3,0)*VLOOKUP('Données projet'!$B$14,Paramètres!$A$1:$I$89,5,0)</f>
        <v>1.7727321561029179</v>
      </c>
      <c r="DQ6" s="14">
        <f t="shared" si="43"/>
        <v>0.76428111402682142</v>
      </c>
      <c r="DR6" s="22">
        <f t="shared" si="16"/>
        <v>4.4186314454759623</v>
      </c>
      <c r="DS6" s="60">
        <f t="shared" si="17"/>
        <v>264.75196477880928</v>
      </c>
      <c r="DT6" s="60">
        <f ca="1">AVERAGE(OFFSET($DS$3,0,0,'Données projet'!$E$14+1,1))-AVERAGE(OFFSET($H$3,0,0,'Données projet'!$E$14+1,1))</f>
        <v>300.36889324671682</v>
      </c>
      <c r="DU6" s="60">
        <f t="shared" si="44"/>
        <v>214.36051699039683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</v>
      </c>
      <c r="EJ6" s="13">
        <f>IF('Données projet'!$A$192&gt;35,EJ5+EI6-ER5,IF(A6&lt;'Données projet'!$A$192,$EG$205^A6,IF(A6='Données projet'!$A$192,'Données projet'!$B$192,EJ5+EI6-ER5)))</f>
        <v>1.5427333776762726</v>
      </c>
      <c r="EK6" s="18">
        <f>EJ6*VLOOKUP('Données projet'!$B$15,Paramètres!$A$1:$I$89,3,0)*VLOOKUP('Données projet'!$B$15,Paramètres!$A$1:$I$89,5,0)</f>
        <v>1.3477318787379919</v>
      </c>
      <c r="EL6" s="14">
        <f t="shared" si="45"/>
        <v>0.59988737006377257</v>
      </c>
      <c r="EM6" s="22">
        <f t="shared" si="19"/>
        <v>3.3921035249964064</v>
      </c>
      <c r="EN6" s="60">
        <f t="shared" si="20"/>
        <v>263.72543685832972</v>
      </c>
      <c r="EO6" s="60">
        <f ca="1">AVERAGE(OFFSET($EN$3,0,0,'Données projet'!$E$15+1,1))-AVERAGE(OFFSET($H$3,0,0,'Données projet'!$E$15+1,1))</f>
        <v>202.46844517174412</v>
      </c>
      <c r="EP6" s="60">
        <f t="shared" si="46"/>
        <v>185.00219255324515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4.5726495726495724</v>
      </c>
      <c r="FE6" s="13">
        <f>IF('Données projet'!$A$218&gt;35,FE5+FD6-FM5,IF(A6&lt;'Données projet'!$A$218,$FB$205^A6,IF(A6='Données projet'!$A$218,'Données projet'!$B$218,FE5+FD6-FM5)))</f>
        <v>2.3294416476070041</v>
      </c>
      <c r="FF6" s="18">
        <f>FE6*VLOOKUP('Données projet'!$B$16,Paramètres!$A$1:$I$89,3,0)*VLOOKUP('Données projet'!$B$16,Paramètres!$A$1:$I$89,5,0)</f>
        <v>1.5625894572147785</v>
      </c>
      <c r="FG6" s="14">
        <f t="shared" si="47"/>
        <v>0.68364935673637928</v>
      </c>
      <c r="FH6" s="22">
        <f t="shared" si="22"/>
        <v>3.9121992676315998</v>
      </c>
      <c r="FI6" s="60">
        <f t="shared" si="23"/>
        <v>264.24553260096491</v>
      </c>
      <c r="FJ6" s="60">
        <f ca="1">AVERAGE(OFFSET($FI$3,0,0,'Données projet'!$E$16+1,1))-AVERAGE(OFFSET($H$3,0,0,'Données projet'!$E$16+1,1))</f>
        <v>344.87493856469382</v>
      </c>
      <c r="FK6" s="60">
        <f t="shared" si="48"/>
        <v>261.91036689641402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0.37302857142857143</v>
      </c>
      <c r="FZ6" s="13">
        <f>IF('Données projet'!$A$244&gt;35,FZ5+FY6-GH5,IF(A6&lt;'Données projet'!$A$244,$FW$205^A6,IF(A6='Données projet'!$A$244,'Données projet'!$B$244,FZ5+FY6-GH5)))</f>
        <v>1.5088489779697434</v>
      </c>
      <c r="GA6" s="18">
        <f>FZ6*VLOOKUP('Données projet'!$B$17,Paramètres!$A$1:$I$89,3,0)*VLOOKUP('Données projet'!$B$17,Paramètres!$A$1:$I$89,5,0)</f>
        <v>0.76734023623629277</v>
      </c>
      <c r="GB6" s="14">
        <f t="shared" si="49"/>
        <v>0.36469300755690537</v>
      </c>
      <c r="GC6" s="22">
        <f t="shared" si="25"/>
        <v>1.9716245662731533</v>
      </c>
      <c r="GD6" s="60">
        <f t="shared" si="26"/>
        <v>262.30495789960645</v>
      </c>
      <c r="GE6" s="60">
        <f ca="1">AVERAGE(OFFSET($GD$3,0,0,'Données projet'!$E$17+1,1))-AVERAGE(OFFSET($H$3,0,0,'Données projet'!$E$17+1,1))</f>
        <v>268.19959446602911</v>
      </c>
      <c r="GF6" s="60">
        <f t="shared" si="50"/>
        <v>691.2533336811855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2.6666666666666665</v>
      </c>
      <c r="GU6" s="13">
        <f>IF('Données projet'!$A$270&gt;35,GU5+GT6-HC5,IF(A6&lt;'Données projet'!$A$270,$GR$205^A6,IF(A6='Données projet'!$A$270,'Données projet'!$B$270,GU5+GT6-HC5)))</f>
        <v>2.0912791051825459</v>
      </c>
      <c r="GV6" s="18">
        <f>GU6*VLOOKUP('Données projet'!$B$18,Paramètres!$A$1:$I$89,3,0)*VLOOKUP('Données projet'!$B$18,Paramètres!$A$1:$I$89,5,0)</f>
        <v>1.6311977020423858</v>
      </c>
      <c r="GW6" s="14">
        <f t="shared" si="51"/>
        <v>0.71010553443370616</v>
      </c>
      <c r="GX6" s="22">
        <f t="shared" si="28"/>
        <v>4.0777698035291934</v>
      </c>
      <c r="GY6" s="60">
        <f t="shared" si="29"/>
        <v>264.41110313686249</v>
      </c>
      <c r="GZ6" s="60">
        <f ca="1">AVERAGE(OFFSET($GY$3,0,0,'Données projet'!$E$18+1,1))-AVERAGE(OFFSET($H$3,0,0,'Données projet'!$E$18+1,1))</f>
        <v>292.57482726862594</v>
      </c>
      <c r="HA6" s="60">
        <f t="shared" si="52"/>
        <v>283.48738729114024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</v>
      </c>
      <c r="N7" s="14">
        <f>IF('Données projet'!$A$36&gt;35,N6+M7-V6,IF(A7&lt;'Données projet'!$A$36,$K$205^A7,IF(A7='Données projet'!$A$36,'Données projet'!$B$36,N6+M7-V6)))</f>
        <v>1.9472943612303368</v>
      </c>
      <c r="O7" s="14">
        <f>N7*VLOOKUP('Données projet'!$B$9,Paramètres!$A$1:$I$89,3,0)*VLOOKUP('Données projet'!$B$9,Paramètres!$A$1:$I$89,5,0)</f>
        <v>0.91133376105579766</v>
      </c>
      <c r="P7" s="14">
        <f t="shared" si="33"/>
        <v>0.42454435239289751</v>
      </c>
      <c r="Q7" s="22">
        <f t="shared" si="2"/>
        <v>2.3266543809231437</v>
      </c>
      <c r="R7" s="60">
        <f t="shared" si="0"/>
        <v>263.88220993647866</v>
      </c>
      <c r="S7" s="60">
        <f ca="1">AVERAGE(OFFSET($R$3,0,0,'Données projet'!$E$9+1,1))-AVERAGE(OFFSET($H$3,0,0,'Données projet'!$E$9+1,1))</f>
        <v>399.92909819003523</v>
      </c>
      <c r="T7" s="60">
        <f t="shared" si="34"/>
        <v>163.7053537268381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4.55</v>
      </c>
      <c r="AI7" s="14">
        <f>IF('Données projet'!$A$62&gt;35,AI6+AH7-AQ6,IF(A7&lt;'Données projet'!$A$62,$AF$205^A7,IF(A7='Données projet'!$A$62,'Données projet'!$B$62,AI6+AH7-AQ6)))</f>
        <v>2.4649509317268694</v>
      </c>
      <c r="AJ7" s="14">
        <f>AI7*VLOOKUP('Données projet'!$B$10,Paramètres!$A$1:$I$89,3,0)*VLOOKUP('Données projet'!$B$10,Paramètres!$A$1:$I$89,5,0)</f>
        <v>1.4740406571726681</v>
      </c>
      <c r="AK7" s="14">
        <f t="shared" si="35"/>
        <v>0.64930242653052039</v>
      </c>
      <c r="AL7" s="22">
        <f t="shared" si="4"/>
        <v>3.6981558707830531</v>
      </c>
      <c r="AM7" s="60">
        <f t="shared" si="5"/>
        <v>265.25371142633861</v>
      </c>
      <c r="AN7" s="60">
        <f ca="1">AVERAGE(OFFSET($AM$3,0,0,'Données projet'!$E$10+1,1))-AVERAGE(OFFSET($H$3,0,0,'Données projet'!$E$10+1,1))</f>
        <v>455.43477166687273</v>
      </c>
      <c r="AO7" s="60">
        <f t="shared" si="36"/>
        <v>312.81310692672895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0">
        <f t="shared" si="8"/>
        <v>266.30572241486152</v>
      </c>
      <c r="BI7" s="60">
        <f ca="1">AVERAGE(OFFSET($BH$3,0,0,'Données projet'!$E$11+1,1))-AVERAGE(OFFSET($H$3,0,0,'Données projet'!$E$11+1,1))</f>
        <v>430.11660085503223</v>
      </c>
      <c r="BJ7" s="60">
        <f t="shared" si="38"/>
        <v>231.36959598460686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2.1413507656762891</v>
      </c>
      <c r="CA7" s="14">
        <f t="shared" si="39"/>
        <v>0.9031249003236328</v>
      </c>
      <c r="CB7" s="22">
        <f t="shared" si="10"/>
        <v>5.3024617849498643</v>
      </c>
      <c r="CC7" s="60">
        <f t="shared" si="11"/>
        <v>266.8580173405054</v>
      </c>
      <c r="CD7" s="60">
        <f ca="1">AVERAGE(OFFSET($CC$3,0,0,'Données projet'!$E$12+1,1))-AVERAGE(OFFSET($H$3,0,0,'Données projet'!$E$12+1,1))</f>
        <v>476.8965664931755</v>
      </c>
      <c r="CE7" s="60">
        <f t="shared" si="40"/>
        <v>254.25036207346591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2.042519191875845</v>
      </c>
      <c r="CV7" s="14">
        <f t="shared" si="41"/>
        <v>0.86619340226463792</v>
      </c>
      <c r="CW7" s="22">
        <f t="shared" si="13"/>
        <v>5.0660077681280073</v>
      </c>
      <c r="CX7" s="60">
        <f t="shared" si="14"/>
        <v>266.62156332368357</v>
      </c>
      <c r="CY7" s="60">
        <f ca="1">AVERAGE(OFFSET($CX$3,0,0,'Données projet'!$E$13+1,1))-AVERAGE(OFFSET($H$3,0,0,'Données projet'!$E$13+1,1))</f>
        <v>456.86147223520601</v>
      </c>
      <c r="CZ7" s="60">
        <f t="shared" si="42"/>
        <v>244.45149244446094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1.4957264957264955</v>
      </c>
      <c r="DO7" s="13">
        <f>IF('Données projet'!$A$166&gt;35,DO6+DN7-DW6,IF(A7&lt;'Données projet'!$A$166,$DL$205^A7,IF(A7='Données projet'!$A$166,'Données projet'!$B$166,DO6+DN7-DW6)))</f>
        <v>2.2921951305632176</v>
      </c>
      <c r="DP7" s="18">
        <f>DO7*VLOOKUP('Données projet'!$B$14,Paramètres!$A$1:$I$89,3,0)*VLOOKUP('Données projet'!$B$14,Paramètres!$A$1:$I$89,5,0)</f>
        <v>2.181252886243958</v>
      </c>
      <c r="DQ7" s="14">
        <f t="shared" si="43"/>
        <v>0.91797890906697965</v>
      </c>
      <c r="DR7" s="22">
        <f t="shared" si="16"/>
        <v>5.3978287101665492</v>
      </c>
      <c r="DS7" s="60">
        <f t="shared" si="17"/>
        <v>266.95338426572209</v>
      </c>
      <c r="DT7" s="60">
        <f ca="1">AVERAGE(OFFSET($DS$3,0,0,'Données projet'!$E$14+1,1))-AVERAGE(OFFSET($H$3,0,0,'Données projet'!$E$14+1,1))</f>
        <v>300.36889324671682</v>
      </c>
      <c r="DU7" s="60">
        <f t="shared" si="44"/>
        <v>214.36051699039683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</v>
      </c>
      <c r="EJ7" s="13">
        <f>IF('Données projet'!$A$192&gt;35,EJ6+EI7-ER6,IF(A7&lt;'Données projet'!$A$192,$EG$205^A7,IF(A7='Données projet'!$A$192,'Données projet'!$B$192,EJ6+EI7-ER6)))</f>
        <v>1.7826024579660036</v>
      </c>
      <c r="EK7" s="18">
        <f>EJ7*VLOOKUP('Données projet'!$B$15,Paramètres!$A$1:$I$89,3,0)*VLOOKUP('Données projet'!$B$15,Paramètres!$A$1:$I$89,5,0)</f>
        <v>1.5572815072791011</v>
      </c>
      <c r="EL7" s="14">
        <f t="shared" si="45"/>
        <v>0.68159698037116012</v>
      </c>
      <c r="EM7" s="22">
        <f t="shared" si="19"/>
        <v>3.8993800326575379</v>
      </c>
      <c r="EN7" s="60">
        <f t="shared" si="20"/>
        <v>265.45493558821306</v>
      </c>
      <c r="EO7" s="60">
        <f ca="1">AVERAGE(OFFSET($EN$3,0,0,'Données projet'!$E$15+1,1))-AVERAGE(OFFSET($H$3,0,0,'Données projet'!$E$15+1,1))</f>
        <v>202.46844517174412</v>
      </c>
      <c r="EP7" s="60">
        <f t="shared" si="46"/>
        <v>185.00219255324515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4.5726495726495724</v>
      </c>
      <c r="FE7" s="13">
        <f>IF('Données projet'!$A$218&gt;35,FE6+FD7-FM6,IF(A7&lt;'Données projet'!$A$218,$FB$205^A7,IF(A7='Données projet'!$A$218,'Données projet'!$B$218,FE6+FD7-FM6)))</f>
        <v>3.0879418576996205</v>
      </c>
      <c r="FF7" s="18">
        <f>FE7*VLOOKUP('Données projet'!$B$16,Paramètres!$A$1:$I$89,3,0)*VLOOKUP('Données projet'!$B$16,Paramètres!$A$1:$I$89,5,0)</f>
        <v>2.0713913981449052</v>
      </c>
      <c r="FG7" s="14">
        <f t="shared" si="47"/>
        <v>0.87700348042938014</v>
      </c>
      <c r="FH7" s="22">
        <f t="shared" si="22"/>
        <v>5.1351210801835467</v>
      </c>
      <c r="FI7" s="60">
        <f t="shared" si="23"/>
        <v>266.69067663573907</v>
      </c>
      <c r="FJ7" s="60">
        <f ca="1">AVERAGE(OFFSET($FI$3,0,0,'Données projet'!$E$16+1,1))-AVERAGE(OFFSET($H$3,0,0,'Données projet'!$E$16+1,1))</f>
        <v>344.87493856469382</v>
      </c>
      <c r="FK7" s="60">
        <f t="shared" si="48"/>
        <v>261.91036689641402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0.37302857142857143</v>
      </c>
      <c r="FZ7" s="13">
        <f>IF('Données projet'!$A$244&gt;35,FZ6+FY7-GH6,IF(A7&lt;'Données projet'!$A$244,$FW$205^A7,IF(A7='Données projet'!$A$244,'Données projet'!$B$244,FZ6+FY7-GH6)))</f>
        <v>1.7305906940491429</v>
      </c>
      <c r="GA7" s="18">
        <f>FZ7*VLOOKUP('Données projet'!$B$17,Paramètres!$A$1:$I$89,3,0)*VLOOKUP('Données projet'!$B$17,Paramètres!$A$1:$I$89,5,0)</f>
        <v>0.88010920336563225</v>
      </c>
      <c r="GB7" s="14">
        <f t="shared" si="49"/>
        <v>0.41166559420467264</v>
      </c>
      <c r="GC7" s="22">
        <f t="shared" si="25"/>
        <v>2.2498411057682812</v>
      </c>
      <c r="GD7" s="60">
        <f t="shared" si="26"/>
        <v>263.80539666132381</v>
      </c>
      <c r="GE7" s="60">
        <f ca="1">AVERAGE(OFFSET($GD$3,0,0,'Données projet'!$E$17+1,1))-AVERAGE(OFFSET($H$3,0,0,'Données projet'!$E$17+1,1))</f>
        <v>268.19959446602911</v>
      </c>
      <c r="GF7" s="60">
        <f t="shared" si="50"/>
        <v>691.2533336811855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2.6666666666666665</v>
      </c>
      <c r="GU7" s="13">
        <f>IF('Données projet'!$A$270&gt;35,GU6+GT7-HC6,IF(A7&lt;'Données projet'!$A$270,$GR$205^A7,IF(A7='Données projet'!$A$270,'Données projet'!$B$270,GU6+GT7-HC6)))</f>
        <v>2.6743361672197152</v>
      </c>
      <c r="GV7" s="18">
        <f>GU7*VLOOKUP('Données projet'!$B$18,Paramètres!$A$1:$I$89,3,0)*VLOOKUP('Données projet'!$B$18,Paramètres!$A$1:$I$89,5,0)</f>
        <v>2.0859822104313781</v>
      </c>
      <c r="GW7" s="14">
        <f t="shared" si="51"/>
        <v>0.88245976121767966</v>
      </c>
      <c r="GX7" s="22">
        <f t="shared" si="28"/>
        <v>5.1700364339554419</v>
      </c>
      <c r="GY7" s="60">
        <f t="shared" si="29"/>
        <v>266.72559198951097</v>
      </c>
      <c r="GZ7" s="60">
        <f ca="1">AVERAGE(OFFSET($GY$3,0,0,'Données projet'!$E$18+1,1))-AVERAGE(OFFSET($H$3,0,0,'Données projet'!$E$18+1,1))</f>
        <v>292.57482726862594</v>
      </c>
      <c r="HA7" s="60">
        <f t="shared" si="52"/>
        <v>283.48738729114024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</v>
      </c>
      <c r="N8" s="14">
        <f>IF('Données projet'!$A$36&gt;35,N7+M8-V7,IF(A8&lt;'Données projet'!$A$36,$K$205^A8,IF(A8='Données projet'!$A$36,'Données projet'!$B$36,N7+M8-V7)))</f>
        <v>2.3003266337912067</v>
      </c>
      <c r="O8" s="14">
        <f>N8*VLOOKUP('Données projet'!$B$9,Paramètres!$A$1:$I$89,3,0)*VLOOKUP('Données projet'!$B$9,Paramètres!$A$1:$I$89,5,0)</f>
        <v>1.0765528646142848</v>
      </c>
      <c r="P8" s="14">
        <f t="shared" si="33"/>
        <v>0.49187925860941634</v>
      </c>
      <c r="Q8" s="22">
        <f t="shared" si="2"/>
        <v>2.7316859479479461</v>
      </c>
      <c r="R8" s="60">
        <f t="shared" si="0"/>
        <v>265.50946372572571</v>
      </c>
      <c r="S8" s="60">
        <f ca="1">AVERAGE(OFFSET($R$3,0,0,'Données projet'!$E$9+1,1))-AVERAGE(OFFSET($H$3,0,0,'Données projet'!$E$9+1,1))</f>
        <v>399.92909819003523</v>
      </c>
      <c r="T8" s="60">
        <f t="shared" si="34"/>
        <v>163.7053537268381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4.55</v>
      </c>
      <c r="AI8" s="14">
        <f>IF('Données projet'!$A$62&gt;35,AI7+AH8-AQ7,IF(A8&lt;'Données projet'!$A$62,$AF$205^A8,IF(A8='Données projet'!$A$62,'Données projet'!$B$62,AI7+AH8-AQ7)))</f>
        <v>3.0885906193876616</v>
      </c>
      <c r="AJ8" s="14">
        <f>AI8*VLOOKUP('Données projet'!$B$10,Paramètres!$A$1:$I$89,3,0)*VLOOKUP('Données projet'!$B$10,Paramètres!$A$1:$I$89,5,0)</f>
        <v>1.8469771903938217</v>
      </c>
      <c r="AK8" s="14">
        <f t="shared" si="35"/>
        <v>0.79249672214945899</v>
      </c>
      <c r="AL8" s="22">
        <f t="shared" si="4"/>
        <v>4.59708373101288</v>
      </c>
      <c r="AM8" s="60">
        <f t="shared" si="5"/>
        <v>267.37486150879067</v>
      </c>
      <c r="AN8" s="60">
        <f ca="1">AVERAGE(OFFSET($AM$3,0,0,'Données projet'!$E$10+1,1))-AVERAGE(OFFSET($H$3,0,0,'Données projet'!$E$10+1,1))</f>
        <v>455.43477166687273</v>
      </c>
      <c r="AO8" s="60">
        <f t="shared" si="36"/>
        <v>312.81310692672895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0">
        <f t="shared" si="8"/>
        <v>268.46714702955143</v>
      </c>
      <c r="BI8" s="60">
        <f ca="1">AVERAGE(OFFSET($BH$3,0,0,'Données projet'!$E$11+1,1))-AVERAGE(OFFSET($H$3,0,0,'Données projet'!$E$11+1,1))</f>
        <v>430.11660085503223</v>
      </c>
      <c r="BJ8" s="60">
        <f t="shared" si="38"/>
        <v>231.36959598460686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2.5813701135521372</v>
      </c>
      <c r="CA8" s="14">
        <f t="shared" si="39"/>
        <v>1.0652780295337991</v>
      </c>
      <c r="CB8" s="22">
        <f t="shared" si="10"/>
        <v>6.3512455158746723</v>
      </c>
      <c r="CC8" s="60">
        <f t="shared" si="11"/>
        <v>269.12902329365244</v>
      </c>
      <c r="CD8" s="60">
        <f ca="1">AVERAGE(OFFSET($CC$3,0,0,'Données projet'!$E$12+1,1))-AVERAGE(OFFSET($H$3,0,0,'Données projet'!$E$12+1,1))</f>
        <v>476.8965664931755</v>
      </c>
      <c r="CE8" s="60">
        <f t="shared" si="40"/>
        <v>254.25036207346591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2.4622299544651152</v>
      </c>
      <c r="CV8" s="14">
        <f t="shared" si="41"/>
        <v>1.021715601495419</v>
      </c>
      <c r="CW8" s="22">
        <f t="shared" si="13"/>
        <v>6.0678718432979295</v>
      </c>
      <c r="CX8" s="60">
        <f t="shared" si="14"/>
        <v>268.84564962107572</v>
      </c>
      <c r="CY8" s="60">
        <f ca="1">AVERAGE(OFFSET($CX$3,0,0,'Données projet'!$E$13+1,1))-AVERAGE(OFFSET($H$3,0,0,'Données projet'!$E$13+1,1))</f>
        <v>456.86147223520601</v>
      </c>
      <c r="CZ8" s="60">
        <f t="shared" si="42"/>
        <v>244.45149244446094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1.4957264957264955</v>
      </c>
      <c r="DO8" s="13">
        <f>IF('Données projet'!$A$166&gt;35,DO7+DN8-DW7,IF(A8&lt;'Données projet'!$A$166,$DL$205^A8,IF(A8='Données projet'!$A$166,'Données projet'!$B$166,DO7+DN8-DW7)))</f>
        <v>2.8204245222057627</v>
      </c>
      <c r="DP8" s="18">
        <f>DO8*VLOOKUP('Données projet'!$B$14,Paramètres!$A$1:$I$89,3,0)*VLOOKUP('Données projet'!$B$14,Paramètres!$A$1:$I$89,5,0)</f>
        <v>2.6839159753310038</v>
      </c>
      <c r="DQ8" s="14">
        <f t="shared" si="43"/>
        <v>1.1025855042418715</v>
      </c>
      <c r="DR8" s="22">
        <f t="shared" si="16"/>
        <v>6.5948234102560903</v>
      </c>
      <c r="DS8" s="60">
        <f t="shared" si="17"/>
        <v>269.37260118803385</v>
      </c>
      <c r="DT8" s="60">
        <f ca="1">AVERAGE(OFFSET($DS$3,0,0,'Données projet'!$E$14+1,1))-AVERAGE(OFFSET($H$3,0,0,'Données projet'!$E$14+1,1))</f>
        <v>300.36889324671682</v>
      </c>
      <c r="DU8" s="60">
        <f t="shared" si="44"/>
        <v>214.36051699039683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</v>
      </c>
      <c r="EJ8" s="13">
        <f>IF('Données projet'!$A$192&gt;35,EJ7+EI8-ER7,IF(A8&lt;'Données projet'!$A$192,$EG$205^A8,IF(A8='Données projet'!$A$192,'Données projet'!$B$192,EJ7+EI8-ER7)))</f>
        <v>2.0597671439071181</v>
      </c>
      <c r="EK8" s="18">
        <f>EJ8*VLOOKUP('Données projet'!$B$15,Paramètres!$A$1:$I$89,3,0)*VLOOKUP('Données projet'!$B$15,Paramètres!$A$1:$I$89,5,0)</f>
        <v>1.7994125769172586</v>
      </c>
      <c r="EL8" s="14">
        <f t="shared" si="45"/>
        <v>0.77443611390200762</v>
      </c>
      <c r="EM8" s="22">
        <f t="shared" si="19"/>
        <v>4.4827864698435551</v>
      </c>
      <c r="EN8" s="60">
        <f t="shared" si="20"/>
        <v>267.26056424762135</v>
      </c>
      <c r="EO8" s="60">
        <f ca="1">AVERAGE(OFFSET($EN$3,0,0,'Données projet'!$E$15+1,1))-AVERAGE(OFFSET($H$3,0,0,'Données projet'!$E$15+1,1))</f>
        <v>202.46844517174412</v>
      </c>
      <c r="EP8" s="60">
        <f t="shared" si="46"/>
        <v>185.00219255324515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4.5726495726495724</v>
      </c>
      <c r="FE8" s="13">
        <f>IF('Données projet'!$A$218&gt;35,FE7+FD8-FM7,IF(A8&lt;'Données projet'!$A$218,$FB$205^A8,IF(A8='Données projet'!$A$218,'Données projet'!$B$218,FE7+FD8-FM7)))</f>
        <v>4.0934208102310361</v>
      </c>
      <c r="FF8" s="18">
        <f>FE8*VLOOKUP('Données projet'!$B$16,Paramètres!$A$1:$I$89,3,0)*VLOOKUP('Données projet'!$B$16,Paramètres!$A$1:$I$89,5,0)</f>
        <v>2.7458666795029791</v>
      </c>
      <c r="FG8" s="14">
        <f t="shared" si="47"/>
        <v>1.1250432653911369</v>
      </c>
      <c r="FH8" s="22">
        <f t="shared" si="22"/>
        <v>6.7418348206905847</v>
      </c>
      <c r="FI8" s="60">
        <f t="shared" si="23"/>
        <v>269.51961259846837</v>
      </c>
      <c r="FJ8" s="60">
        <f ca="1">AVERAGE(OFFSET($FI$3,0,0,'Données projet'!$E$16+1,1))-AVERAGE(OFFSET($H$3,0,0,'Données projet'!$E$16+1,1))</f>
        <v>344.87493856469382</v>
      </c>
      <c r="FK8" s="60">
        <f t="shared" si="48"/>
        <v>261.91036689641402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0.37302857142857143</v>
      </c>
      <c r="FZ8" s="13">
        <f>IF('Données projet'!$A$244&gt;35,FZ7+FY8-GH7,IF(A8&lt;'Données projet'!$A$244,$FW$205^A8,IF(A8='Données projet'!$A$244,'Données projet'!$B$244,FZ7+FY8-GH7)))</f>
        <v>1.9849197594045436</v>
      </c>
      <c r="GA8" s="18">
        <f>FZ8*VLOOKUP('Données projet'!$B$17,Paramètres!$A$1:$I$89,3,0)*VLOOKUP('Données projet'!$B$17,Paramètres!$A$1:$I$89,5,0)</f>
        <v>1.0094507928427747</v>
      </c>
      <c r="GB8" s="14">
        <f t="shared" si="49"/>
        <v>0.4646882664056643</v>
      </c>
      <c r="GC8" s="22">
        <f t="shared" si="25"/>
        <v>2.567458861524365</v>
      </c>
      <c r="GD8" s="60">
        <f t="shared" si="26"/>
        <v>265.34523663930213</v>
      </c>
      <c r="GE8" s="60">
        <f ca="1">AVERAGE(OFFSET($GD$3,0,0,'Données projet'!$E$17+1,1))-AVERAGE(OFFSET($H$3,0,0,'Données projet'!$E$17+1,1))</f>
        <v>268.19959446602911</v>
      </c>
      <c r="GF8" s="60">
        <f t="shared" si="50"/>
        <v>691.2533336811855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2.6666666666666665</v>
      </c>
      <c r="GU8" s="13">
        <f>IF('Données projet'!$A$270&gt;35,GU7+GT8-HC7,IF(A8&lt;'Données projet'!$A$270,$GR$205^A8,IF(A8='Données projet'!$A$270,'Données projet'!$B$270,GU7+GT8-HC7)))</f>
        <v>3.4199518933533928</v>
      </c>
      <c r="GV8" s="18">
        <f>GU8*VLOOKUP('Données projet'!$B$18,Paramètres!$A$1:$I$89,3,0)*VLOOKUP('Données projet'!$B$18,Paramètres!$A$1:$I$89,5,0)</f>
        <v>2.6675624768156463</v>
      </c>
      <c r="GW8" s="14">
        <f t="shared" si="51"/>
        <v>1.0966471776471767</v>
      </c>
      <c r="GX8" s="22">
        <f t="shared" si="28"/>
        <v>6.5559984815227494</v>
      </c>
      <c r="GY8" s="60">
        <f t="shared" si="29"/>
        <v>269.33377625930052</v>
      </c>
      <c r="GZ8" s="60">
        <f ca="1">AVERAGE(OFFSET($GY$3,0,0,'Données projet'!$E$18+1,1))-AVERAGE(OFFSET($H$3,0,0,'Données projet'!$E$18+1,1))</f>
        <v>292.57482726862594</v>
      </c>
      <c r="HA8" s="60">
        <f t="shared" si="52"/>
        <v>283.48738729114024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</v>
      </c>
      <c r="N9" s="14">
        <f>IF('Données projet'!$A$36&gt;35,N8+M9-V8,IF(A9&lt;'Données projet'!$A$36,$K$205^A9,IF(A9='Données projet'!$A$36,'Données projet'!$B$36,N8+M9-V8)))</f>
        <v>2.7173614464666325</v>
      </c>
      <c r="O9" s="14">
        <f>N9*VLOOKUP('Données projet'!$B$9,Paramètres!$A$1:$I$89,3,0)*VLOOKUP('Données projet'!$B$9,Paramètres!$A$1:$I$89,5,0)</f>
        <v>1.2717251569463841</v>
      </c>
      <c r="P9" s="14">
        <f t="shared" si="33"/>
        <v>0.56989382543060962</v>
      </c>
      <c r="Q9" s="22">
        <f t="shared" si="2"/>
        <v>3.2074863943065974</v>
      </c>
      <c r="R9" s="60">
        <f t="shared" si="0"/>
        <v>267.20748639430661</v>
      </c>
      <c r="S9" s="60">
        <f ca="1">AVERAGE(OFFSET($R$3,0,0,'Données projet'!$E$9+1,1))-AVERAGE(OFFSET($H$3,0,0,'Données projet'!$E$9+1,1))</f>
        <v>399.92909819003523</v>
      </c>
      <c r="T9" s="60">
        <f t="shared" si="34"/>
        <v>163.7053537268381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4.55</v>
      </c>
      <c r="AI9" s="14">
        <f>IF('Données projet'!$A$62&gt;35,AI8+AH9-AQ8,IF(A9&lt;'Données projet'!$A$62,$AF$205^A9,IF(A9='Données projet'!$A$62,'Données projet'!$B$62,AI8+AH9-AQ8)))</f>
        <v>3.8700129448363709</v>
      </c>
      <c r="AJ9" s="14">
        <f>AI9*VLOOKUP('Données projet'!$B$10,Paramètres!$A$1:$I$89,3,0)*VLOOKUP('Données projet'!$B$10,Paramètres!$A$1:$I$89,5,0)</f>
        <v>2.3142677410121499</v>
      </c>
      <c r="AK9" s="14">
        <f t="shared" si="35"/>
        <v>0.96727045665540168</v>
      </c>
      <c r="AL9" s="22">
        <f t="shared" si="4"/>
        <v>5.7153456942709857</v>
      </c>
      <c r="AM9" s="60">
        <f t="shared" si="5"/>
        <v>269.71534569427098</v>
      </c>
      <c r="AN9" s="60">
        <f ca="1">AVERAGE(OFFSET($AM$3,0,0,'Données projet'!$E$10+1,1))-AVERAGE(OFFSET($H$3,0,0,'Données projet'!$E$10+1,1))</f>
        <v>455.43477166687273</v>
      </c>
      <c r="AO9" s="60">
        <f t="shared" si="36"/>
        <v>312.81310692672895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0">
        <f t="shared" si="8"/>
        <v>270.81494110736412</v>
      </c>
      <c r="BI9" s="60">
        <f ca="1">AVERAGE(OFFSET($BH$3,0,0,'Données projet'!$E$11+1,1))-AVERAGE(OFFSET($H$3,0,0,'Données projet'!$E$11+1,1))</f>
        <v>430.11660085503223</v>
      </c>
      <c r="BJ9" s="60">
        <f t="shared" si="38"/>
        <v>231.36959598460686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3.111807635605039</v>
      </c>
      <c r="CA9" s="14">
        <f t="shared" si="39"/>
        <v>1.2565452240335246</v>
      </c>
      <c r="CB9" s="22">
        <f t="shared" si="10"/>
        <v>7.6082145638704972</v>
      </c>
      <c r="CC9" s="60">
        <f t="shared" si="11"/>
        <v>271.60821456387049</v>
      </c>
      <c r="CD9" s="60">
        <f ca="1">AVERAGE(OFFSET($CC$3,0,0,'Données projet'!$E$12+1,1))-AVERAGE(OFFSET($H$3,0,0,'Données projet'!$E$12+1,1))</f>
        <v>476.8965664931755</v>
      </c>
      <c r="CE9" s="60">
        <f t="shared" si="40"/>
        <v>254.25036207346591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2.9681857447309605</v>
      </c>
      <c r="CV9" s="14">
        <f t="shared" si="41"/>
        <v>1.2051613041728233</v>
      </c>
      <c r="CW9" s="22">
        <f t="shared" si="13"/>
        <v>7.2685794435074236</v>
      </c>
      <c r="CX9" s="60">
        <f t="shared" si="14"/>
        <v>271.26857944350741</v>
      </c>
      <c r="CY9" s="60">
        <f ca="1">AVERAGE(OFFSET($CX$3,0,0,'Données projet'!$E$13+1,1))-AVERAGE(OFFSET($H$3,0,0,'Données projet'!$E$13+1,1))</f>
        <v>456.86147223520601</v>
      </c>
      <c r="CZ9" s="60">
        <f t="shared" si="42"/>
        <v>244.45149244446094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1.4957264957264955</v>
      </c>
      <c r="DO9" s="13">
        <f>IF('Données projet'!$A$166&gt;35,DO8+DN9-DW8,IF(A9&lt;'Données projet'!$A$166,$DL$205^A9,IF(A9='Données projet'!$A$166,'Données projet'!$B$166,DO8+DN9-DW8)))</f>
        <v>3.4703827695092544</v>
      </c>
      <c r="DP9" s="18">
        <f>DO9*VLOOKUP('Données projet'!$B$14,Paramètres!$A$1:$I$89,3,0)*VLOOKUP('Données projet'!$B$14,Paramètres!$A$1:$I$89,5,0)</f>
        <v>3.3024162434650068</v>
      </c>
      <c r="DQ9" s="14">
        <f t="shared" si="43"/>
        <v>1.3243166941601268</v>
      </c>
      <c r="DR9" s="22">
        <f t="shared" si="16"/>
        <v>8.0582265330304406</v>
      </c>
      <c r="DS9" s="60">
        <f t="shared" si="17"/>
        <v>272.05822653303045</v>
      </c>
      <c r="DT9" s="60">
        <f ca="1">AVERAGE(OFFSET($DS$3,0,0,'Données projet'!$E$14+1,1))-AVERAGE(OFFSET($H$3,0,0,'Données projet'!$E$14+1,1))</f>
        <v>300.36889324671682</v>
      </c>
      <c r="DU9" s="60">
        <f t="shared" si="44"/>
        <v>214.36051699039683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</v>
      </c>
      <c r="EJ9" s="13">
        <f>IF('Données projet'!$A$192&gt;35,EJ8+EI9-ER8,IF(A9&lt;'Données projet'!$A$192,$EG$205^A9,IF(A9='Données projet'!$A$192,'Données projet'!$B$192,EJ8+EI9-ER8)))</f>
        <v>2.3800262745964411</v>
      </c>
      <c r="EK9" s="18">
        <f>EJ9*VLOOKUP('Données projet'!$B$15,Paramètres!$A$1:$I$89,3,0)*VLOOKUP('Données projet'!$B$15,Paramètres!$A$1:$I$89,5,0)</f>
        <v>2.0791909534874513</v>
      </c>
      <c r="EL9" s="14">
        <f t="shared" si="45"/>
        <v>0.87992070356451979</v>
      </c>
      <c r="EM9" s="22">
        <f t="shared" si="19"/>
        <v>5.1537861360321822</v>
      </c>
      <c r="EN9" s="60">
        <f t="shared" si="20"/>
        <v>269.15378613603218</v>
      </c>
      <c r="EO9" s="60">
        <f ca="1">AVERAGE(OFFSET($EN$3,0,0,'Données projet'!$E$15+1,1))-AVERAGE(OFFSET($H$3,0,0,'Données projet'!$E$15+1,1))</f>
        <v>202.46844517174412</v>
      </c>
      <c r="EP9" s="60">
        <f t="shared" si="46"/>
        <v>185.00219255324515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4.5726495726495724</v>
      </c>
      <c r="FE9" s="13">
        <f>IF('Données projet'!$A$218&gt;35,FE8+FD9-FM8,IF(A9&lt;'Données projet'!$A$218,$FB$205^A9,IF(A9='Données projet'!$A$218,'Données projet'!$B$218,FE8+FD9-FM8)))</f>
        <v>5.4262983896060337</v>
      </c>
      <c r="FF9" s="18">
        <f>FE9*VLOOKUP('Données projet'!$B$16,Paramètres!$A$1:$I$89,3,0)*VLOOKUP('Données projet'!$B$16,Paramètres!$A$1:$I$89,5,0)</f>
        <v>3.6399609597477274</v>
      </c>
      <c r="FG9" s="14">
        <f t="shared" si="47"/>
        <v>1.4432352633107628</v>
      </c>
      <c r="FH9" s="22">
        <f t="shared" si="22"/>
        <v>8.8532334218268698</v>
      </c>
      <c r="FI9" s="60">
        <f t="shared" si="23"/>
        <v>272.85323342182687</v>
      </c>
      <c r="FJ9" s="60">
        <f ca="1">AVERAGE(OFFSET($FI$3,0,0,'Données projet'!$E$16+1,1))-AVERAGE(OFFSET($H$3,0,0,'Données projet'!$E$16+1,1))</f>
        <v>344.87493856469382</v>
      </c>
      <c r="FK9" s="60">
        <f t="shared" si="48"/>
        <v>261.91036689641402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0.37302857142857143</v>
      </c>
      <c r="FZ9" s="13">
        <f>IF('Données projet'!$A$244&gt;35,FZ8+FY9-GH8,IF(A9&lt;'Données projet'!$A$244,$FW$205^A9,IF(A9='Données projet'!$A$244,'Données projet'!$B$244,FZ8+FY9-GH8)))</f>
        <v>2.2766252383203391</v>
      </c>
      <c r="GA9" s="18">
        <f>FZ9*VLOOKUP('Données projet'!$B$17,Paramètres!$A$1:$I$89,3,0)*VLOOKUP('Données projet'!$B$17,Paramètres!$A$1:$I$89,5,0)</f>
        <v>1.1578005312001918</v>
      </c>
      <c r="GB9" s="14">
        <f t="shared" si="49"/>
        <v>0.52454027729055885</v>
      </c>
      <c r="GC9" s="22">
        <f t="shared" si="25"/>
        <v>2.9300769081213907</v>
      </c>
      <c r="GD9" s="60">
        <f t="shared" si="26"/>
        <v>266.93007690812141</v>
      </c>
      <c r="GE9" s="60">
        <f ca="1">AVERAGE(OFFSET($GD$3,0,0,'Données projet'!$E$17+1,1))-AVERAGE(OFFSET($H$3,0,0,'Données projet'!$E$17+1,1))</f>
        <v>268.19959446602911</v>
      </c>
      <c r="GF9" s="60">
        <f t="shared" si="50"/>
        <v>691.2533336811855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2.6666666666666665</v>
      </c>
      <c r="GU9" s="13">
        <f>IF('Données projet'!$A$270&gt;35,GU8+GT9-HC8,IF(A9&lt;'Données projet'!$A$270,$GR$205^A9,IF(A9='Données projet'!$A$270,'Données projet'!$B$270,GU8+GT9-HC8)))</f>
        <v>4.3734482957731098</v>
      </c>
      <c r="GV9" s="18">
        <f>GU9*VLOOKUP('Données projet'!$B$18,Paramètres!$A$1:$I$89,3,0)*VLOOKUP('Données projet'!$B$18,Paramètres!$A$1:$I$89,5,0)</f>
        <v>3.4112896707030256</v>
      </c>
      <c r="GW9" s="14">
        <f t="shared" si="51"/>
        <v>1.3628213830192535</v>
      </c>
      <c r="GX9" s="22">
        <f t="shared" si="28"/>
        <v>8.3149100852329703</v>
      </c>
      <c r="GY9" s="60">
        <f t="shared" si="29"/>
        <v>272.31491008523295</v>
      </c>
      <c r="GZ9" s="60">
        <f ca="1">AVERAGE(OFFSET($GY$3,0,0,'Données projet'!$E$18+1,1))-AVERAGE(OFFSET($H$3,0,0,'Données projet'!$E$18+1,1))</f>
        <v>292.57482726862594</v>
      </c>
      <c r="HA9" s="60">
        <f t="shared" si="52"/>
        <v>283.48738729114024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</v>
      </c>
      <c r="N10" s="14">
        <f>IF('Données projet'!$A$36&gt;35,N9+M10-V9,IF(A10&lt;'Données projet'!$A$36,$K$205^A10,IF(A10='Données projet'!$A$36,'Données projet'!$B$36,N9+M10-V9)))</f>
        <v>3.2100020589569258</v>
      </c>
      <c r="O10" s="14">
        <f>N10*VLOOKUP('Données projet'!$B$9,Paramètres!$A$1:$I$89,3,0)*VLOOKUP('Données projet'!$B$9,Paramètres!$A$1:$I$89,5,0)</f>
        <v>1.5022809635918413</v>
      </c>
      <c r="P10" s="14">
        <f t="shared" si="33"/>
        <v>0.66028190166446799</v>
      </c>
      <c r="Q10" s="22">
        <f t="shared" si="2"/>
        <v>3.7664636569880714</v>
      </c>
      <c r="R10" s="60">
        <f t="shared" si="0"/>
        <v>268.98868587921032</v>
      </c>
      <c r="S10" s="60">
        <f ca="1">AVERAGE(OFFSET($R$3,0,0,'Données projet'!$E$9+1,1))-AVERAGE(OFFSET($H$3,0,0,'Données projet'!$E$9+1,1))</f>
        <v>399.92909819003523</v>
      </c>
      <c r="T10" s="60">
        <f t="shared" si="34"/>
        <v>163.7053537268381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4.55</v>
      </c>
      <c r="AI10" s="14">
        <f>IF('Données projet'!$A$62&gt;35,AI9+AH10-AQ9,IF(A10&lt;'Données projet'!$A$62,$AF$205^A10,IF(A10='Données projet'!$A$62,'Données projet'!$B$62,AI9+AH10-AQ9)))</f>
        <v>4.8491373700313813</v>
      </c>
      <c r="AJ10" s="14">
        <f>AI10*VLOOKUP('Données projet'!$B$10,Paramètres!$A$1:$I$89,3,0)*VLOOKUP('Données projet'!$B$10,Paramètres!$A$1:$I$89,5,0)</f>
        <v>2.8997841472787664</v>
      </c>
      <c r="AK10" s="14">
        <f t="shared" si="35"/>
        <v>1.1805880203273573</v>
      </c>
      <c r="AL10" s="22">
        <f t="shared" si="4"/>
        <v>7.1066481919139983</v>
      </c>
      <c r="AM10" s="60">
        <f t="shared" si="5"/>
        <v>272.32887041413625</v>
      </c>
      <c r="AN10" s="60">
        <f ca="1">AVERAGE(OFFSET($AM$3,0,0,'Données projet'!$E$10+1,1))-AVERAGE(OFFSET($H$3,0,0,'Données projet'!$E$10+1,1))</f>
        <v>455.43477166687273</v>
      </c>
      <c r="AO10" s="60">
        <f t="shared" si="36"/>
        <v>312.81310692672895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0">
        <f t="shared" si="8"/>
        <v>273.38621175408076</v>
      </c>
      <c r="BI10" s="60">
        <f ca="1">AVERAGE(OFFSET($BH$3,0,0,'Données projet'!$E$11+1,1))-AVERAGE(OFFSET($H$3,0,0,'Données projet'!$E$11+1,1))</f>
        <v>430.11660085503223</v>
      </c>
      <c r="BJ10" s="60">
        <f t="shared" si="38"/>
        <v>231.36959598460686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3.7512430744326299</v>
      </c>
      <c r="CA10" s="14">
        <f t="shared" si="39"/>
        <v>1.4821538192545303</v>
      </c>
      <c r="CB10" s="22">
        <f t="shared" si="10"/>
        <v>9.1148329231718037</v>
      </c>
      <c r="CC10" s="60">
        <f t="shared" si="11"/>
        <v>274.33705514539406</v>
      </c>
      <c r="CD10" s="60">
        <f ca="1">AVERAGE(OFFSET($CC$3,0,0,'Données projet'!$E$12+1,1))-AVERAGE(OFFSET($H$3,0,0,'Données projet'!$E$12+1,1))</f>
        <v>476.8965664931755</v>
      </c>
      <c r="CE10" s="60">
        <f t="shared" si="40"/>
        <v>254.25036207346591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3.5781087786895851</v>
      </c>
      <c r="CV10" s="14">
        <f t="shared" si="41"/>
        <v>1.4215440842341414</v>
      </c>
      <c r="CW10" s="22">
        <f t="shared" si="13"/>
        <v>8.707728736258824</v>
      </c>
      <c r="CX10" s="60">
        <f t="shared" si="14"/>
        <v>273.92995095848107</v>
      </c>
      <c r="CY10" s="60">
        <f ca="1">AVERAGE(OFFSET($CX$3,0,0,'Données projet'!$E$13+1,1))-AVERAGE(OFFSET($H$3,0,0,'Données projet'!$E$13+1,1))</f>
        <v>456.86147223520601</v>
      </c>
      <c r="CZ10" s="60">
        <f t="shared" si="42"/>
        <v>244.45149244446094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1.4957264957264955</v>
      </c>
      <c r="DO10" s="13">
        <f>IF('Données projet'!$A$166&gt;35,DO9+DN10-DW9,IF(A10&lt;'Données projet'!$A$166,$DL$205^A10,IF(A10='Données projet'!$A$166,'Données projet'!$B$166,DO9+DN10-DW9)))</f>
        <v>4.2701219167843023</v>
      </c>
      <c r="DP10" s="18">
        <f>DO10*VLOOKUP('Données projet'!$B$14,Paramètres!$A$1:$I$89,3,0)*VLOOKUP('Données projet'!$B$14,Paramètres!$A$1:$I$89,5,0)</f>
        <v>4.0634480160119422</v>
      </c>
      <c r="DQ10" s="14">
        <f t="shared" si="43"/>
        <v>1.5906382767449083</v>
      </c>
      <c r="DR10" s="22">
        <f t="shared" si="16"/>
        <v>9.847533626551515</v>
      </c>
      <c r="DS10" s="60">
        <f t="shared" si="17"/>
        <v>275.06975584877375</v>
      </c>
      <c r="DT10" s="60">
        <f ca="1">AVERAGE(OFFSET($DS$3,0,0,'Données projet'!$E$14+1,1))-AVERAGE(OFFSET($H$3,0,0,'Données projet'!$E$14+1,1))</f>
        <v>300.36889324671682</v>
      </c>
      <c r="DU10" s="60">
        <f t="shared" si="44"/>
        <v>214.36051699039683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</v>
      </c>
      <c r="EJ10" s="13">
        <f>IF('Données projet'!$A$192&gt;35,EJ9+EI10-ER9,IF(A10&lt;'Données projet'!$A$192,$EG$205^A10,IF(A10='Données projet'!$A$192,'Données projet'!$B$192,EJ9+EI10-ER9)))</f>
        <v>2.7500803110319185</v>
      </c>
      <c r="EK10" s="18">
        <f>EJ10*VLOOKUP('Données projet'!$B$15,Paramètres!$A$1:$I$89,3,0)*VLOOKUP('Données projet'!$B$15,Paramètres!$A$1:$I$89,5,0)</f>
        <v>2.4024701597174842</v>
      </c>
      <c r="EL10" s="14">
        <f t="shared" si="45"/>
        <v>0.9997731648390682</v>
      </c>
      <c r="EM10" s="22">
        <f t="shared" si="19"/>
        <v>5.9255737902693291</v>
      </c>
      <c r="EN10" s="60">
        <f t="shared" si="20"/>
        <v>271.14779601249154</v>
      </c>
      <c r="EO10" s="60">
        <f ca="1">AVERAGE(OFFSET($EN$3,0,0,'Données projet'!$E$15+1,1))-AVERAGE(OFFSET($H$3,0,0,'Données projet'!$E$15+1,1))</f>
        <v>202.46844517174412</v>
      </c>
      <c r="EP10" s="60">
        <f t="shared" si="46"/>
        <v>185.00219255324515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4.5726495726495724</v>
      </c>
      <c r="FE10" s="13">
        <f>IF('Données projet'!$A$218&gt;35,FE9+FD10-FM9,IF(A10&lt;'Données projet'!$A$218,$FB$205^A10,IF(A10='Données projet'!$A$218,'Données projet'!$B$218,FE9+FD10-FM9)))</f>
        <v>7.1931803687144367</v>
      </c>
      <c r="FF10" s="18">
        <f>FE10*VLOOKUP('Données projet'!$B$16,Paramètres!$A$1:$I$89,3,0)*VLOOKUP('Données projet'!$B$16,Paramètres!$A$1:$I$89,5,0)</f>
        <v>4.825185391333644</v>
      </c>
      <c r="FG10" s="14">
        <f t="shared" si="47"/>
        <v>1.8514203758550818</v>
      </c>
      <c r="FH10" s="22">
        <f t="shared" si="22"/>
        <v>11.62842171118703</v>
      </c>
      <c r="FI10" s="60">
        <f t="shared" si="23"/>
        <v>276.85064393340929</v>
      </c>
      <c r="FJ10" s="60">
        <f ca="1">AVERAGE(OFFSET($FI$3,0,0,'Données projet'!$E$16+1,1))-AVERAGE(OFFSET($H$3,0,0,'Données projet'!$E$16+1,1))</f>
        <v>344.87493856469382</v>
      </c>
      <c r="FK10" s="60">
        <f t="shared" si="48"/>
        <v>261.91036689641402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>
        <f>VLOOKUP(A10,'Données projet'!$A$243:$I$263,2,0)</f>
        <v>2.6112000000000002</v>
      </c>
      <c r="FX10" s="13">
        <f>VLOOKUP(A10,'Données projet'!$A$243:$I$263,9,0)</f>
        <v>0.37302857142857143</v>
      </c>
      <c r="FY10" s="13">
        <f t="array" ref="FY10">INDEX(FX:FX,MIN(IF(ISNUMBER(FX10:FX206),ROW(FX10:FX206),"")))</f>
        <v>0.37302857142857143</v>
      </c>
      <c r="FZ10" s="13">
        <f>IF('Données projet'!$A$244&gt;35,FZ9+FY10-GH9,IF(A10&lt;'Données projet'!$A$244,$FW$205^A10,IF(A10='Données projet'!$A$244,'Données projet'!$B$244,FZ9+FY10-GH9)))</f>
        <v>2.6112000000000002</v>
      </c>
      <c r="GA10" s="18">
        <f>FZ10*VLOOKUP('Données projet'!$B$17,Paramètres!$A$1:$I$89,3,0)*VLOOKUP('Données projet'!$B$17,Paramètres!$A$1:$I$89,5,0)</f>
        <v>1.3279518720000001</v>
      </c>
      <c r="GB10" s="14">
        <f t="shared" si="49"/>
        <v>0.59210124806521847</v>
      </c>
      <c r="GC10" s="22">
        <f t="shared" si="25"/>
        <v>3.344092517446922</v>
      </c>
      <c r="GD10" s="60">
        <f t="shared" si="26"/>
        <v>268.56631473966917</v>
      </c>
      <c r="GE10" s="60">
        <f ca="1">AVERAGE(OFFSET($GD$3,0,0,'Données projet'!$E$17+1,1))-AVERAGE(OFFSET($H$3,0,0,'Données projet'!$E$17+1,1))</f>
        <v>268.19959446602911</v>
      </c>
      <c r="GF10" s="60">
        <f t="shared" si="50"/>
        <v>691.2533336811855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2.6666666666666665</v>
      </c>
      <c r="GU10" s="13">
        <f>IF('Données projet'!$A$270&gt;35,GU9+GT10-HC9,IF(A10&lt;'Données projet'!$A$270,$GR$205^A10,IF(A10='Données projet'!$A$270,'Données projet'!$B$270,GU9+GT10-HC9)))</f>
        <v>5.5927833467405659</v>
      </c>
      <c r="GV10" s="18">
        <f>GU10*VLOOKUP('Données projet'!$B$18,Paramètres!$A$1:$I$89,3,0)*VLOOKUP('Données projet'!$B$18,Paramètres!$A$1:$I$89,5,0)</f>
        <v>4.3623710104576414</v>
      </c>
      <c r="GW10" s="14">
        <f t="shared" si="51"/>
        <v>1.6936004212396314</v>
      </c>
      <c r="GX10" s="22">
        <f t="shared" si="28"/>
        <v>10.54748357687275</v>
      </c>
      <c r="GY10" s="60">
        <f t="shared" si="29"/>
        <v>275.76970579909499</v>
      </c>
      <c r="GZ10" s="60">
        <f ca="1">AVERAGE(OFFSET($GY$3,0,0,'Données projet'!$E$18+1,1))-AVERAGE(OFFSET($H$3,0,0,'Données projet'!$E$18+1,1))</f>
        <v>292.57482726862594</v>
      </c>
      <c r="HA10" s="60">
        <f t="shared" si="52"/>
        <v>283.48738729114024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</v>
      </c>
      <c r="N11" s="14">
        <f>IF('Données projet'!$A$36&gt;35,N10+M11-V10,IF(A11&lt;'Données projet'!$A$36,$K$205^A11,IF(A11='Données projet'!$A$36,'Données projet'!$B$36,N10+M11-V10)))</f>
        <v>3.7919553292794657</v>
      </c>
      <c r="O11" s="14">
        <f>N11*VLOOKUP('Données projet'!$B$9,Paramètres!$A$1:$I$89,3,0)*VLOOKUP('Données projet'!$B$9,Paramètres!$A$1:$I$89,5,0)</f>
        <v>1.7746350941027897</v>
      </c>
      <c r="P11" s="14">
        <f t="shared" si="33"/>
        <v>0.76500598920549345</v>
      </c>
      <c r="Q11" s="22">
        <f t="shared" si="2"/>
        <v>4.42320822009526</v>
      </c>
      <c r="R11" s="60">
        <f t="shared" si="0"/>
        <v>270.86765266453972</v>
      </c>
      <c r="S11" s="60">
        <f ca="1">AVERAGE(OFFSET($R$3,0,0,'Données projet'!$E$9+1,1))-AVERAGE(OFFSET($H$3,0,0,'Données projet'!$E$9+1,1))</f>
        <v>399.92909819003523</v>
      </c>
      <c r="T11" s="60">
        <f t="shared" si="34"/>
        <v>163.7053537268381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4.55</v>
      </c>
      <c r="AI11" s="14">
        <f>IF('Données projet'!$A$62&gt;35,AI10+AH11-AQ10,IF(A11&lt;'Données projet'!$A$62,$AF$205^A11,IF(A11='Données projet'!$A$62,'Données projet'!$B$62,AI10+AH11-AQ10)))</f>
        <v>6.0759830958211616</v>
      </c>
      <c r="AJ11" s="14">
        <f>AI11*VLOOKUP('Données projet'!$B$10,Paramètres!$A$1:$I$89,3,0)*VLOOKUP('Données projet'!$B$10,Paramètres!$A$1:$I$89,5,0)</f>
        <v>3.633437891301055</v>
      </c>
      <c r="AK11" s="14">
        <f t="shared" si="35"/>
        <v>1.4409496993838373</v>
      </c>
      <c r="AL11" s="22">
        <f t="shared" si="4"/>
        <v>8.8378917204428529</v>
      </c>
      <c r="AM11" s="60">
        <f t="shared" si="5"/>
        <v>275.28233616488728</v>
      </c>
      <c r="AN11" s="60">
        <f ca="1">AVERAGE(OFFSET($AM$3,0,0,'Données projet'!$E$10+1,1))-AVERAGE(OFFSET($H$3,0,0,'Données projet'!$E$10+1,1))</f>
        <v>455.43477166687273</v>
      </c>
      <c r="AO11" s="60">
        <f t="shared" si="36"/>
        <v>312.81310692672895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0">
        <f t="shared" si="8"/>
        <v>276.22547755046565</v>
      </c>
      <c r="BI11" s="60">
        <f ca="1">AVERAGE(OFFSET($BH$3,0,0,'Données projet'!$E$11+1,1))-AVERAGE(OFFSET($H$3,0,0,'Données projet'!$E$11+1,1))</f>
        <v>430.11660085503223</v>
      </c>
      <c r="BJ11" s="60">
        <f t="shared" si="38"/>
        <v>231.36959598460686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4.5220740647558486</v>
      </c>
      <c r="CA11" s="14">
        <f t="shared" si="39"/>
        <v>1.7482697016499746</v>
      </c>
      <c r="CB11" s="22">
        <f t="shared" si="10"/>
        <v>10.92084872649014</v>
      </c>
      <c r="CC11" s="60">
        <f t="shared" si="11"/>
        <v>277.36529317093459</v>
      </c>
      <c r="CD11" s="60">
        <f ca="1">AVERAGE(OFFSET($CC$3,0,0,'Données projet'!$E$12+1,1))-AVERAGE(OFFSET($H$3,0,0,'Données projet'!$E$12+1,1))</f>
        <v>476.8965664931755</v>
      </c>
      <c r="CE11" s="60">
        <f t="shared" si="40"/>
        <v>254.25036207346591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4.3133629540748091</v>
      </c>
      <c r="CV11" s="14">
        <f t="shared" si="41"/>
        <v>1.6767776864592203</v>
      </c>
      <c r="CW11" s="22">
        <f t="shared" si="13"/>
        <v>10.432828282263435</v>
      </c>
      <c r="CX11" s="60">
        <f t="shared" si="14"/>
        <v>276.87727272670787</v>
      </c>
      <c r="CY11" s="60">
        <f ca="1">AVERAGE(OFFSET($CX$3,0,0,'Données projet'!$E$13+1,1))-AVERAGE(OFFSET($H$3,0,0,'Données projet'!$E$13+1,1))</f>
        <v>456.86147223520601</v>
      </c>
      <c r="CZ11" s="60">
        <f t="shared" si="42"/>
        <v>244.45149244446094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1.4957264957264955</v>
      </c>
      <c r="DO11" s="13">
        <f>IF('Données projet'!$A$166&gt;35,DO10+DN11-DW10,IF(A11&lt;'Données projet'!$A$166,$DL$205^A11,IF(A11='Données projet'!$A$166,'Données projet'!$B$166,DO10+DN11-DW10)))</f>
        <v>5.2541585165777258</v>
      </c>
      <c r="DP11" s="18">
        <f>DO11*VLOOKUP('Données projet'!$B$14,Paramètres!$A$1:$I$89,3,0)*VLOOKUP('Données projet'!$B$14,Paramètres!$A$1:$I$89,5,0)</f>
        <v>4.9998572443753639</v>
      </c>
      <c r="DQ11" s="14">
        <f t="shared" si="43"/>
        <v>1.9105174303119428</v>
      </c>
      <c r="DR11" s="22">
        <f t="shared" si="16"/>
        <v>12.035569225080392</v>
      </c>
      <c r="DS11" s="60">
        <f t="shared" si="17"/>
        <v>278.48001366952485</v>
      </c>
      <c r="DT11" s="60">
        <f ca="1">AVERAGE(OFFSET($DS$3,0,0,'Données projet'!$E$14+1,1))-AVERAGE(OFFSET($H$3,0,0,'Données projet'!$E$14+1,1))</f>
        <v>300.36889324671682</v>
      </c>
      <c r="DU11" s="60">
        <f t="shared" si="44"/>
        <v>214.36051699039683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</v>
      </c>
      <c r="EJ11" s="13">
        <f>IF('Données projet'!$A$192&gt;35,EJ10+EI11-ER10,IF(A11&lt;'Données projet'!$A$192,$EG$205^A11,IF(A11='Données projet'!$A$192,'Données projet'!$B$192,EJ10+EI11-ER10)))</f>
        <v>3.1776715231464374</v>
      </c>
      <c r="EK11" s="18">
        <f>EJ11*VLOOKUP('Données projet'!$B$15,Paramètres!$A$1:$I$89,3,0)*VLOOKUP('Données projet'!$B$15,Paramètres!$A$1:$I$89,5,0)</f>
        <v>2.7760138426207281</v>
      </c>
      <c r="EL11" s="14">
        <f t="shared" si="45"/>
        <v>1.135950520408497</v>
      </c>
      <c r="EM11" s="22">
        <f t="shared" si="19"/>
        <v>6.8133379322758998</v>
      </c>
      <c r="EN11" s="60">
        <f t="shared" si="20"/>
        <v>273.25778237672034</v>
      </c>
      <c r="EO11" s="60">
        <f ca="1">AVERAGE(OFFSET($EN$3,0,0,'Données projet'!$E$15+1,1))-AVERAGE(OFFSET($H$3,0,0,'Données projet'!$E$15+1,1))</f>
        <v>202.46844517174412</v>
      </c>
      <c r="EP11" s="60">
        <f t="shared" si="46"/>
        <v>185.00219255324515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4.5726495726495724</v>
      </c>
      <c r="FE11" s="13">
        <f>IF('Données projet'!$A$218&gt;35,FE10+FD11-FM10,IF(A11&lt;'Données projet'!$A$218,$FB$205^A11,IF(A11='Données projet'!$A$218,'Données projet'!$B$218,FE10+FD11-FM10)))</f>
        <v>9.535384916533383</v>
      </c>
      <c r="FF11" s="18">
        <f>FE11*VLOOKUP('Données projet'!$B$16,Paramètres!$A$1:$I$89,3,0)*VLOOKUP('Données projet'!$B$16,Paramètres!$A$1:$I$89,5,0)</f>
        <v>6.3963362020105929</v>
      </c>
      <c r="FG11" s="14">
        <f t="shared" si="47"/>
        <v>2.3750510365636028</v>
      </c>
      <c r="FH11" s="22">
        <f t="shared" si="22"/>
        <v>15.276832773850055</v>
      </c>
      <c r="FI11" s="60">
        <f t="shared" si="23"/>
        <v>281.72127721829452</v>
      </c>
      <c r="FJ11" s="60">
        <f ca="1">AVERAGE(OFFSET($FI$3,0,0,'Données projet'!$E$16+1,1))-AVERAGE(OFFSET($H$3,0,0,'Données projet'!$E$16+1,1))</f>
        <v>344.87493856469382</v>
      </c>
      <c r="FK11" s="60">
        <f t="shared" si="48"/>
        <v>261.91036689641402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>
        <f>VLOOKUP(A11,'Données projet'!$A$243:$I$263,2,0)</f>
        <v>26.111999999999998</v>
      </c>
      <c r="FX11" s="13">
        <f>VLOOKUP(A11,'Données projet'!$A$243:$I$263,9,0)</f>
        <v>23.500799999999998</v>
      </c>
      <c r="FY11" s="13">
        <f t="array" ref="FY11">INDEX(FX:FX,MIN(IF(ISNUMBER(FX11:FX207),ROW(FX11:FX207),"")))</f>
        <v>23.500799999999998</v>
      </c>
      <c r="FZ11" s="13">
        <f>IF('Données projet'!$A$244&gt;35,FZ10+FY11-GH10,IF(A11&lt;'Données projet'!$A$244,$FW$205^A11,IF(A11='Données projet'!$A$244,'Données projet'!$B$244,FZ10+FY11-GH10)))</f>
        <v>26.111999999999998</v>
      </c>
      <c r="GA11" s="18">
        <f>FZ11*VLOOKUP('Données projet'!$B$17,Paramètres!$A$1:$I$89,3,0)*VLOOKUP('Données projet'!$B$17,Paramètres!$A$1:$I$89,5,0)</f>
        <v>13.279518719999999</v>
      </c>
      <c r="GB11" s="14">
        <f t="shared" si="49"/>
        <v>4.5289338409012743</v>
      </c>
      <c r="GC11" s="22">
        <f t="shared" si="25"/>
        <v>31.016388210236382</v>
      </c>
      <c r="GD11" s="60">
        <f t="shared" si="26"/>
        <v>297.46083265468081</v>
      </c>
      <c r="GE11" s="60">
        <f ca="1">AVERAGE(OFFSET($GD$3,0,0,'Données projet'!$E$17+1,1))-AVERAGE(OFFSET($H$3,0,0,'Données projet'!$E$17+1,1))</f>
        <v>268.19959446602911</v>
      </c>
      <c r="GF11" s="60">
        <f t="shared" si="50"/>
        <v>691.2533336811855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2.6666666666666665</v>
      </c>
      <c r="GU11" s="13">
        <f>IF('Données projet'!$A$270&gt;35,GU10+GT11-HC10,IF(A11&lt;'Données projet'!$A$270,$GR$205^A11,IF(A11='Données projet'!$A$270,'Données projet'!$B$270,GU10+GT11-HC10)))</f>
        <v>7.1520739352994367</v>
      </c>
      <c r="GV11" s="18">
        <f>GU11*VLOOKUP('Données projet'!$B$18,Paramètres!$A$1:$I$89,3,0)*VLOOKUP('Données projet'!$B$18,Paramètres!$A$1:$I$89,5,0)</f>
        <v>5.5786176695335605</v>
      </c>
      <c r="GW11" s="14">
        <f t="shared" si="51"/>
        <v>2.1046649418345189</v>
      </c>
      <c r="GX11" s="22">
        <f t="shared" si="28"/>
        <v>13.381717214799407</v>
      </c>
      <c r="GY11" s="60">
        <f t="shared" si="29"/>
        <v>279.82616165924384</v>
      </c>
      <c r="GZ11" s="60">
        <f ca="1">AVERAGE(OFFSET($GY$3,0,0,'Données projet'!$E$18+1,1))-AVERAGE(OFFSET($H$3,0,0,'Données projet'!$E$18+1,1))</f>
        <v>292.57482726862594</v>
      </c>
      <c r="HA11" s="60">
        <f t="shared" si="52"/>
        <v>283.48738729114024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</v>
      </c>
      <c r="N12" s="14">
        <f>IF('Données projet'!$A$36&gt;35,N11+M12-V11,IF(A12&lt;'Données projet'!$A$36,$K$205^A12,IF(A12='Données projet'!$A$36,'Données projet'!$B$36,N11+M12-V11)))</f>
        <v>4.4794130829695789</v>
      </c>
      <c r="O12" s="14">
        <f>N12*VLOOKUP('Données projet'!$B$9,Paramètres!$A$1:$I$89,3,0)*VLOOKUP('Données projet'!$B$9,Paramètres!$A$1:$I$89,5,0)</f>
        <v>2.096365322829763</v>
      </c>
      <c r="P12" s="14">
        <f t="shared" si="33"/>
        <v>0.88633985278862137</v>
      </c>
      <c r="Q12" s="22">
        <f t="shared" si="2"/>
        <v>5.1948781808686864</v>
      </c>
      <c r="R12" s="60">
        <f t="shared" si="0"/>
        <v>272.86154484753536</v>
      </c>
      <c r="S12" s="60">
        <f ca="1">AVERAGE(OFFSET($R$3,0,0,'Données projet'!$E$9+1,1))-AVERAGE(OFFSET($H$3,0,0,'Données projet'!$E$9+1,1))</f>
        <v>399.92909819003523</v>
      </c>
      <c r="T12" s="60">
        <f t="shared" si="34"/>
        <v>163.7053537268381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4.55</v>
      </c>
      <c r="AI12" s="14">
        <f>IF('Données projet'!$A$62&gt;35,AI11+AH12-AQ11,IF(A12&lt;'Données projet'!$A$62,$AF$205^A12,IF(A12='Données projet'!$A$62,'Données projet'!$B$62,AI11+AH12-AQ11)))</f>
        <v>7.6132243249824851</v>
      </c>
      <c r="AJ12" s="14">
        <f>AI12*VLOOKUP('Données projet'!$B$10,Paramètres!$A$1:$I$89,3,0)*VLOOKUP('Données projet'!$B$10,Paramètres!$A$1:$I$89,5,0)</f>
        <v>4.5527081463395263</v>
      </c>
      <c r="AK12" s="14">
        <f t="shared" si="35"/>
        <v>1.758730395704539</v>
      </c>
      <c r="AL12" s="22">
        <f t="shared" si="4"/>
        <v>10.992422127393413</v>
      </c>
      <c r="AM12" s="60">
        <f t="shared" si="5"/>
        <v>278.6590887940601</v>
      </c>
      <c r="AN12" s="60">
        <f ca="1">AVERAGE(OFFSET($AM$3,0,0,'Données projet'!$E$10+1,1))-AVERAGE(OFFSET($H$3,0,0,'Données projet'!$E$10+1,1))</f>
        <v>455.43477166687273</v>
      </c>
      <c r="AO12" s="60">
        <f t="shared" si="36"/>
        <v>312.81310692672895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0">
        <f t="shared" si="8"/>
        <v>279.38615317116773</v>
      </c>
      <c r="BI12" s="60">
        <f ca="1">AVERAGE(OFFSET($BH$3,0,0,'Données projet'!$E$11+1,1))-AVERAGE(OFFSET($H$3,0,0,'Données projet'!$E$11+1,1))</f>
        <v>430.11660085503223</v>
      </c>
      <c r="BJ12" s="60">
        <f t="shared" si="38"/>
        <v>231.36959598460686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5.4513006599100189</v>
      </c>
      <c r="CA12" s="14">
        <f t="shared" si="39"/>
        <v>2.062165822468125</v>
      </c>
      <c r="CB12" s="22">
        <f t="shared" si="10"/>
        <v>13.085954123475267</v>
      </c>
      <c r="CC12" s="60">
        <f t="shared" si="11"/>
        <v>280.75262079014198</v>
      </c>
      <c r="CD12" s="60">
        <f ca="1">AVERAGE(OFFSET($CC$3,0,0,'Données projet'!$E$12+1,1))-AVERAGE(OFFSET($H$3,0,0,'Données projet'!$E$12+1,1))</f>
        <v>476.8965664931755</v>
      </c>
      <c r="CE12" s="60">
        <f t="shared" si="40"/>
        <v>254.25036207346591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5.1997021679141717</v>
      </c>
      <c r="CV12" s="14">
        <f t="shared" si="41"/>
        <v>1.977837649208241</v>
      </c>
      <c r="CW12" s="22">
        <f t="shared" si="13"/>
        <v>12.500881848154869</v>
      </c>
      <c r="CX12" s="60">
        <f t="shared" si="14"/>
        <v>280.16754851482153</v>
      </c>
      <c r="CY12" s="60">
        <f ca="1">AVERAGE(OFFSET($CX$3,0,0,'Données projet'!$E$13+1,1))-AVERAGE(OFFSET($H$3,0,0,'Données projet'!$E$13+1,1))</f>
        <v>456.86147223520601</v>
      </c>
      <c r="CZ12" s="60">
        <f t="shared" si="42"/>
        <v>244.45149244446094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1.4957264957264955</v>
      </c>
      <c r="DO12" s="13">
        <f>IF('Données projet'!$A$166&gt;35,DO11+DN12-DW11,IF(A12&lt;'Données projet'!$A$166,$DL$205^A12,IF(A12='Données projet'!$A$166,'Données projet'!$B$166,DO11+DN12-DW11)))</f>
        <v>6.4649633559211388</v>
      </c>
      <c r="DP12" s="18">
        <f>DO12*VLOOKUP('Données projet'!$B$14,Paramètres!$A$1:$I$89,3,0)*VLOOKUP('Données projet'!$B$14,Paramètres!$A$1:$I$89,5,0)</f>
        <v>6.1520591294945559</v>
      </c>
      <c r="DQ12" s="14">
        <f t="shared" si="43"/>
        <v>2.2947246428617869</v>
      </c>
      <c r="DR12" s="22">
        <f t="shared" si="16"/>
        <v>14.711481736853962</v>
      </c>
      <c r="DS12" s="60">
        <f t="shared" si="17"/>
        <v>282.37814840352064</v>
      </c>
      <c r="DT12" s="60">
        <f ca="1">AVERAGE(OFFSET($DS$3,0,0,'Données projet'!$E$14+1,1))-AVERAGE(OFFSET($H$3,0,0,'Données projet'!$E$14+1,1))</f>
        <v>300.36889324671682</v>
      </c>
      <c r="DU12" s="60">
        <f t="shared" si="44"/>
        <v>214.36051699039683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</v>
      </c>
      <c r="EJ12" s="13">
        <f>IF('Données projet'!$A$192&gt;35,EJ11+EI12-ER11,IF(A12&lt;'Données projet'!$A$192,$EG$205^A12,IF(A12='Données projet'!$A$192,'Données projet'!$B$192,EJ11+EI12-ER11)))</f>
        <v>3.6717459735664435</v>
      </c>
      <c r="EK12" s="18">
        <f>EJ12*VLOOKUP('Données projet'!$B$15,Paramètres!$A$1:$I$89,3,0)*VLOOKUP('Données projet'!$B$15,Paramètres!$A$1:$I$89,5,0)</f>
        <v>3.2076372825076458</v>
      </c>
      <c r="EL12" s="14">
        <f t="shared" si="45"/>
        <v>1.290676355595167</v>
      </c>
      <c r="EM12" s="22">
        <f t="shared" si="19"/>
        <v>7.834562919695732</v>
      </c>
      <c r="EN12" s="60">
        <f t="shared" si="20"/>
        <v>275.5012295863624</v>
      </c>
      <c r="EO12" s="60">
        <f ca="1">AVERAGE(OFFSET($EN$3,0,0,'Données projet'!$E$15+1,1))-AVERAGE(OFFSET($H$3,0,0,'Données projet'!$E$15+1,1))</f>
        <v>202.46844517174412</v>
      </c>
      <c r="EP12" s="60">
        <f t="shared" si="46"/>
        <v>185.00219255324515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4.5726495726495724</v>
      </c>
      <c r="FE12" s="13">
        <f>IF('Données projet'!$A$218&gt;35,FE11+FD12-FM11,IF(A12&lt;'Données projet'!$A$218,$FB$205^A12,IF(A12='Données projet'!$A$218,'Données projet'!$B$218,FE11+FD12-FM11)))</f>
        <v>12.640245461091112</v>
      </c>
      <c r="FF12" s="18">
        <f>FE12*VLOOKUP('Données projet'!$B$16,Paramètres!$A$1:$I$89,3,0)*VLOOKUP('Données projet'!$B$16,Paramètres!$A$1:$I$89,5,0)</f>
        <v>8.4790766552999184</v>
      </c>
      <c r="FG12" s="14">
        <f t="shared" si="47"/>
        <v>3.0467783005124387</v>
      </c>
      <c r="FH12" s="22">
        <f t="shared" si="22"/>
        <v>20.074197381373185</v>
      </c>
      <c r="FI12" s="60">
        <f t="shared" si="23"/>
        <v>287.7408640480399</v>
      </c>
      <c r="FJ12" s="60">
        <f ca="1">AVERAGE(OFFSET($FI$3,0,0,'Données projet'!$E$16+1,1))-AVERAGE(OFFSET($H$3,0,0,'Données projet'!$E$16+1,1))</f>
        <v>344.87493856469382</v>
      </c>
      <c r="FK12" s="60">
        <f t="shared" si="48"/>
        <v>261.91036689641402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>
        <f>VLOOKUP(A12,'Données projet'!$A$243:$I$263,2,0)</f>
        <v>52.223999999999997</v>
      </c>
      <c r="FX12" s="13">
        <f>VLOOKUP(A12,'Données projet'!$A$243:$I$263,9,0)</f>
        <v>26.111999999999998</v>
      </c>
      <c r="FY12" s="13">
        <f t="array" ref="FY12">INDEX(FX:FX,MIN(IF(ISNUMBER(FX12:FX208),ROW(FX12:FX208),"")))</f>
        <v>26.111999999999998</v>
      </c>
      <c r="FZ12" s="13">
        <f>IF('Données projet'!$A$244&gt;35,FZ11+FY12-GH11,IF(A12&lt;'Données projet'!$A$244,$FW$205^A12,IF(A12='Données projet'!$A$244,'Données projet'!$B$244,FZ11+FY12-GH11)))</f>
        <v>52.223999999999997</v>
      </c>
      <c r="GA12" s="18">
        <f>FZ12*VLOOKUP('Données projet'!$B$17,Paramètres!$A$1:$I$89,3,0)*VLOOKUP('Données projet'!$B$17,Paramètres!$A$1:$I$89,5,0)</f>
        <v>26.559037439999997</v>
      </c>
      <c r="GB12" s="14">
        <f t="shared" si="49"/>
        <v>8.3557623723890426</v>
      </c>
      <c r="GC12" s="22">
        <f t="shared" si="25"/>
        <v>60.809943006577576</v>
      </c>
      <c r="GD12" s="60">
        <f t="shared" si="26"/>
        <v>328.47660967324424</v>
      </c>
      <c r="GE12" s="60">
        <f ca="1">AVERAGE(OFFSET($GD$3,0,0,'Données projet'!$E$17+1,1))-AVERAGE(OFFSET($H$3,0,0,'Données projet'!$E$17+1,1))</f>
        <v>268.19959446602911</v>
      </c>
      <c r="GF12" s="60">
        <f t="shared" si="50"/>
        <v>691.2533336811855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2.6666666666666665</v>
      </c>
      <c r="GU12" s="13">
        <f>IF('Données projet'!$A$270&gt;35,GU11+GT12-HC11,IF(A12&lt;'Données projet'!$A$270,$GR$205^A12,IF(A12='Données projet'!$A$270,'Données projet'!$B$270,GU11+GT12-HC11)))</f>
        <v>9.1461010385465205</v>
      </c>
      <c r="GV12" s="18">
        <f>GU12*VLOOKUP('Données projet'!$B$18,Paramètres!$A$1:$I$89,3,0)*VLOOKUP('Données projet'!$B$18,Paramètres!$A$1:$I$89,5,0)</f>
        <v>7.1339588100662858</v>
      </c>
      <c r="GW12" s="14">
        <f t="shared" si="51"/>
        <v>2.6155015444227643</v>
      </c>
      <c r="GX12" s="22">
        <f t="shared" si="28"/>
        <v>16.980310117401761</v>
      </c>
      <c r="GY12" s="60">
        <f t="shared" si="29"/>
        <v>284.64697678406844</v>
      </c>
      <c r="GZ12" s="60">
        <f ca="1">AVERAGE(OFFSET($GY$3,0,0,'Données projet'!$E$18+1,1))-AVERAGE(OFFSET($H$3,0,0,'Données projet'!$E$18+1,1))</f>
        <v>292.57482726862594</v>
      </c>
      <c r="HA12" s="60">
        <f t="shared" si="52"/>
        <v>283.48738729114024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</v>
      </c>
      <c r="N13" s="14">
        <f>IF('Données projet'!$A$36&gt;35,N12+M13-V12,IF(A13&lt;'Données projet'!$A$36,$K$205^A13,IF(A13='Données projet'!$A$36,'Données projet'!$B$36,N12+M13-V12)))</f>
        <v>5.291502622129185</v>
      </c>
      <c r="O13" s="14">
        <f>N13*VLOOKUP('Données projet'!$B$9,Paramètres!$A$1:$I$89,3,0)*VLOOKUP('Données projet'!$B$9,Paramètres!$A$1:$I$89,5,0)</f>
        <v>2.4764232271564586</v>
      </c>
      <c r="P13" s="14">
        <f t="shared" si="33"/>
        <v>1.026917887868104</v>
      </c>
      <c r="Q13" s="22">
        <f t="shared" si="2"/>
        <v>6.1016524420011136</v>
      </c>
      <c r="R13" s="60">
        <f t="shared" si="0"/>
        <v>274.99054133088998</v>
      </c>
      <c r="S13" s="60">
        <f ca="1">AVERAGE(OFFSET($R$3,0,0,'Données projet'!$E$9+1,1))-AVERAGE(OFFSET($H$3,0,0,'Données projet'!$E$9+1,1))</f>
        <v>399.92909819003523</v>
      </c>
      <c r="T13" s="60">
        <f t="shared" si="34"/>
        <v>163.7053537268381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4.55</v>
      </c>
      <c r="AI13" s="14">
        <f>IF('Données projet'!$A$62&gt;35,AI12+AH13-AQ12,IF(A13&lt;'Données projet'!$A$62,$AF$205^A13,IF(A13='Données projet'!$A$62,'Données projet'!$B$62,AI12+AH13-AQ12)))</f>
        <v>9.5393920141694579</v>
      </c>
      <c r="AJ13" s="14">
        <f>AI13*VLOOKUP('Données projet'!$B$10,Paramètres!$A$1:$I$89,3,0)*VLOOKUP('Données projet'!$B$10,Paramètres!$A$1:$I$89,5,0)</f>
        <v>5.7045564244733367</v>
      </c>
      <c r="AK13" s="14">
        <f t="shared" si="35"/>
        <v>2.1465930463066791</v>
      </c>
      <c r="AL13" s="22">
        <f t="shared" si="4"/>
        <v>13.674085328275192</v>
      </c>
      <c r="AM13" s="60">
        <f t="shared" si="5"/>
        <v>282.56297421716403</v>
      </c>
      <c r="AN13" s="60">
        <f ca="1">AVERAGE(OFFSET($AM$3,0,0,'Données projet'!$E$10+1,1))-AVERAGE(OFFSET($H$3,0,0,'Données projet'!$E$10+1,1))</f>
        <v>455.43477166687273</v>
      </c>
      <c r="AO13" s="60">
        <f t="shared" si="36"/>
        <v>312.81310692672895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0">
        <f t="shared" si="8"/>
        <v>282.93233218914207</v>
      </c>
      <c r="BI13" s="60">
        <f ca="1">AVERAGE(OFFSET($BH$3,0,0,'Données projet'!$E$11+1,1))-AVERAGE(OFFSET($H$3,0,0,'Données projet'!$E$11+1,1))</f>
        <v>430.11660085503223</v>
      </c>
      <c r="BJ13" s="60">
        <f t="shared" si="38"/>
        <v>231.36959598460686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6.5714710681855761</v>
      </c>
      <c r="CA13" s="14">
        <f t="shared" si="39"/>
        <v>2.4324209676242781</v>
      </c>
      <c r="CB13" s="22">
        <f t="shared" si="10"/>
        <v>15.681778629035497</v>
      </c>
      <c r="CC13" s="60">
        <f t="shared" si="11"/>
        <v>284.57066751792433</v>
      </c>
      <c r="CD13" s="60">
        <f ca="1">AVERAGE(OFFSET($CC$3,0,0,'Données projet'!$E$12+1,1))-AVERAGE(OFFSET($H$3,0,0,'Données projet'!$E$12+1,1))</f>
        <v>476.8965664931755</v>
      </c>
      <c r="CE13" s="60">
        <f t="shared" si="40"/>
        <v>254.25036207346591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6.2681724035000874</v>
      </c>
      <c r="CV13" s="14">
        <f t="shared" si="41"/>
        <v>2.3329519459947301</v>
      </c>
      <c r="CW13" s="22">
        <f t="shared" si="13"/>
        <v>14.98029157537014</v>
      </c>
      <c r="CX13" s="60">
        <f t="shared" si="14"/>
        <v>283.86918046425899</v>
      </c>
      <c r="CY13" s="60">
        <f ca="1">AVERAGE(OFFSET($CX$3,0,0,'Données projet'!$E$13+1,1))-AVERAGE(OFFSET($H$3,0,0,'Données projet'!$E$13+1,1))</f>
        <v>456.86147223520601</v>
      </c>
      <c r="CZ13" s="60">
        <f t="shared" si="42"/>
        <v>244.45149244446094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1.4957264957264955</v>
      </c>
      <c r="DO13" s="13">
        <f>IF('Données projet'!$A$166&gt;35,DO12+DN13-DW12,IF(A13&lt;'Données projet'!$A$166,$DL$205^A13,IF(A13='Données projet'!$A$166,'Données projet'!$B$166,DO12+DN13-DW12)))</f>
        <v>7.9547944854596055</v>
      </c>
      <c r="DP13" s="18">
        <f>DO13*VLOOKUP('Données projet'!$B$14,Paramètres!$A$1:$I$89,3,0)*VLOOKUP('Données projet'!$B$14,Paramètres!$A$1:$I$89,5,0)</f>
        <v>7.5697824323633602</v>
      </c>
      <c r="DQ13" s="14">
        <f t="shared" si="43"/>
        <v>2.7561963596937087</v>
      </c>
      <c r="DR13" s="22">
        <f t="shared" si="16"/>
        <v>17.984413062832726</v>
      </c>
      <c r="DS13" s="60">
        <f t="shared" si="17"/>
        <v>286.8733019517216</v>
      </c>
      <c r="DT13" s="60">
        <f ca="1">AVERAGE(OFFSET($DS$3,0,0,'Données projet'!$E$14+1,1))-AVERAGE(OFFSET($H$3,0,0,'Données projet'!$E$14+1,1))</f>
        <v>300.36889324671682</v>
      </c>
      <c r="DU13" s="60">
        <f t="shared" si="44"/>
        <v>214.36051699039683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0.9</v>
      </c>
      <c r="EJ13" s="13">
        <f>IF('Données projet'!$A$192&gt;35,EJ12+EI13-ER12,IF(A13&lt;'Données projet'!$A$192,$EG$205^A13,IF(A13='Données projet'!$A$192,'Données projet'!$B$192,EJ12+EI13-ER12)))</f>
        <v>4.2426406871192865</v>
      </c>
      <c r="EK13" s="18">
        <f>EJ13*VLOOKUP('Données projet'!$B$15,Paramètres!$A$1:$I$89,3,0)*VLOOKUP('Données projet'!$B$15,Paramètres!$A$1:$I$89,5,0)</f>
        <v>3.7063709042674091</v>
      </c>
      <c r="EL13" s="14">
        <f t="shared" si="45"/>
        <v>1.4664771263922398</v>
      </c>
      <c r="EM13" s="22">
        <f t="shared" si="19"/>
        <v>9.0093769867322209</v>
      </c>
      <c r="EN13" s="60">
        <f t="shared" si="20"/>
        <v>277.89826587562106</v>
      </c>
      <c r="EO13" s="60">
        <f ca="1">AVERAGE(OFFSET($EN$3,0,0,'Données projet'!$E$15+1,1))-AVERAGE(OFFSET($H$3,0,0,'Données projet'!$E$15+1,1))</f>
        <v>202.46844517174412</v>
      </c>
      <c r="EP13" s="60">
        <f t="shared" si="46"/>
        <v>185.00219255324515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4.5726495726495724</v>
      </c>
      <c r="FE13" s="13">
        <f>IF('Données projet'!$A$218&gt;35,FE12+FD13-FM12,IF(A13&lt;'Données projet'!$A$218,$FB$205^A13,IF(A13='Données projet'!$A$218,'Données projet'!$B$218,FE12+FD13-FM12)))</f>
        <v>16.756093929632513</v>
      </c>
      <c r="FF13" s="18">
        <f>FE13*VLOOKUP('Données projet'!$B$16,Paramètres!$A$1:$I$89,3,0)*VLOOKUP('Données projet'!$B$16,Paramètres!$A$1:$I$89,5,0)</f>
        <v>11.23998780799749</v>
      </c>
      <c r="FG13" s="14">
        <f t="shared" si="47"/>
        <v>3.9084878049208474</v>
      </c>
      <c r="FH13" s="22">
        <f t="shared" si="22"/>
        <v>26.383595025832772</v>
      </c>
      <c r="FI13" s="60">
        <f t="shared" si="23"/>
        <v>295.27248391472165</v>
      </c>
      <c r="FJ13" s="60">
        <f ca="1">AVERAGE(OFFSET($FI$3,0,0,'Données projet'!$E$16+1,1))-AVERAGE(OFFSET($H$3,0,0,'Données projet'!$E$16+1,1))</f>
        <v>344.87493856469382</v>
      </c>
      <c r="FK13" s="60">
        <f t="shared" si="48"/>
        <v>261.91036689641402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86.169599999999988</v>
      </c>
      <c r="FX13" s="13">
        <f>VLOOKUP(A13,'Données projet'!$A$243:$I$263,9,0)</f>
        <v>33.945599999999992</v>
      </c>
      <c r="FY13" s="13">
        <f t="array" ref="FY13">INDEX(FX:FX,MIN(IF(ISNUMBER(FX13:FX209),ROW(FX13:FX209),"")))</f>
        <v>33.945599999999992</v>
      </c>
      <c r="FZ13" s="13">
        <f>IF('Données projet'!$A$244&gt;35,FZ12+FY13-GH12,IF(A13&lt;'Données projet'!$A$244,$FW$205^A13,IF(A13='Données projet'!$A$244,'Données projet'!$B$244,FZ12+FY13-GH12)))</f>
        <v>86.169599999999988</v>
      </c>
      <c r="GA13" s="18">
        <f>FZ13*VLOOKUP('Données projet'!$B$17,Paramètres!$A$1:$I$89,3,0)*VLOOKUP('Données projet'!$B$17,Paramètres!$A$1:$I$89,5,0)</f>
        <v>43.822411775999996</v>
      </c>
      <c r="GB13" s="14">
        <f t="shared" si="49"/>
        <v>13.00633374188895</v>
      </c>
      <c r="GC13" s="22">
        <f t="shared" si="25"/>
        <v>98.976731776989922</v>
      </c>
      <c r="GD13" s="60">
        <f t="shared" si="26"/>
        <v>367.86562066587879</v>
      </c>
      <c r="GE13" s="60">
        <f ca="1">AVERAGE(OFFSET($GD$3,0,0,'Données projet'!$E$17+1,1))-AVERAGE(OFFSET($H$3,0,0,'Données projet'!$E$17+1,1))</f>
        <v>268.19959446602911</v>
      </c>
      <c r="GF13" s="60">
        <f t="shared" si="50"/>
        <v>691.2533336811855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2.6666666666666665</v>
      </c>
      <c r="GU13" s="13">
        <f>IF('Données projet'!$A$270&gt;35,GU12+GT13-HC12,IF(A13&lt;'Données projet'!$A$270,$GR$205^A13,IF(A13='Données projet'!$A$270,'Données projet'!$B$270,GU12+GT13-HC12)))</f>
        <v>11.696070952851455</v>
      </c>
      <c r="GV13" s="18">
        <f>GU13*VLOOKUP('Données projet'!$B$18,Paramètres!$A$1:$I$89,3,0)*VLOOKUP('Données projet'!$B$18,Paramètres!$A$1:$I$89,5,0)</f>
        <v>9.1229353432241354</v>
      </c>
      <c r="GW13" s="14">
        <f t="shared" si="51"/>
        <v>3.2503265450485803</v>
      </c>
      <c r="GX13" s="22">
        <f t="shared" si="28"/>
        <v>21.550097788741649</v>
      </c>
      <c r="GY13" s="60">
        <f t="shared" si="29"/>
        <v>290.43898667763051</v>
      </c>
      <c r="GZ13" s="60">
        <f ca="1">AVERAGE(OFFSET($GY$3,0,0,'Données projet'!$E$18+1,1))-AVERAGE(OFFSET($H$3,0,0,'Données projet'!$E$18+1,1))</f>
        <v>292.57482726862594</v>
      </c>
      <c r="HA13" s="60">
        <f t="shared" si="52"/>
        <v>283.48738729114024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</v>
      </c>
      <c r="N14" s="14">
        <f>IF('Données projet'!$A$36&gt;35,N13+M14-V13,IF(A14&lt;'Données projet'!$A$36,$K$205^A14,IF(A14='Données projet'!$A$36,'Données projet'!$B$36,N13+M14-V13)))</f>
        <v>6.2508189089445931</v>
      </c>
      <c r="O14" s="14">
        <f>N14*VLOOKUP('Données projet'!$B$9,Paramètres!$A$1:$I$89,3,0)*VLOOKUP('Données projet'!$B$9,Paramètres!$A$1:$I$89,5,0)</f>
        <v>2.9253832493860692</v>
      </c>
      <c r="P14" s="14">
        <f t="shared" si="33"/>
        <v>1.1897923184945451</v>
      </c>
      <c r="Q14" s="22">
        <f t="shared" si="2"/>
        <v>7.1672641140587361</v>
      </c>
      <c r="R14" s="60">
        <f t="shared" si="0"/>
        <v>277.2783752251699</v>
      </c>
      <c r="S14" s="60">
        <f ca="1">AVERAGE(OFFSET($R$3,0,0,'Données projet'!$E$9+1,1))-AVERAGE(OFFSET($H$3,0,0,'Données projet'!$E$9+1,1))</f>
        <v>399.92909819003523</v>
      </c>
      <c r="T14" s="60">
        <f t="shared" si="34"/>
        <v>163.7053537268381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4.55</v>
      </c>
      <c r="AI14" s="14">
        <f>IF('Données projet'!$A$62&gt;35,AI13+AH14-AQ13,IF(A14&lt;'Données projet'!$A$62,$AF$205^A14,IF(A14='Données projet'!$A$62,'Données projet'!$B$62,AI13+AH14-AQ13)))</f>
        <v>11.952885678330434</v>
      </c>
      <c r="AJ14" s="14">
        <f>AI14*VLOOKUP('Données projet'!$B$10,Paramètres!$A$1:$I$89,3,0)*VLOOKUP('Données projet'!$B$10,Paramètres!$A$1:$I$89,5,0)</f>
        <v>7.147825635641599</v>
      </c>
      <c r="AK14" s="14">
        <f t="shared" si="35"/>
        <v>2.6199932165306663</v>
      </c>
      <c r="AL14" s="22">
        <f t="shared" si="4"/>
        <v>17.012284500866695</v>
      </c>
      <c r="AM14" s="60">
        <f t="shared" si="5"/>
        <v>287.12339561197786</v>
      </c>
      <c r="AN14" s="60">
        <f ca="1">AVERAGE(OFFSET($AM$3,0,0,'Données projet'!$E$10+1,1))-AVERAGE(OFFSET($H$3,0,0,'Données projet'!$E$10+1,1))</f>
        <v>455.43477166687273</v>
      </c>
      <c r="AO14" s="60">
        <f t="shared" si="36"/>
        <v>312.81310692672895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0">
        <f t="shared" si="8"/>
        <v>286.94092810276993</v>
      </c>
      <c r="BI14" s="60">
        <f ca="1">AVERAGE(OFFSET($BH$3,0,0,'Données projet'!$E$11+1,1))-AVERAGE(OFFSET($H$3,0,0,'Données projet'!$E$11+1,1))</f>
        <v>430.11660085503223</v>
      </c>
      <c r="BJ14" s="60">
        <f t="shared" si="38"/>
        <v>231.36959598460686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7.921821725516951</v>
      </c>
      <c r="CA14" s="14">
        <f t="shared" si="39"/>
        <v>2.869154216054651</v>
      </c>
      <c r="CB14" s="22">
        <f t="shared" si="10"/>
        <v>18.794283098237205</v>
      </c>
      <c r="CC14" s="60">
        <f t="shared" si="11"/>
        <v>288.90539420934834</v>
      </c>
      <c r="CD14" s="60">
        <f ca="1">AVERAGE(OFFSET($CC$3,0,0,'Données projet'!$E$12+1,1))-AVERAGE(OFFSET($H$3,0,0,'Données projet'!$E$12+1,1))</f>
        <v>476.8965664931755</v>
      </c>
      <c r="CE14" s="60">
        <f t="shared" si="40"/>
        <v>254.25036207346591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7.5561991843392455</v>
      </c>
      <c r="CV14" s="14">
        <f t="shared" si="41"/>
        <v>2.7518258561310041</v>
      </c>
      <c r="CW14" s="22">
        <f t="shared" si="13"/>
        <v>17.953143612152349</v>
      </c>
      <c r="CX14" s="60">
        <f t="shared" si="14"/>
        <v>288.0642547232635</v>
      </c>
      <c r="CY14" s="60">
        <f ca="1">AVERAGE(OFFSET($CX$3,0,0,'Données projet'!$E$13+1,1))-AVERAGE(OFFSET($H$3,0,0,'Données projet'!$E$13+1,1))</f>
        <v>456.86147223520601</v>
      </c>
      <c r="CZ14" s="60">
        <f t="shared" si="42"/>
        <v>244.45149244446094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1.4957264957264955</v>
      </c>
      <c r="DO14" s="13">
        <f>IF('Données projet'!$A$166&gt;35,DO13+DN14-DW13,IF(A14&lt;'Données projet'!$A$166,$DL$205^A14,IF(A14='Données projet'!$A$166,'Données projet'!$B$166,DO13+DN14-DW13)))</f>
        <v>9.7879526645642496</v>
      </c>
      <c r="DP14" s="18">
        <f>DO14*VLOOKUP('Données projet'!$B$14,Paramètres!$A$1:$I$89,3,0)*VLOOKUP('Données projet'!$B$14,Paramètres!$A$1:$I$89,5,0)</f>
        <v>9.3142157555993403</v>
      </c>
      <c r="DQ14" s="14">
        <f t="shared" si="43"/>
        <v>3.310470559864207</v>
      </c>
      <c r="DR14" s="22">
        <f t="shared" si="16"/>
        <v>21.987995332765678</v>
      </c>
      <c r="DS14" s="60">
        <f t="shared" si="17"/>
        <v>292.09910644387685</v>
      </c>
      <c r="DT14" s="60">
        <f ca="1">AVERAGE(OFFSET($DS$3,0,0,'Données projet'!$E$14+1,1))-AVERAGE(OFFSET($H$3,0,0,'Données projet'!$E$14+1,1))</f>
        <v>300.36889324671682</v>
      </c>
      <c r="DU14" s="60">
        <f t="shared" si="44"/>
        <v>214.36051699039683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0.9</v>
      </c>
      <c r="EJ14" s="13">
        <f>IF('Données projet'!$A$192&gt;35,EJ13+EI14-ER13,IF(A14&lt;'Données projet'!$A$192,$EG$205^A14,IF(A14='Données projet'!$A$192,'Données projet'!$B$192,EJ13+EI14-ER13)))</f>
        <v>4.9022999220494095</v>
      </c>
      <c r="EK14" s="18">
        <f>EJ14*VLOOKUP('Données projet'!$B$15,Paramètres!$A$1:$I$89,3,0)*VLOOKUP('Données projet'!$B$15,Paramètres!$A$1:$I$89,5,0)</f>
        <v>4.2826492119023651</v>
      </c>
      <c r="EL14" s="14">
        <f t="shared" si="45"/>
        <v>1.6662234129484463</v>
      </c>
      <c r="EM14" s="22">
        <f t="shared" si="19"/>
        <v>10.360953154948495</v>
      </c>
      <c r="EN14" s="60">
        <f t="shared" si="20"/>
        <v>280.47206426605965</v>
      </c>
      <c r="EO14" s="60">
        <f ca="1">AVERAGE(OFFSET($EN$3,0,0,'Données projet'!$E$15+1,1))-AVERAGE(OFFSET($H$3,0,0,'Données projet'!$E$15+1,1))</f>
        <v>202.46844517174412</v>
      </c>
      <c r="EP14" s="60">
        <f t="shared" si="46"/>
        <v>185.00219255324515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4.5726495726495724</v>
      </c>
      <c r="FE14" s="13">
        <f>IF('Données projet'!$A$218&gt;35,FE13+FD14-FM13,IF(A14&lt;'Données projet'!$A$218,$FB$205^A14,IF(A14='Données projet'!$A$218,'Données projet'!$B$218,FE13+FD14-FM13)))</f>
        <v>22.212122750536498</v>
      </c>
      <c r="FF14" s="18">
        <f>FE14*VLOOKUP('Données projet'!$B$16,Paramètres!$A$1:$I$89,3,0)*VLOOKUP('Données projet'!$B$16,Paramètres!$A$1:$I$89,5,0)</f>
        <v>14.899891941059883</v>
      </c>
      <c r="FG14" s="14">
        <f t="shared" si="47"/>
        <v>5.0139115532776586</v>
      </c>
      <c r="FH14" s="22">
        <f t="shared" si="22"/>
        <v>34.683207752637891</v>
      </c>
      <c r="FI14" s="60">
        <f t="shared" si="23"/>
        <v>304.79431886374903</v>
      </c>
      <c r="FJ14" s="60">
        <f ca="1">AVERAGE(OFFSET($FI$3,0,0,'Données projet'!$E$16+1,1))-AVERAGE(OFFSET($H$3,0,0,'Données projet'!$E$16+1,1))</f>
        <v>344.87493856469382</v>
      </c>
      <c r="FK14" s="60">
        <f t="shared" si="48"/>
        <v>261.91036689641402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>
        <f>VLOOKUP(A14,'Données projet'!$A$243:$I$263,2,0)</f>
        <v>120.11520000000002</v>
      </c>
      <c r="FX14" s="13">
        <f>VLOOKUP(A14,'Données projet'!$A$243:$I$263,9,0)</f>
        <v>33.945600000000027</v>
      </c>
      <c r="FY14" s="13">
        <f t="array" ref="FY14">INDEX(FX:FX,MIN(IF(ISNUMBER(FX14:FX210),ROW(FX14:FX210),"")))</f>
        <v>33.945600000000027</v>
      </c>
      <c r="FZ14" s="13">
        <f>IF('Données projet'!$A$244&gt;35,FZ13+FY14-GH13,IF(A14&lt;'Données projet'!$A$244,$FW$205^A14,IF(A14='Données projet'!$A$244,'Données projet'!$B$244,FZ13+FY14-GH13)))</f>
        <v>120.11520000000002</v>
      </c>
      <c r="GA14" s="18">
        <f>FZ14*VLOOKUP('Données projet'!$B$17,Paramètres!$A$1:$I$89,3,0)*VLOOKUP('Données projet'!$B$17,Paramètres!$A$1:$I$89,5,0)</f>
        <v>61.085786112000008</v>
      </c>
      <c r="GB14" s="14">
        <f t="shared" si="49"/>
        <v>17.442502608039398</v>
      </c>
      <c r="GC14" s="22">
        <f t="shared" si="25"/>
        <v>136.7701028540686</v>
      </c>
      <c r="GD14" s="60">
        <f t="shared" si="26"/>
        <v>406.88121396517977</v>
      </c>
      <c r="GE14" s="60">
        <f ca="1">AVERAGE(OFFSET($GD$3,0,0,'Données projet'!$E$17+1,1))-AVERAGE(OFFSET($H$3,0,0,'Données projet'!$E$17+1,1))</f>
        <v>268.19959446602911</v>
      </c>
      <c r="GF14" s="60">
        <f t="shared" si="50"/>
        <v>691.2533336811855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2.6666666666666665</v>
      </c>
      <c r="GU14" s="13">
        <f>IF('Données projet'!$A$270&gt;35,GU13+GT14-HC13,IF(A14&lt;'Données projet'!$A$270,$GR$205^A14,IF(A14='Données projet'!$A$270,'Données projet'!$B$270,GU13+GT14-HC13)))</f>
        <v>14.956982779612416</v>
      </c>
      <c r="GV14" s="18">
        <f>GU14*VLOOKUP('Données projet'!$B$18,Paramètres!$A$1:$I$89,3,0)*VLOOKUP('Données projet'!$B$18,Paramètres!$A$1:$I$89,5,0)</f>
        <v>11.666446568097685</v>
      </c>
      <c r="GW14" s="14">
        <f t="shared" si="51"/>
        <v>4.0392339557111736</v>
      </c>
      <c r="GX14" s="22">
        <f t="shared" si="28"/>
        <v>27.354060245633761</v>
      </c>
      <c r="GY14" s="60">
        <f t="shared" si="29"/>
        <v>297.46517135674492</v>
      </c>
      <c r="GZ14" s="60">
        <f ca="1">AVERAGE(OFFSET($GY$3,0,0,'Données projet'!$E$18+1,1))-AVERAGE(OFFSET($H$3,0,0,'Données projet'!$E$18+1,1))</f>
        <v>292.57482726862594</v>
      </c>
      <c r="HA14" s="60">
        <f t="shared" si="52"/>
        <v>283.48738729114024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</v>
      </c>
      <c r="N15" s="14">
        <f>IF('Données projet'!$A$36&gt;35,N14+M15-V14,IF(A15&lt;'Données projet'!$A$36,$K$205^A15,IF(A15='Données projet'!$A$36,'Données projet'!$B$36,N14+M15-V14)))</f>
        <v>7.3840532307432287</v>
      </c>
      <c r="O15" s="14">
        <f>N15*VLOOKUP('Données projet'!$B$9,Paramètres!$A$1:$I$89,3,0)*VLOOKUP('Données projet'!$B$9,Paramètres!$A$1:$I$89,5,0)</f>
        <v>3.455736911987831</v>
      </c>
      <c r="P15" s="14">
        <f t="shared" si="33"/>
        <v>1.3784994670678521</v>
      </c>
      <c r="Q15" s="22">
        <f t="shared" si="2"/>
        <v>8.4196283601886481</v>
      </c>
      <c r="R15" s="60">
        <f t="shared" si="0"/>
        <v>279.75296169352197</v>
      </c>
      <c r="S15" s="60">
        <f ca="1">AVERAGE(OFFSET($R$3,0,0,'Données projet'!$E$9+1,1))-AVERAGE(OFFSET($H$3,0,0,'Données projet'!$E$9+1,1))</f>
        <v>399.92909819003523</v>
      </c>
      <c r="T15" s="60">
        <f t="shared" si="34"/>
        <v>163.7053537268381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4.55</v>
      </c>
      <c r="AI15" s="14">
        <f>IF('Données projet'!$A$62&gt;35,AI14+AH15-AQ14,IF(A15&lt;'Données projet'!$A$62,$AF$205^A15,IF(A15='Données projet'!$A$62,'Données projet'!$B$62,AI14+AH15-AQ14)))</f>
        <v>14.97700019320108</v>
      </c>
      <c r="AJ15" s="14">
        <f>AI15*VLOOKUP('Données projet'!$B$10,Paramètres!$A$1:$I$89,3,0)*VLOOKUP('Données projet'!$B$10,Paramètres!$A$1:$I$89,5,0)</f>
        <v>8.9562461155342472</v>
      </c>
      <c r="AK15" s="14">
        <f t="shared" si="35"/>
        <v>3.1977949739831653</v>
      </c>
      <c r="AL15" s="22">
        <f t="shared" si="4"/>
        <v>21.168288230909493</v>
      </c>
      <c r="AM15" s="60">
        <f t="shared" si="5"/>
        <v>292.50162156424278</v>
      </c>
      <c r="AN15" s="60">
        <f ca="1">AVERAGE(OFFSET($AM$3,0,0,'Données projet'!$E$10+1,1))-AVERAGE(OFFSET($H$3,0,0,'Données projet'!$E$10+1,1))</f>
        <v>455.43477166687273</v>
      </c>
      <c r="AO15" s="60">
        <f t="shared" si="36"/>
        <v>312.81310692672895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0">
        <f t="shared" si="8"/>
        <v>291.50424573777804</v>
      </c>
      <c r="BI15" s="60">
        <f ca="1">AVERAGE(OFFSET($BH$3,0,0,'Données projet'!$E$11+1,1))-AVERAGE(OFFSET($H$3,0,0,'Données projet'!$E$11+1,1))</f>
        <v>430.11660085503223</v>
      </c>
      <c r="BJ15" s="60">
        <f t="shared" si="38"/>
        <v>231.36959598460686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9.5496516380767513</v>
      </c>
      <c r="CA15" s="14">
        <f t="shared" si="39"/>
        <v>3.3843014943027487</v>
      </c>
      <c r="CB15" s="22">
        <f t="shared" si="10"/>
        <v>22.526635038894295</v>
      </c>
      <c r="CC15" s="60">
        <f t="shared" si="11"/>
        <v>293.85996837222763</v>
      </c>
      <c r="CD15" s="60">
        <f ca="1">AVERAGE(OFFSET($CC$3,0,0,'Données projet'!$E$12+1,1))-AVERAGE(OFFSET($H$3,0,0,'Données projet'!$E$12+1,1))</f>
        <v>476.8965664931755</v>
      </c>
      <c r="CE15" s="60">
        <f t="shared" si="40"/>
        <v>254.25036207346591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9.1088984855501316</v>
      </c>
      <c r="CV15" s="14">
        <f t="shared" si="41"/>
        <v>3.2459072101643005</v>
      </c>
      <c r="CW15" s="22">
        <f t="shared" si="13"/>
        <v>21.517953253369303</v>
      </c>
      <c r="CX15" s="60">
        <f t="shared" si="14"/>
        <v>292.8512865867026</v>
      </c>
      <c r="CY15" s="60">
        <f ca="1">AVERAGE(OFFSET($CX$3,0,0,'Données projet'!$E$13+1,1))-AVERAGE(OFFSET($H$3,0,0,'Données projet'!$E$13+1,1))</f>
        <v>456.86147223520601</v>
      </c>
      <c r="CZ15" s="60">
        <f t="shared" si="42"/>
        <v>244.45149244446094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1.4957264957264955</v>
      </c>
      <c r="DO15" s="13">
        <f>IF('Données projet'!$A$166&gt;35,DO14+DN15-DW14,IF(A15&lt;'Données projet'!$A$166,$DL$205^A15,IF(A15='Données projet'!$A$166,'Données projet'!$B$166,DO14+DN15-DW14)))</f>
        <v>12.043556566906721</v>
      </c>
      <c r="DP15" s="18">
        <f>DO15*VLOOKUP('Données projet'!$B$14,Paramètres!$A$1:$I$89,3,0)*VLOOKUP('Données projet'!$B$14,Paramètres!$A$1:$I$89,5,0)</f>
        <v>11.460648429068435</v>
      </c>
      <c r="DQ15" s="14">
        <f t="shared" si="43"/>
        <v>3.976209927563187</v>
      </c>
      <c r="DR15" s="22">
        <f t="shared" si="16"/>
        <v>26.885861637800076</v>
      </c>
      <c r="DS15" s="60">
        <f t="shared" si="17"/>
        <v>298.21919497113339</v>
      </c>
      <c r="DT15" s="60">
        <f ca="1">AVERAGE(OFFSET($DS$3,0,0,'Données projet'!$E$14+1,1))-AVERAGE(OFFSET($H$3,0,0,'Données projet'!$E$14+1,1))</f>
        <v>300.36889324671682</v>
      </c>
      <c r="DU15" s="60">
        <f t="shared" si="44"/>
        <v>214.36051699039683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0.9</v>
      </c>
      <c r="EJ15" s="13">
        <f>IF('Données projet'!$A$192&gt;35,EJ14+EI15-ER14,IF(A15&lt;'Données projet'!$A$192,$EG$205^A15,IF(A15='Données projet'!$A$192,'Données projet'!$B$192,EJ14+EI15-ER14)))</f>
        <v>5.6645250677694134</v>
      </c>
      <c r="EK15" s="18">
        <f>EJ15*VLOOKUP('Données projet'!$B$15,Paramètres!$A$1:$I$89,3,0)*VLOOKUP('Données projet'!$B$15,Paramètres!$A$1:$I$89,5,0)</f>
        <v>4.9485290992033608</v>
      </c>
      <c r="EL15" s="14">
        <f t="shared" si="45"/>
        <v>1.8931767921179217</v>
      </c>
      <c r="EM15" s="22">
        <f t="shared" si="19"/>
        <v>11.915971094051232</v>
      </c>
      <c r="EN15" s="60">
        <f t="shared" si="20"/>
        <v>283.24930442738457</v>
      </c>
      <c r="EO15" s="60">
        <f ca="1">AVERAGE(OFFSET($EN$3,0,0,'Données projet'!$E$15+1,1))-AVERAGE(OFFSET($H$3,0,0,'Données projet'!$E$15+1,1))</f>
        <v>202.46844517174412</v>
      </c>
      <c r="EP15" s="60">
        <f t="shared" si="46"/>
        <v>185.00219255324515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4.5726495726495724</v>
      </c>
      <c r="FE15" s="13">
        <f>IF('Données projet'!$A$218&gt;35,FE14+FD15-FM14,IF(A15&lt;'Données projet'!$A$218,$FB$205^A15,IF(A15='Données projet'!$A$218,'Données projet'!$B$218,FE14+FD15-FM14)))</f>
        <v>29.444714213041035</v>
      </c>
      <c r="FF15" s="18">
        <f>FE15*VLOOKUP('Données projet'!$B$16,Paramètres!$A$1:$I$89,3,0)*VLOOKUP('Données projet'!$B$16,Paramètres!$A$1:$I$89,5,0)</f>
        <v>19.751514294107924</v>
      </c>
      <c r="FG15" s="14">
        <f t="shared" si="47"/>
        <v>6.4319783811121019</v>
      </c>
      <c r="FH15" s="22">
        <f t="shared" si="22"/>
        <v>45.602916409341539</v>
      </c>
      <c r="FI15" s="60">
        <f t="shared" si="23"/>
        <v>316.93624974267487</v>
      </c>
      <c r="FJ15" s="60">
        <f ca="1">AVERAGE(OFFSET($FI$3,0,0,'Données projet'!$E$16+1,1))-AVERAGE(OFFSET($H$3,0,0,'Données projet'!$E$16+1,1))</f>
        <v>344.87493856469382</v>
      </c>
      <c r="FK15" s="60">
        <f t="shared" si="48"/>
        <v>261.91036689641402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>
        <f>VLOOKUP(A15,'Données projet'!$A$243:$I$263,2,0)</f>
        <v>159.28319999999999</v>
      </c>
      <c r="FX15" s="13">
        <f>VLOOKUP(A15,'Données projet'!$A$243:$I$263,9,0)</f>
        <v>39.167999999999978</v>
      </c>
      <c r="FY15" s="13">
        <f t="array" ref="FY15">INDEX(FX:FX,MIN(IF(ISNUMBER(FX15:FX211),ROW(FX15:FX211),"")))</f>
        <v>39.167999999999978</v>
      </c>
      <c r="FZ15" s="13">
        <f>IF('Données projet'!$A$244&gt;35,FZ14+FY15-GH14,IF(A15&lt;'Données projet'!$A$244,$FW$205^A15,IF(A15='Données projet'!$A$244,'Données projet'!$B$244,FZ14+FY15-GH14)))</f>
        <v>159.28319999999999</v>
      </c>
      <c r="GA15" s="18">
        <f>FZ15*VLOOKUP('Données projet'!$B$17,Paramètres!$A$1:$I$89,3,0)*VLOOKUP('Données projet'!$B$17,Paramètres!$A$1:$I$89,5,0)</f>
        <v>81.005064192000006</v>
      </c>
      <c r="GB15" s="14">
        <f t="shared" si="49"/>
        <v>22.382748699448545</v>
      </c>
      <c r="GC15" s="22">
        <f t="shared" si="25"/>
        <v>180.06710745260622</v>
      </c>
      <c r="GD15" s="60">
        <f t="shared" si="26"/>
        <v>451.40044078593951</v>
      </c>
      <c r="GE15" s="60">
        <f ca="1">AVERAGE(OFFSET($GD$3,0,0,'Données projet'!$E$17+1,1))-AVERAGE(OFFSET($H$3,0,0,'Données projet'!$E$17+1,1))</f>
        <v>268.19959446602911</v>
      </c>
      <c r="GF15" s="60">
        <f t="shared" si="50"/>
        <v>691.2533336811855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2.6666666666666665</v>
      </c>
      <c r="GU15" s="13">
        <f>IF('Données projet'!$A$270&gt;35,GU14+GT15-HC14,IF(A15&lt;'Données projet'!$A$270,$GR$205^A15,IF(A15='Données projet'!$A$270,'Données projet'!$B$270,GU14+GT15-HC14)))</f>
        <v>19.127049995800721</v>
      </c>
      <c r="GV15" s="18">
        <f>GU15*VLOOKUP('Données projet'!$B$18,Paramètres!$A$1:$I$89,3,0)*VLOOKUP('Données projet'!$B$18,Paramètres!$A$1:$I$89,5,0)</f>
        <v>14.919098996724562</v>
      </c>
      <c r="GW15" s="14">
        <f t="shared" si="51"/>
        <v>5.019622097301081</v>
      </c>
      <c r="GX15" s="22">
        <f t="shared" si="28"/>
        <v>34.726605905427995</v>
      </c>
      <c r="GY15" s="60">
        <f t="shared" si="29"/>
        <v>306.05993923876133</v>
      </c>
      <c r="GZ15" s="60">
        <f ca="1">AVERAGE(OFFSET($GY$3,0,0,'Données projet'!$E$18+1,1))-AVERAGE(OFFSET($H$3,0,0,'Données projet'!$E$18+1,1))</f>
        <v>292.57482726862594</v>
      </c>
      <c r="HA15" s="60">
        <f t="shared" si="52"/>
        <v>283.48738729114024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</v>
      </c>
      <c r="N16" s="14">
        <f>IF('Données projet'!$A$36&gt;35,N15+M16-V15,IF(A16&lt;'Données projet'!$A$36,$K$205^A16,IF(A16='Données projet'!$A$36,'Données projet'!$B$36,N15+M16-V15)))</f>
        <v>8.7227358380880595</v>
      </c>
      <c r="O16" s="14">
        <f>N16*VLOOKUP('Données projet'!$B$9,Paramètres!$A$1:$I$89,3,0)*VLOOKUP('Données projet'!$B$9,Paramètres!$A$1:$I$89,5,0)</f>
        <v>4.0822403722252121</v>
      </c>
      <c r="P16" s="14">
        <f t="shared" si="33"/>
        <v>1.5971365348120328</v>
      </c>
      <c r="Q16" s="22">
        <f t="shared" si="2"/>
        <v>9.891581446423201</v>
      </c>
      <c r="R16" s="60">
        <f t="shared" si="0"/>
        <v>282.44713700197872</v>
      </c>
      <c r="S16" s="60">
        <f ca="1">AVERAGE(OFFSET($R$3,0,0,'Données projet'!$E$9+1,1))-AVERAGE(OFFSET($H$3,0,0,'Données projet'!$E$9+1,1))</f>
        <v>399.92909819003523</v>
      </c>
      <c r="T16" s="60">
        <f t="shared" si="34"/>
        <v>163.7053537268381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4.55</v>
      </c>
      <c r="AI16" s="14">
        <f>IF('Données projet'!$A$62&gt;35,AI15+AH16-AQ15,IF(A16&lt;'Données projet'!$A$62,$AF$205^A16,IF(A16='Données projet'!$A$62,'Données projet'!$B$62,AI15+AH16-AQ15)))</f>
        <v>18.766224393311244</v>
      </c>
      <c r="AJ16" s="14">
        <f>AI16*VLOOKUP('Données projet'!$B$10,Paramètres!$A$1:$I$89,3,0)*VLOOKUP('Données projet'!$B$10,Paramètres!$A$1:$I$89,5,0)</f>
        <v>11.222202187200125</v>
      </c>
      <c r="AK16" s="14">
        <f t="shared" si="35"/>
        <v>3.903022584605345</v>
      </c>
      <c r="AL16" s="22">
        <f t="shared" si="4"/>
        <v>26.343099810894525</v>
      </c>
      <c r="AM16" s="60">
        <f t="shared" si="5"/>
        <v>298.89865536645004</v>
      </c>
      <c r="AN16" s="60">
        <f ca="1">AVERAGE(OFFSET($AM$3,0,0,'Données projet'!$E$10+1,1))-AVERAGE(OFFSET($H$3,0,0,'Données projet'!$E$10+1,1))</f>
        <v>455.43477166687273</v>
      </c>
      <c r="AO16" s="60">
        <f t="shared" si="36"/>
        <v>312.81310692672895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0">
        <f t="shared" si="8"/>
        <v>296.73306974060051</v>
      </c>
      <c r="BI16" s="60">
        <f ca="1">AVERAGE(OFFSET($BH$3,0,0,'Données projet'!$E$11+1,1))-AVERAGE(OFFSET($H$3,0,0,'Données projet'!$E$11+1,1))</f>
        <v>430.11660085503223</v>
      </c>
      <c r="BJ16" s="60">
        <f t="shared" si="38"/>
        <v>231.36959598460686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11.511979134151852</v>
      </c>
      <c r="CA16" s="14">
        <f t="shared" si="39"/>
        <v>3.9919417855793822</v>
      </c>
      <c r="CB16" s="22">
        <f t="shared" si="10"/>
        <v>27.002662268531896</v>
      </c>
      <c r="CC16" s="60">
        <f t="shared" si="11"/>
        <v>299.55821782408742</v>
      </c>
      <c r="CD16" s="60">
        <f ca="1">AVERAGE(OFFSET($CC$3,0,0,'Données projet'!$E$12+1,1))-AVERAGE(OFFSET($H$3,0,0,'Données projet'!$E$12+1,1))</f>
        <v>476.8965664931755</v>
      </c>
      <c r="CE16" s="60">
        <f t="shared" si="40"/>
        <v>254.25036207346591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10.98065702026792</v>
      </c>
      <c r="CV16" s="14">
        <f t="shared" si="41"/>
        <v>3.8286992592655618</v>
      </c>
      <c r="CW16" s="22">
        <f t="shared" si="13"/>
        <v>25.792962186854144</v>
      </c>
      <c r="CX16" s="60">
        <f t="shared" si="14"/>
        <v>298.34851774240968</v>
      </c>
      <c r="CY16" s="60">
        <f ca="1">AVERAGE(OFFSET($CX$3,0,0,'Données projet'!$E$13+1,1))-AVERAGE(OFFSET($H$3,0,0,'Données projet'!$E$13+1,1))</f>
        <v>456.86147223520601</v>
      </c>
      <c r="CZ16" s="60">
        <f t="shared" si="42"/>
        <v>244.45149244446094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1.4957264957264955</v>
      </c>
      <c r="DO16" s="13">
        <f>IF('Données projet'!$A$166&gt;35,DO15+DN16-DW15,IF(A16&lt;'Données projet'!$A$166,$DL$205^A16,IF(A16='Données projet'!$A$166,'Données projet'!$B$166,DO15+DN16-DW15)))</f>
        <v>14.81895752371207</v>
      </c>
      <c r="DP16" s="18">
        <f>DO16*VLOOKUP('Données projet'!$B$14,Paramètres!$A$1:$I$89,3,0)*VLOOKUP('Données projet'!$B$14,Paramètres!$A$1:$I$89,5,0)</f>
        <v>14.101719979564407</v>
      </c>
      <c r="DQ16" s="14">
        <f t="shared" si="43"/>
        <v>4.7758302338446281</v>
      </c>
      <c r="DR16" s="22">
        <f t="shared" si="16"/>
        <v>32.878399955020733</v>
      </c>
      <c r="DS16" s="60">
        <f t="shared" si="17"/>
        <v>305.43395551057625</v>
      </c>
      <c r="DT16" s="60">
        <f ca="1">AVERAGE(OFFSET($DS$3,0,0,'Données projet'!$E$14+1,1))-AVERAGE(OFFSET($H$3,0,0,'Données projet'!$E$14+1,1))</f>
        <v>300.36889324671682</v>
      </c>
      <c r="DU16" s="60">
        <f t="shared" si="44"/>
        <v>214.36051699039683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0.9</v>
      </c>
      <c r="EJ16" s="13">
        <f>IF('Données projet'!$A$192&gt;35,EJ15+EI16-ER15,IF(A16&lt;'Données projet'!$A$192,$EG$205^A16,IF(A16='Données projet'!$A$192,'Données projet'!$B$192,EJ15+EI16-ER15)))</f>
        <v>6.5452633975063188</v>
      </c>
      <c r="EK16" s="18">
        <f>EJ16*VLOOKUP('Données projet'!$B$15,Paramètres!$A$1:$I$89,3,0)*VLOOKUP('Données projet'!$B$15,Paramètres!$A$1:$I$89,5,0)</f>
        <v>5.717942104061521</v>
      </c>
      <c r="EL16" s="14">
        <f t="shared" si="45"/>
        <v>2.1510430944381391</v>
      </c>
      <c r="EM16" s="22">
        <f t="shared" si="19"/>
        <v>13.705149220720239</v>
      </c>
      <c r="EN16" s="60">
        <f t="shared" si="20"/>
        <v>286.26070477627576</v>
      </c>
      <c r="EO16" s="60">
        <f ca="1">AVERAGE(OFFSET($EN$3,0,0,'Données projet'!$E$15+1,1))-AVERAGE(OFFSET($H$3,0,0,'Données projet'!$E$15+1,1))</f>
        <v>202.46844517174412</v>
      </c>
      <c r="EP16" s="60">
        <f t="shared" si="46"/>
        <v>185.00219255324515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4.5726495726495724</v>
      </c>
      <c r="FE16" s="13">
        <f>IF('Données projet'!$A$218&gt;35,FE15+FD16-FM15,IF(A16&lt;'Données projet'!$A$218,$FB$205^A16,IF(A16='Données projet'!$A$218,'Données projet'!$B$218,FE15+FD16-FM15)))</f>
        <v>39.032343050900884</v>
      </c>
      <c r="FF16" s="18">
        <f>FE16*VLOOKUP('Données projet'!$B$16,Paramètres!$A$1:$I$89,3,0)*VLOOKUP('Données projet'!$B$16,Paramètres!$A$1:$I$89,5,0)</f>
        <v>26.182895718544316</v>
      </c>
      <c r="FG16" s="14">
        <f t="shared" si="47"/>
        <v>8.2511120221195604</v>
      </c>
      <c r="FH16" s="22">
        <f t="shared" si="22"/>
        <v>59.972563481656245</v>
      </c>
      <c r="FI16" s="60">
        <f t="shared" si="23"/>
        <v>332.52811903721181</v>
      </c>
      <c r="FJ16" s="60">
        <f ca="1">AVERAGE(OFFSET($FI$3,0,0,'Données projet'!$E$16+1,1))-AVERAGE(OFFSET($H$3,0,0,'Données projet'!$E$16+1,1))</f>
        <v>344.87493856469382</v>
      </c>
      <c r="FK16" s="60">
        <f t="shared" si="48"/>
        <v>261.91036689641402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>
        <f>VLOOKUP(A16,'Données projet'!$A$243:$I$263,2,0)</f>
        <v>201.06240000000003</v>
      </c>
      <c r="FX16" s="13">
        <f>VLOOKUP(A16,'Données projet'!$A$243:$I$263,9,0)</f>
        <v>41.779200000000031</v>
      </c>
      <c r="FY16" s="13">
        <f t="array" ref="FY16">INDEX(FX:FX,MIN(IF(ISNUMBER(FX16:FX212),ROW(FX16:FX212),"")))</f>
        <v>41.779200000000031</v>
      </c>
      <c r="FZ16" s="13">
        <f>IF('Données projet'!$A$244&gt;35,FZ15+FY16-GH15,IF(A16&lt;'Données projet'!$A$244,$FW$205^A16,IF(A16='Données projet'!$A$244,'Données projet'!$B$244,FZ15+FY16-GH15)))</f>
        <v>201.06240000000003</v>
      </c>
      <c r="GA16" s="18">
        <f>FZ16*VLOOKUP('Données projet'!$B$17,Paramètres!$A$1:$I$89,3,0)*VLOOKUP('Données projet'!$B$17,Paramètres!$A$1:$I$89,5,0)</f>
        <v>102.25229414400003</v>
      </c>
      <c r="GB16" s="14">
        <f t="shared" si="49"/>
        <v>27.497878030429394</v>
      </c>
      <c r="GC16" s="22">
        <f t="shared" si="25"/>
        <v>225.98154987046453</v>
      </c>
      <c r="GD16" s="60">
        <f t="shared" si="26"/>
        <v>498.53710542602005</v>
      </c>
      <c r="GE16" s="60">
        <f ca="1">AVERAGE(OFFSET($GD$3,0,0,'Données projet'!$E$17+1,1))-AVERAGE(OFFSET($H$3,0,0,'Données projet'!$E$17+1,1))</f>
        <v>268.19959446602911</v>
      </c>
      <c r="GF16" s="60">
        <f t="shared" si="50"/>
        <v>691.2533336811855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2.6666666666666665</v>
      </c>
      <c r="GU16" s="13">
        <f>IF('Données projet'!$A$270&gt;35,GU15+GT16-HC15,IF(A16&lt;'Données projet'!$A$270,$GR$205^A16,IF(A16='Données projet'!$A$270,'Données projet'!$B$270,GU15+GT16-HC15)))</f>
        <v>24.459748796430759</v>
      </c>
      <c r="GV16" s="18">
        <f>GU16*VLOOKUP('Données projet'!$B$18,Paramètres!$A$1:$I$89,3,0)*VLOOKUP('Données projet'!$B$18,Paramètres!$A$1:$I$89,5,0)</f>
        <v>19.078604061215994</v>
      </c>
      <c r="GW16" s="14">
        <f t="shared" si="51"/>
        <v>6.2379664748280286</v>
      </c>
      <c r="GX16" s="22">
        <f t="shared" si="28"/>
        <v>44.093027016943331</v>
      </c>
      <c r="GY16" s="60">
        <f t="shared" si="29"/>
        <v>316.64858257249887</v>
      </c>
      <c r="GZ16" s="60">
        <f ca="1">AVERAGE(OFFSET($GY$3,0,0,'Données projet'!$E$18+1,1))-AVERAGE(OFFSET($H$3,0,0,'Données projet'!$E$18+1,1))</f>
        <v>292.57482726862594</v>
      </c>
      <c r="HA16" s="60">
        <f t="shared" si="52"/>
        <v>283.48738729114024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</v>
      </c>
      <c r="N17" s="14">
        <f>IF('Données projet'!$A$36&gt;35,N16+M17-V16,IF(A17&lt;'Données projet'!$A$36,$K$205^A17,IF(A17='Données projet'!$A$36,'Données projet'!$B$36,N16+M17-V16)))</f>
        <v>10.304113218507704</v>
      </c>
      <c r="O17" s="14">
        <f>N17*VLOOKUP('Données projet'!$B$9,Paramètres!$A$1:$I$89,3,0)*VLOOKUP('Données projet'!$B$9,Paramètres!$A$1:$I$89,5,0)</f>
        <v>4.8223249862616049</v>
      </c>
      <c r="P17" s="14">
        <f t="shared" si="33"/>
        <v>1.8504505600260996</v>
      </c>
      <c r="Q17" s="22">
        <f t="shared" si="2"/>
        <v>11.621750743117751</v>
      </c>
      <c r="R17" s="60">
        <f t="shared" si="0"/>
        <v>285.3995285208955</v>
      </c>
      <c r="S17" s="60">
        <f ca="1">AVERAGE(OFFSET($R$3,0,0,'Données projet'!$E$9+1,1))-AVERAGE(OFFSET($H$3,0,0,'Données projet'!$E$9+1,1))</f>
        <v>399.92909819003523</v>
      </c>
      <c r="T17" s="60">
        <f t="shared" si="34"/>
        <v>163.7053537268381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4.55</v>
      </c>
      <c r="AI17" s="14">
        <f>IF('Données projet'!$A$62&gt;35,AI16+AH17-AQ16,IF(A17&lt;'Données projet'!$A$62,$AF$205^A17,IF(A17='Données projet'!$A$62,'Données projet'!$B$62,AI16+AH17-AQ16)))</f>
        <v>23.514133233434862</v>
      </c>
      <c r="AJ17" s="14">
        <f>AI17*VLOOKUP('Données projet'!$B$10,Paramètres!$A$1:$I$89,3,0)*VLOOKUP('Données projet'!$B$10,Paramètres!$A$1:$I$89,5,0)</f>
        <v>14.061451673594048</v>
      </c>
      <c r="AK17" s="14">
        <f t="shared" si="35"/>
        <v>4.7637779844792423</v>
      </c>
      <c r="AL17" s="22">
        <f t="shared" si="4"/>
        <v>32.787274987810981</v>
      </c>
      <c r="AM17" s="60">
        <f t="shared" si="5"/>
        <v>306.56505276558875</v>
      </c>
      <c r="AN17" s="60">
        <f ca="1">AVERAGE(OFFSET($AM$3,0,0,'Données projet'!$E$10+1,1))-AVERAGE(OFFSET($H$3,0,0,'Données projet'!$E$10+1,1))</f>
        <v>455.43477166687273</v>
      </c>
      <c r="AO17" s="60">
        <f t="shared" si="36"/>
        <v>312.81310692672895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0">
        <f t="shared" si="8"/>
        <v>302.76037439017989</v>
      </c>
      <c r="BI17" s="60">
        <f ca="1">AVERAGE(OFFSET($BH$3,0,0,'Données projet'!$E$11+1,1))-AVERAGE(OFFSET($H$3,0,0,'Données projet'!$E$11+1,1))</f>
        <v>430.11660085503223</v>
      </c>
      <c r="BJ17" s="60">
        <f t="shared" si="38"/>
        <v>231.36959598460686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13.877539056685173</v>
      </c>
      <c r="CA17" s="14">
        <f t="shared" si="39"/>
        <v>4.7086819085950955</v>
      </c>
      <c r="CB17" s="22">
        <f t="shared" si="10"/>
        <v>32.371001514529802</v>
      </c>
      <c r="CC17" s="60">
        <f t="shared" si="11"/>
        <v>306.14877929230755</v>
      </c>
      <c r="CD17" s="60">
        <f ca="1">AVERAGE(OFFSET($CC$3,0,0,'Données projet'!$E$12+1,1))-AVERAGE(OFFSET($H$3,0,0,'Données projet'!$E$12+1,1))</f>
        <v>476.8965664931755</v>
      </c>
      <c r="CE17" s="60">
        <f t="shared" si="40"/>
        <v>254.25036207346591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13.237037254068934</v>
      </c>
      <c r="CV17" s="14">
        <f t="shared" si="41"/>
        <v>4.5161297192961545</v>
      </c>
      <c r="CW17" s="22">
        <f t="shared" si="13"/>
        <v>30.920099145277529</v>
      </c>
      <c r="CX17" s="60">
        <f t="shared" si="14"/>
        <v>304.69787692305528</v>
      </c>
      <c r="CY17" s="60">
        <f ca="1">AVERAGE(OFFSET($CX$3,0,0,'Données projet'!$E$13+1,1))-AVERAGE(OFFSET($H$3,0,0,'Données projet'!$E$13+1,1))</f>
        <v>456.86147223520601</v>
      </c>
      <c r="CZ17" s="60">
        <f t="shared" si="42"/>
        <v>244.45149244446094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1.4957264957264955</v>
      </c>
      <c r="DO17" s="13">
        <f>IF('Données projet'!$A$166&gt;35,DO16+DN17-DW16,IF(A17&lt;'Données projet'!$A$166,$DL$205^A17,IF(A17='Données projet'!$A$166,'Données projet'!$B$166,DO16+DN17-DW16)))</f>
        <v>18.233941184201644</v>
      </c>
      <c r="DP17" s="18">
        <f>DO17*VLOOKUP('Données projet'!$B$14,Paramètres!$A$1:$I$89,3,0)*VLOOKUP('Données projet'!$B$14,Paramètres!$A$1:$I$89,5,0)</f>
        <v>17.351418430886284</v>
      </c>
      <c r="DQ17" s="14">
        <f t="shared" si="43"/>
        <v>5.7362550866328705</v>
      </c>
      <c r="DR17" s="22">
        <f t="shared" si="16"/>
        <v>40.211031376345858</v>
      </c>
      <c r="DS17" s="60">
        <f t="shared" si="17"/>
        <v>313.9888091541236</v>
      </c>
      <c r="DT17" s="60">
        <f ca="1">AVERAGE(OFFSET($DS$3,0,0,'Données projet'!$E$14+1,1))-AVERAGE(OFFSET($H$3,0,0,'Données projet'!$E$14+1,1))</f>
        <v>300.36889324671682</v>
      </c>
      <c r="DU17" s="60">
        <f t="shared" si="44"/>
        <v>214.36051699039683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0.9</v>
      </c>
      <c r="EJ17" s="13">
        <f>IF('Données projet'!$A$192&gt;35,EJ16+EI17-ER16,IF(A17&lt;'Données projet'!$A$192,$EG$205^A17,IF(A17='Données projet'!$A$192,'Données projet'!$B$192,EJ16+EI17-ER16)))</f>
        <v>7.5629417171254145</v>
      </c>
      <c r="EK17" s="18">
        <f>EJ17*VLOOKUP('Données projet'!$B$15,Paramètres!$A$1:$I$89,3,0)*VLOOKUP('Données projet'!$B$15,Paramètres!$A$1:$I$89,5,0)</f>
        <v>6.6069858840807631</v>
      </c>
      <c r="EL17" s="14">
        <f t="shared" si="45"/>
        <v>2.4440329151477385</v>
      </c>
      <c r="EM17" s="22">
        <f t="shared" si="19"/>
        <v>15.763857741989639</v>
      </c>
      <c r="EN17" s="60">
        <f t="shared" si="20"/>
        <v>289.5416355197674</v>
      </c>
      <c r="EO17" s="60">
        <f ca="1">AVERAGE(OFFSET($EN$3,0,0,'Données projet'!$E$15+1,1))-AVERAGE(OFFSET($H$3,0,0,'Données projet'!$E$15+1,1))</f>
        <v>202.46844517174412</v>
      </c>
      <c r="EP17" s="60">
        <f t="shared" si="46"/>
        <v>185.00219255324515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4.5726495726495724</v>
      </c>
      <c r="FE17" s="13">
        <f>IF('Données projet'!$A$218&gt;35,FE16+FD17-FM16,IF(A17&lt;'Données projet'!$A$218,$FB$205^A17,IF(A17='Données projet'!$A$218,'Données projet'!$B$218,FE16+FD17-FM16)))</f>
        <v>51.741843816858761</v>
      </c>
      <c r="FF17" s="18">
        <f>FE17*VLOOKUP('Données projet'!$B$16,Paramètres!$A$1:$I$89,3,0)*VLOOKUP('Données projet'!$B$16,Paramètres!$A$1:$I$89,5,0)</f>
        <v>34.708428832348858</v>
      </c>
      <c r="FG17" s="14">
        <f t="shared" si="47"/>
        <v>10.584744781090926</v>
      </c>
      <c r="FH17" s="22">
        <f t="shared" si="22"/>
        <v>78.885610710074289</v>
      </c>
      <c r="FI17" s="60">
        <f t="shared" si="23"/>
        <v>352.66338848785205</v>
      </c>
      <c r="FJ17" s="60">
        <f ca="1">AVERAGE(OFFSET($FI$3,0,0,'Données projet'!$E$16+1,1))-AVERAGE(OFFSET($H$3,0,0,'Données projet'!$E$16+1,1))</f>
        <v>344.87493856469382</v>
      </c>
      <c r="FK17" s="60">
        <f t="shared" si="48"/>
        <v>261.91036689641402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>
        <f>VLOOKUP(A17,'Données projet'!$A$243:$I$263,2,0)</f>
        <v>240.23040000000003</v>
      </c>
      <c r="FX17" s="13">
        <f>VLOOKUP(A17,'Données projet'!$A$243:$I$263,9,0)</f>
        <v>39.168000000000006</v>
      </c>
      <c r="FY17" s="13">
        <f t="array" ref="FY17">INDEX(FX:FX,MIN(IF(ISNUMBER(FX17:FX213),ROW(FX17:FX213),"")))</f>
        <v>39.168000000000006</v>
      </c>
      <c r="FZ17" s="13">
        <f>IF('Données projet'!$A$244&gt;35,FZ16+FY17-GH16,IF(A17&lt;'Données projet'!$A$244,$FW$205^A17,IF(A17='Données projet'!$A$244,'Données projet'!$B$244,FZ16+FY17-GH16)))</f>
        <v>240.23040000000003</v>
      </c>
      <c r="GA17" s="18">
        <f>FZ17*VLOOKUP('Données projet'!$B$17,Paramètres!$A$1:$I$89,3,0)*VLOOKUP('Données projet'!$B$17,Paramètres!$A$1:$I$89,5,0)</f>
        <v>122.17157222400002</v>
      </c>
      <c r="GB17" s="14">
        <f t="shared" si="49"/>
        <v>32.180952977566456</v>
      </c>
      <c r="GC17" s="22">
        <f t="shared" si="25"/>
        <v>268.83064805939489</v>
      </c>
      <c r="GD17" s="60">
        <f t="shared" si="26"/>
        <v>542.60842583717272</v>
      </c>
      <c r="GE17" s="60">
        <f ca="1">AVERAGE(OFFSET($GD$3,0,0,'Données projet'!$E$17+1,1))-AVERAGE(OFFSET($H$3,0,0,'Données projet'!$E$17+1,1))</f>
        <v>268.19959446602911</v>
      </c>
      <c r="GF17" s="60">
        <f t="shared" si="50"/>
        <v>691.2533336811855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2.6666666666666665</v>
      </c>
      <c r="GU17" s="13">
        <f>IF('Données projet'!$A$270&gt;35,GU16+GT17-HC16,IF(A17&lt;'Données projet'!$A$270,$GR$205^A17,IF(A17='Données projet'!$A$270,'Données projet'!$B$270,GU16+GT17-HC16)))</f>
        <v>31.279225563578599</v>
      </c>
      <c r="GV17" s="18">
        <f>GU17*VLOOKUP('Données projet'!$B$18,Paramètres!$A$1:$I$89,3,0)*VLOOKUP('Données projet'!$B$18,Paramètres!$A$1:$I$89,5,0)</f>
        <v>24.397795939591308</v>
      </c>
      <c r="GW17" s="14">
        <f t="shared" si="51"/>
        <v>7.75202295846145</v>
      </c>
      <c r="GX17" s="22">
        <f t="shared" si="28"/>
        <v>55.994267914108548</v>
      </c>
      <c r="GY17" s="60">
        <f t="shared" si="29"/>
        <v>329.77204569188632</v>
      </c>
      <c r="GZ17" s="60">
        <f ca="1">AVERAGE(OFFSET($GY$3,0,0,'Données projet'!$E$18+1,1))-AVERAGE(OFFSET($H$3,0,0,'Données projet'!$E$18+1,1))</f>
        <v>292.57482726862594</v>
      </c>
      <c r="HA17" s="60">
        <f t="shared" si="52"/>
        <v>283.48738729114024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1.4</v>
      </c>
      <c r="N18" s="14">
        <f>IF('Données projet'!$A$36&gt;35,N17+M18-V17,IF(A18&lt;'Données projet'!$A$36,$K$205^A18,IF(A18='Données projet'!$A$36,'Données projet'!$B$36,N17+M18-V17)))</f>
        <v>12.172184414459773</v>
      </c>
      <c r="O18" s="14">
        <f>N18*VLOOKUP('Données projet'!$B$9,Paramètres!$A$1:$I$89,3,0)*VLOOKUP('Données projet'!$B$9,Paramètres!$A$1:$I$89,5,0)</f>
        <v>5.6965823059671736</v>
      </c>
      <c r="P18" s="14">
        <f t="shared" si="33"/>
        <v>2.1439414855686696</v>
      </c>
      <c r="Q18" s="22">
        <f t="shared" si="2"/>
        <v>13.655578936924925</v>
      </c>
      <c r="R18" s="60">
        <f t="shared" si="0"/>
        <v>288.65557893692494</v>
      </c>
      <c r="S18" s="60">
        <f ca="1">AVERAGE(OFFSET($R$3,0,0,'Données projet'!$E$9+1,1))-AVERAGE(OFFSET($H$3,0,0,'Données projet'!$E$9+1,1))</f>
        <v>399.92909819003523</v>
      </c>
      <c r="T18" s="60">
        <f t="shared" si="34"/>
        <v>163.7053537268381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4.55</v>
      </c>
      <c r="AI18" s="14">
        <f>IF('Données projet'!$A$62&gt;35,AI17+AH18-AQ17,IF(A18&lt;'Données projet'!$A$62,$AF$205^A18,IF(A18='Données projet'!$A$62,'Données projet'!$B$62,AI17+AH18-AQ17)))</f>
        <v>29.463276689625356</v>
      </c>
      <c r="AJ18" s="14">
        <f>AI18*VLOOKUP('Données projet'!$B$10,Paramètres!$A$1:$I$89,3,0)*VLOOKUP('Données projet'!$B$10,Paramètres!$A$1:$I$89,5,0)</f>
        <v>17.619039460395964</v>
      </c>
      <c r="AK18" s="14">
        <f t="shared" si="35"/>
        <v>5.8143605868229411</v>
      </c>
      <c r="AL18" s="22">
        <f t="shared" si="4"/>
        <v>40.81317174890625</v>
      </c>
      <c r="AM18" s="60">
        <f t="shared" si="5"/>
        <v>315.81317174890626</v>
      </c>
      <c r="AN18" s="60">
        <f ca="1">AVERAGE(OFFSET($AM$3,0,0,'Données projet'!$E$10+1,1))-AVERAGE(OFFSET($H$3,0,0,'Données projet'!$E$10+1,1))</f>
        <v>455.43477166687273</v>
      </c>
      <c r="AO18" s="60">
        <f t="shared" si="36"/>
        <v>312.81310692672895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0">
        <f t="shared" si="8"/>
        <v>309.74578000827665</v>
      </c>
      <c r="BI18" s="60">
        <f ca="1">AVERAGE(OFFSET($BH$3,0,0,'Données projet'!$E$11+1,1))-AVERAGE(OFFSET($H$3,0,0,'Données projet'!$E$11+1,1))</f>
        <v>430.11660085503223</v>
      </c>
      <c r="BJ18" s="60">
        <f t="shared" si="38"/>
        <v>231.36959598460686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16.729190352551068</v>
      </c>
      <c r="CA18" s="14">
        <f t="shared" si="39"/>
        <v>5.5541103821765283</v>
      </c>
      <c r="CB18" s="22">
        <f t="shared" si="10"/>
        <v>38.810082112983899</v>
      </c>
      <c r="CC18" s="60">
        <f t="shared" si="11"/>
        <v>313.81008211298388</v>
      </c>
      <c r="CD18" s="60">
        <f ca="1">AVERAGE(OFFSET($CC$3,0,0,'Données projet'!$E$12+1,1))-AVERAGE(OFFSET($H$3,0,0,'Données projet'!$E$12+1,1))</f>
        <v>476.8965664931755</v>
      </c>
      <c r="CE18" s="60">
        <f t="shared" si="40"/>
        <v>254.25036207346591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15.957073874741019</v>
      </c>
      <c r="CV18" s="14">
        <f t="shared" si="41"/>
        <v>5.3269860755326848</v>
      </c>
      <c r="CW18" s="22">
        <f t="shared" si="13"/>
        <v>37.069737746726702</v>
      </c>
      <c r="CX18" s="60">
        <f t="shared" si="14"/>
        <v>312.06973774672667</v>
      </c>
      <c r="CY18" s="60">
        <f ca="1">AVERAGE(OFFSET($CX$3,0,0,'Données projet'!$E$13+1,1))-AVERAGE(OFFSET($H$3,0,0,'Données projet'!$E$13+1,1))</f>
        <v>456.86147223520601</v>
      </c>
      <c r="CZ18" s="60">
        <f t="shared" si="42"/>
        <v>244.45149244446094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22.435897435897434</v>
      </c>
      <c r="DM18" s="13">
        <f>VLOOKUP(A18,'Données projet'!$A$165:$I$185,9,0)</f>
        <v>1.4957264957264955</v>
      </c>
      <c r="DN18" s="13">
        <f t="array" ref="DN18">INDEX(DM:DM,MIN(IF(ISNUMBER(DM18:DM214),ROW(DM18:DM214),"")))</f>
        <v>1.4957264957264955</v>
      </c>
      <c r="DO18" s="13">
        <f>IF('Données projet'!$A$166&gt;35,DO17+DN18-DW17,IF(A18&lt;'Données projet'!$A$166,$DL$205^A18,IF(A18='Données projet'!$A$166,'Données projet'!$B$166,DO17+DN18-DW17)))</f>
        <v>22.435897435897434</v>
      </c>
      <c r="DP18" s="18">
        <f>DO18*VLOOKUP('Données projet'!$B$14,Paramètres!$A$1:$I$89,3,0)*VLOOKUP('Données projet'!$B$14,Paramètres!$A$1:$I$89,5,0)</f>
        <v>21.349999999999998</v>
      </c>
      <c r="DQ18" s="14">
        <f t="shared" si="43"/>
        <v>6.8898224618073698</v>
      </c>
      <c r="DR18" s="22">
        <f t="shared" si="16"/>
        <v>49.184357454314494</v>
      </c>
      <c r="DS18" s="60">
        <f t="shared" si="17"/>
        <v>324.18435745431452</v>
      </c>
      <c r="DT18" s="60">
        <f ca="1">AVERAGE(OFFSET($DS$3,0,0,'Données projet'!$E$14+1,1))-AVERAGE(OFFSET($H$3,0,0,'Données projet'!$E$14+1,1))</f>
        <v>300.36889324671682</v>
      </c>
      <c r="DU18" s="60">
        <f t="shared" si="44"/>
        <v>214.36051699039683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0.9</v>
      </c>
      <c r="EJ18" s="13">
        <f>IF('Données projet'!$A$192&gt;35,EJ17+EI18-ER17,IF(A18&lt;'Données projet'!$A$192,$EG$205^A18,IF(A18='Données projet'!$A$192,'Données projet'!$B$192,EJ17+EI18-ER17)))</f>
        <v>8.7388518907318247</v>
      </c>
      <c r="EK18" s="18">
        <f>EJ18*VLOOKUP('Données projet'!$B$15,Paramètres!$A$1:$I$89,3,0)*VLOOKUP('Données projet'!$B$15,Paramètres!$A$1:$I$89,5,0)</f>
        <v>7.6342610117433241</v>
      </c>
      <c r="EL18" s="14">
        <f t="shared" si="45"/>
        <v>2.7769303673043324</v>
      </c>
      <c r="EM18" s="22">
        <f t="shared" si="19"/>
        <v>18.132824985174668</v>
      </c>
      <c r="EN18" s="60">
        <f t="shared" si="20"/>
        <v>293.13282498517469</v>
      </c>
      <c r="EO18" s="60">
        <f ca="1">AVERAGE(OFFSET($EN$3,0,0,'Données projet'!$E$15+1,1))-AVERAGE(OFFSET($H$3,0,0,'Données projet'!$E$15+1,1))</f>
        <v>202.46844517174412</v>
      </c>
      <c r="EP18" s="60">
        <f t="shared" si="46"/>
        <v>185.00219255324515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68.589743589743591</v>
      </c>
      <c r="FC18" s="13">
        <f>VLOOKUP(A18,'Données projet'!$A$217:$I$237,9,0)</f>
        <v>4.5726495726495724</v>
      </c>
      <c r="FD18" s="13">
        <f t="array" ref="FD18">INDEX(FC:FC,MIN(IF(ISNUMBER(FC18:FC214),ROW(FC18:FC214),"")))</f>
        <v>4.5726495726495724</v>
      </c>
      <c r="FE18" s="13">
        <f>IF('Données projet'!$A$218&gt;35,FE17+FD18-FM17,IF(A18&lt;'Données projet'!$A$218,$FB$205^A18,IF(A18='Données projet'!$A$218,'Données projet'!$B$218,FE17+FD18-FM17)))</f>
        <v>68.589743589743591</v>
      </c>
      <c r="FF18" s="18">
        <f>FE18*VLOOKUP('Données projet'!$B$16,Paramètres!$A$1:$I$89,3,0)*VLOOKUP('Données projet'!$B$16,Paramètres!$A$1:$I$89,5,0)</f>
        <v>46.010000000000005</v>
      </c>
      <c r="FG18" s="14">
        <f t="shared" si="47"/>
        <v>13.578390619407827</v>
      </c>
      <c r="FH18" s="22">
        <f t="shared" si="22"/>
        <v>103.78311366213529</v>
      </c>
      <c r="FI18" s="60">
        <f t="shared" si="23"/>
        <v>378.78311366213529</v>
      </c>
      <c r="FJ18" s="60">
        <f ca="1">AVERAGE(OFFSET($FI$3,0,0,'Données projet'!$E$16+1,1))-AVERAGE(OFFSET($H$3,0,0,'Données projet'!$E$16+1,1))</f>
        <v>344.87493856469382</v>
      </c>
      <c r="FK18" s="60">
        <f t="shared" si="48"/>
        <v>261.91036689641402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282.00959999999998</v>
      </c>
      <c r="FX18" s="13">
        <f>VLOOKUP(A18,'Données projet'!$A$243:$I$263,9,0)</f>
        <v>41.779199999999946</v>
      </c>
      <c r="FY18" s="13">
        <f t="array" ref="FY18">INDEX(FX:FX,MIN(IF(ISNUMBER(FX18:FX214),ROW(FX18:FX214),"")))</f>
        <v>41.779199999999946</v>
      </c>
      <c r="FZ18" s="13">
        <f>IF('Données projet'!$A$244&gt;35,FZ17+FY18-GH17,IF(A18&lt;'Données projet'!$A$244,$FW$205^A18,IF(A18='Données projet'!$A$244,'Données projet'!$B$244,FZ17+FY18-GH17)))</f>
        <v>282.00959999999998</v>
      </c>
      <c r="GA18" s="18">
        <f>FZ18*VLOOKUP('Données projet'!$B$17,Paramètres!$A$1:$I$89,3,0)*VLOOKUP('Données projet'!$B$17,Paramètres!$A$1:$I$89,5,0)</f>
        <v>143.41880217599999</v>
      </c>
      <c r="GB18" s="14">
        <f t="shared" si="49"/>
        <v>37.079101933457103</v>
      </c>
      <c r="GC18" s="22">
        <f t="shared" si="25"/>
        <v>314.36718299063779</v>
      </c>
      <c r="GD18" s="60">
        <f t="shared" si="26"/>
        <v>589.36718299063773</v>
      </c>
      <c r="GE18" s="60">
        <f ca="1">AVERAGE(OFFSET($GD$3,0,0,'Données projet'!$E$17+1,1))-AVERAGE(OFFSET($H$3,0,0,'Données projet'!$E$17+1,1))</f>
        <v>268.19959446602911</v>
      </c>
      <c r="GF18" s="60">
        <f t="shared" si="50"/>
        <v>691.2533336811855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40</v>
      </c>
      <c r="GS18" s="13">
        <f>VLOOKUP(A18,'Données projet'!$A$269:$I$289,9,0)</f>
        <v>2.6666666666666665</v>
      </c>
      <c r="GT18" s="13">
        <f t="array" ref="GT18">INDEX(GS:GS,MIN(IF(ISNUMBER(GS18:GS214),ROW(GS18:GS214),"")))</f>
        <v>2.6666666666666665</v>
      </c>
      <c r="GU18" s="13">
        <f>IF('Données projet'!$A$270&gt;35,GU17+GT18-HC17,IF(A18&lt;'Données projet'!$A$270,$GR$205^A18,IF(A18='Données projet'!$A$270,'Données projet'!$B$270,GU17+GT18-HC17)))</f>
        <v>40</v>
      </c>
      <c r="GV18" s="18">
        <f>GU18*VLOOKUP('Données projet'!$B$18,Paramètres!$A$1:$I$89,3,0)*VLOOKUP('Données projet'!$B$18,Paramètres!$A$1:$I$89,5,0)</f>
        <v>31.200000000000003</v>
      </c>
      <c r="GW18" s="14">
        <f t="shared" si="51"/>
        <v>9.6335657126419925</v>
      </c>
      <c r="GX18" s="22">
        <f t="shared" si="28"/>
        <v>71.118460282851473</v>
      </c>
      <c r="GY18" s="60">
        <f t="shared" si="29"/>
        <v>346.11846028285146</v>
      </c>
      <c r="GZ18" s="60">
        <f ca="1">AVERAGE(OFFSET($GY$3,0,0,'Données projet'!$E$18+1,1))-AVERAGE(OFFSET($H$3,0,0,'Données projet'!$E$18+1,1))</f>
        <v>292.57482726862594</v>
      </c>
      <c r="HA18" s="60">
        <f t="shared" si="52"/>
        <v>283.48738729114024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1.4</v>
      </c>
      <c r="N19" s="14">
        <f>IF('Données projet'!$A$36&gt;35,N18+M19-V18,IF(A19&lt;'Données projet'!$A$36,$K$205^A19,IF(A19='Données projet'!$A$36,'Données projet'!$B$36,N18+M19-V18)))</f>
        <v>14.378925219250942</v>
      </c>
      <c r="O19" s="14">
        <f>N19*VLOOKUP('Données projet'!$B$9,Paramètres!$A$1:$I$89,3,0)*VLOOKUP('Données projet'!$B$9,Paramètres!$A$1:$I$89,5,0)</f>
        <v>6.7293370026094408</v>
      </c>
      <c r="P19" s="14">
        <f t="shared" si="33"/>
        <v>2.4839815733728994</v>
      </c>
      <c r="Q19" s="22">
        <f t="shared" si="2"/>
        <v>16.04652985316924</v>
      </c>
      <c r="R19" s="60">
        <f t="shared" si="0"/>
        <v>292.26875207539149</v>
      </c>
      <c r="S19" s="60">
        <f ca="1">AVERAGE(OFFSET($R$3,0,0,'Données projet'!$E$9+1,1))-AVERAGE(OFFSET($H$3,0,0,'Données projet'!$E$9+1,1))</f>
        <v>399.92909819003523</v>
      </c>
      <c r="T19" s="60">
        <f t="shared" si="34"/>
        <v>163.7053537268381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4.55</v>
      </c>
      <c r="AI19" s="14">
        <f>IF('Données projet'!$A$62&gt;35,AI18+AH19-AQ18,IF(A19&lt;'Données projet'!$A$62,$AF$205^A19,IF(A19='Données projet'!$A$62,'Données projet'!$B$62,AI18+AH19-AQ18)))</f>
        <v>36.917570580704506</v>
      </c>
      <c r="AJ19" s="14">
        <f>AI19*VLOOKUP('Données projet'!$B$10,Paramètres!$A$1:$I$89,3,0)*VLOOKUP('Données projet'!$B$10,Paramètres!$A$1:$I$89,5,0)</f>
        <v>22.076707207261297</v>
      </c>
      <c r="AK19" s="14">
        <f t="shared" si="35"/>
        <v>7.0966340462853541</v>
      </c>
      <c r="AL19" s="22">
        <f t="shared" si="4"/>
        <v>50.810236016593741</v>
      </c>
      <c r="AM19" s="60">
        <f t="shared" si="5"/>
        <v>327.03245823881599</v>
      </c>
      <c r="AN19" s="60">
        <f ca="1">AVERAGE(OFFSET($AM$3,0,0,'Données projet'!$E$10+1,1))-AVERAGE(OFFSET($H$3,0,0,'Données projet'!$E$10+1,1))</f>
        <v>455.43477166687273</v>
      </c>
      <c r="AO19" s="60">
        <f t="shared" si="36"/>
        <v>312.81310692672895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0">
        <f t="shared" si="8"/>
        <v>317.88090656215792</v>
      </c>
      <c r="BI19" s="60">
        <f ca="1">AVERAGE(OFFSET($BH$3,0,0,'Données projet'!$E$11+1,1))-AVERAGE(OFFSET($H$3,0,0,'Données projet'!$E$11+1,1))</f>
        <v>430.11660085503223</v>
      </c>
      <c r="BJ19" s="60">
        <f t="shared" si="38"/>
        <v>231.36959598460686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20.166818389681932</v>
      </c>
      <c r="CA19" s="14">
        <f t="shared" si="39"/>
        <v>6.5513327797938032</v>
      </c>
      <c r="CB19" s="22">
        <f t="shared" si="10"/>
        <v>46.534113286836906</v>
      </c>
      <c r="CC19" s="60">
        <f t="shared" si="11"/>
        <v>322.75633550905911</v>
      </c>
      <c r="CD19" s="60">
        <f ca="1">AVERAGE(OFFSET($CC$3,0,0,'Données projet'!$E$12+1,1))-AVERAGE(OFFSET($H$3,0,0,'Données projet'!$E$12+1,1))</f>
        <v>476.8965664931755</v>
      </c>
      <c r="CE19" s="60">
        <f t="shared" si="40"/>
        <v>254.25036207346591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19.236042156311996</v>
      </c>
      <c r="CV19" s="14">
        <f t="shared" si="41"/>
        <v>6.2834290449348904</v>
      </c>
      <c r="CW19" s="22">
        <f t="shared" si="13"/>
        <v>44.446412342171662</v>
      </c>
      <c r="CX19" s="60">
        <f t="shared" si="14"/>
        <v>320.66863456439387</v>
      </c>
      <c r="CY19" s="60">
        <f ca="1">AVERAGE(OFFSET($CX$3,0,0,'Données projet'!$E$13+1,1))-AVERAGE(OFFSET($H$3,0,0,'Données projet'!$E$13+1,1))</f>
        <v>456.86147223520601</v>
      </c>
      <c r="CZ19" s="60">
        <f t="shared" si="42"/>
        <v>244.45149244446094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4.4871794871794872</v>
      </c>
      <c r="DO19" s="13">
        <f>IF('Données projet'!$A$166&gt;35,DO18+DN19-DW18,IF(A19&lt;'Données projet'!$A$166,$DL$205^A19,IF(A19='Données projet'!$A$166,'Données projet'!$B$166,DO18+DN19-DW18)))</f>
        <v>26.92307692307692</v>
      </c>
      <c r="DP19" s="18">
        <f>DO19*VLOOKUP('Données projet'!$B$14,Paramètres!$A$1:$I$89,3,0)*VLOOKUP('Données projet'!$B$14,Paramètres!$A$1:$I$89,5,0)</f>
        <v>25.619999999999997</v>
      </c>
      <c r="DQ19" s="14">
        <f t="shared" si="43"/>
        <v>8.0941748185764109</v>
      </c>
      <c r="DR19" s="22">
        <f t="shared" si="16"/>
        <v>58.718854475687237</v>
      </c>
      <c r="DS19" s="60">
        <f t="shared" si="17"/>
        <v>334.94107669790947</v>
      </c>
      <c r="DT19" s="60">
        <f ca="1">AVERAGE(OFFSET($DS$3,0,0,'Données projet'!$E$14+1,1))-AVERAGE(OFFSET($H$3,0,0,'Données projet'!$E$14+1,1))</f>
        <v>300.36889324671682</v>
      </c>
      <c r="DU19" s="60">
        <f t="shared" si="44"/>
        <v>214.36051699039683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0.9</v>
      </c>
      <c r="EJ19" s="13">
        <f>IF('Données projet'!$A$192&gt;35,EJ18+EI19-ER18,IF(A19&lt;'Données projet'!$A$192,$EG$205^A19,IF(A19='Données projet'!$A$192,'Données projet'!$B$192,EJ18+EI19-ER18)))</f>
        <v>10.097596309015799</v>
      </c>
      <c r="EK19" s="18">
        <f>EJ19*VLOOKUP('Données projet'!$B$15,Paramètres!$A$1:$I$89,3,0)*VLOOKUP('Données projet'!$B$15,Paramètres!$A$1:$I$89,5,0)</f>
        <v>8.8212601355562033</v>
      </c>
      <c r="EL19" s="14">
        <f t="shared" si="45"/>
        <v>3.1551711996443523</v>
      </c>
      <c r="EM19" s="22">
        <f t="shared" si="19"/>
        <v>20.858951242140964</v>
      </c>
      <c r="EN19" s="60">
        <f t="shared" si="20"/>
        <v>297.08117346436319</v>
      </c>
      <c r="EO19" s="60">
        <f ca="1">AVERAGE(OFFSET($EN$3,0,0,'Données projet'!$E$15+1,1))-AVERAGE(OFFSET($H$3,0,0,'Données projet'!$E$15+1,1))</f>
        <v>202.46844517174412</v>
      </c>
      <c r="EP19" s="60">
        <f t="shared" si="46"/>
        <v>185.00219255324515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9.3589743589743595</v>
      </c>
      <c r="FE19" s="13">
        <f>IF('Données projet'!$A$218&gt;35,FE18+FD19-FM18,IF(A19&lt;'Données projet'!$A$218,$FB$205^A19,IF(A19='Données projet'!$A$218,'Données projet'!$B$218,FE18+FD19-FM18)))</f>
        <v>77.948717948717956</v>
      </c>
      <c r="FF19" s="18">
        <f>FE19*VLOOKUP('Données projet'!$B$16,Paramètres!$A$1:$I$89,3,0)*VLOOKUP('Données projet'!$B$16,Paramètres!$A$1:$I$89,5,0)</f>
        <v>52.288000000000004</v>
      </c>
      <c r="FG19" s="14">
        <f t="shared" si="47"/>
        <v>15.203098141270234</v>
      </c>
      <c r="FH19" s="22">
        <f t="shared" si="22"/>
        <v>117.54699592937901</v>
      </c>
      <c r="FI19" s="60">
        <f t="shared" si="23"/>
        <v>393.76921815160125</v>
      </c>
      <c r="FJ19" s="60">
        <f ca="1">AVERAGE(OFFSET($FI$3,0,0,'Données projet'!$E$16+1,1))-AVERAGE(OFFSET($H$3,0,0,'Données projet'!$E$16+1,1))</f>
        <v>344.87493856469382</v>
      </c>
      <c r="FK19" s="60">
        <f t="shared" si="48"/>
        <v>261.91036689641402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>
        <f>VLOOKUP(A19,'Données projet'!$A$243:$I$263,2,0)</f>
        <v>323.78880000000004</v>
      </c>
      <c r="FX19" s="13">
        <f>VLOOKUP(A19,'Données projet'!$A$243:$I$263,9,0)</f>
        <v>41.77920000000006</v>
      </c>
      <c r="FY19" s="13">
        <f t="array" ref="FY19">INDEX(FX:FX,MIN(IF(ISNUMBER(FX19:FX215),ROW(FX19:FX215),"")))</f>
        <v>41.77920000000006</v>
      </c>
      <c r="FZ19" s="13">
        <f>IF('Données projet'!$A$244&gt;35,FZ18+FY19-GH18,IF(A19&lt;'Données projet'!$A$244,$FW$205^A19,IF(A19='Données projet'!$A$244,'Données projet'!$B$244,FZ18+FY19-GH18)))</f>
        <v>323.78880000000004</v>
      </c>
      <c r="GA19" s="18">
        <f>FZ19*VLOOKUP('Données projet'!$B$17,Paramètres!$A$1:$I$89,3,0)*VLOOKUP('Données projet'!$B$17,Paramètres!$A$1:$I$89,5,0)</f>
        <v>164.66603212800001</v>
      </c>
      <c r="GB19" s="14">
        <f t="shared" si="49"/>
        <v>41.893184800990383</v>
      </c>
      <c r="GC19" s="22">
        <f t="shared" si="25"/>
        <v>359.75730281799156</v>
      </c>
      <c r="GD19" s="60">
        <f t="shared" si="26"/>
        <v>635.97952504021373</v>
      </c>
      <c r="GE19" s="60">
        <f ca="1">AVERAGE(OFFSET($GD$3,0,0,'Données projet'!$E$17+1,1))-AVERAGE(OFFSET($H$3,0,0,'Données projet'!$E$17+1,1))</f>
        <v>268.19959446602911</v>
      </c>
      <c r="GF19" s="60">
        <f t="shared" si="50"/>
        <v>691.2533336811855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9.6</v>
      </c>
      <c r="GU19" s="13">
        <f>IF('Données projet'!$A$270&gt;35,GU18+GT19-HC18,IF(A19&lt;'Données projet'!$A$270,$GR$205^A19,IF(A19='Données projet'!$A$270,'Données projet'!$B$270,GU18+GT19-HC18)))</f>
        <v>49.6</v>
      </c>
      <c r="GV19" s="18">
        <f>GU19*VLOOKUP('Données projet'!$B$18,Paramètres!$A$1:$I$89,3,0)*VLOOKUP('Données projet'!$B$18,Paramètres!$A$1:$I$89,5,0)</f>
        <v>38.688000000000002</v>
      </c>
      <c r="GW19" s="14">
        <f t="shared" si="51"/>
        <v>11.650229083154354</v>
      </c>
      <c r="GX19" s="22">
        <f t="shared" si="28"/>
        <v>87.672415653160499</v>
      </c>
      <c r="GY19" s="60">
        <f t="shared" si="29"/>
        <v>363.89463787538273</v>
      </c>
      <c r="GZ19" s="60">
        <f ca="1">AVERAGE(OFFSET($GY$3,0,0,'Données projet'!$E$18+1,1))-AVERAGE(OFFSET($H$3,0,0,'Données projet'!$E$18+1,1))</f>
        <v>292.57482726862594</v>
      </c>
      <c r="HA19" s="60">
        <f t="shared" si="52"/>
        <v>283.48738729114024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1.4</v>
      </c>
      <c r="N20" s="14">
        <f>IF('Données projet'!$A$36&gt;35,N19+M20-V19,IF(A20&lt;'Données projet'!$A$36,$K$205^A20,IF(A20='Données projet'!$A$36,'Données projet'!$B$36,N19+M20-V19)))</f>
        <v>16.985734312010656</v>
      </c>
      <c r="O20" s="14">
        <f>N20*VLOOKUP('Données projet'!$B$9,Paramètres!$A$1:$I$89,3,0)*VLOOKUP('Données projet'!$B$9,Paramètres!$A$1:$I$89,5,0)</f>
        <v>7.9493236580209867</v>
      </c>
      <c r="P20" s="14">
        <f t="shared" si="33"/>
        <v>2.8779537587144066</v>
      </c>
      <c r="Q20" s="22">
        <f t="shared" si="2"/>
        <v>18.857508167480809</v>
      </c>
      <c r="R20" s="60">
        <f t="shared" si="0"/>
        <v>296.30195261192529</v>
      </c>
      <c r="S20" s="60">
        <f ca="1">AVERAGE(OFFSET($R$3,0,0,'Données projet'!$E$9+1,1))-AVERAGE(OFFSET($H$3,0,0,'Données projet'!$E$9+1,1))</f>
        <v>399.92909819003523</v>
      </c>
      <c r="T20" s="60">
        <f t="shared" si="34"/>
        <v>163.7053537268381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4.55</v>
      </c>
      <c r="AI20" s="14">
        <f>IF('Données projet'!$A$62&gt;35,AI19+AH20-AQ19,IF(A20&lt;'Données projet'!$A$62,$AF$205^A20,IF(A20='Données projet'!$A$62,'Données projet'!$B$62,AI19+AH20-AQ19)))</f>
        <v>46.257822303288052</v>
      </c>
      <c r="AJ20" s="14">
        <f>AI20*VLOOKUP('Données projet'!$B$10,Paramètres!$A$1:$I$89,3,0)*VLOOKUP('Données projet'!$B$10,Paramètres!$A$1:$I$89,5,0)</f>
        <v>27.66217773736626</v>
      </c>
      <c r="AK20" s="14">
        <f t="shared" si="35"/>
        <v>8.6616944434151719</v>
      </c>
      <c r="AL20" s="22">
        <f t="shared" si="4"/>
        <v>63.264077381527663</v>
      </c>
      <c r="AM20" s="60">
        <f t="shared" si="5"/>
        <v>340.70852182597213</v>
      </c>
      <c r="AN20" s="60">
        <f ca="1">AVERAGE(OFFSET($AM$3,0,0,'Données projet'!$E$10+1,1))-AVERAGE(OFFSET($H$3,0,0,'Données projet'!$E$10+1,1))</f>
        <v>455.43477166687273</v>
      </c>
      <c r="AO20" s="60">
        <f t="shared" si="36"/>
        <v>312.81310692672895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0">
        <f t="shared" si="8"/>
        <v>327.39580549186149</v>
      </c>
      <c r="BI20" s="60">
        <f ca="1">AVERAGE(OFFSET($BH$3,0,0,'Données projet'!$E$11+1,1))-AVERAGE(OFFSET($H$3,0,0,'Données projet'!$E$11+1,1))</f>
        <v>430.11660085503223</v>
      </c>
      <c r="BJ20" s="60">
        <f t="shared" si="38"/>
        <v>231.36959598460686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24.31083366209619</v>
      </c>
      <c r="CA20" s="14">
        <f t="shared" si="39"/>
        <v>7.7276032052466093</v>
      </c>
      <c r="CB20" s="22">
        <f t="shared" si="10"/>
        <v>55.800277543955367</v>
      </c>
      <c r="CC20" s="60">
        <f t="shared" si="11"/>
        <v>333.24472198839982</v>
      </c>
      <c r="CD20" s="60">
        <f ca="1">AVERAGE(OFFSET($CC$3,0,0,'Données projet'!$E$12+1,1))-AVERAGE(OFFSET($H$3,0,0,'Données projet'!$E$12+1,1))</f>
        <v>476.8965664931755</v>
      </c>
      <c r="CE20" s="60">
        <f t="shared" si="40"/>
        <v>254.25036207346591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23.188795185384055</v>
      </c>
      <c r="CV20" s="14">
        <f t="shared" si="41"/>
        <v>7.4115982288884323</v>
      </c>
      <c r="CW20" s="22">
        <f t="shared" si="13"/>
        <v>53.29568519652458</v>
      </c>
      <c r="CX20" s="60">
        <f t="shared" si="14"/>
        <v>330.74012964096903</v>
      </c>
      <c r="CY20" s="60">
        <f ca="1">AVERAGE(OFFSET($CX$3,0,0,'Données projet'!$E$13+1,1))-AVERAGE(OFFSET($H$3,0,0,'Données projet'!$E$13+1,1))</f>
        <v>456.86147223520601</v>
      </c>
      <c r="CZ20" s="60">
        <f t="shared" si="42"/>
        <v>244.45149244446094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4.4871794871794872</v>
      </c>
      <c r="DO20" s="13">
        <f>IF('Données projet'!$A$166&gt;35,DO19+DN20-DW19,IF(A20&lt;'Données projet'!$A$166,$DL$205^A20,IF(A20='Données projet'!$A$166,'Données projet'!$B$166,DO19+DN20-DW19)))</f>
        <v>31.410256410256409</v>
      </c>
      <c r="DP20" s="18">
        <f>DO20*VLOOKUP('Données projet'!$B$14,Paramètres!$A$1:$I$89,3,0)*VLOOKUP('Données projet'!$B$14,Paramètres!$A$1:$I$89,5,0)</f>
        <v>29.889999999999997</v>
      </c>
      <c r="DQ20" s="14">
        <f t="shared" si="43"/>
        <v>9.2752743303749234</v>
      </c>
      <c r="DR20" s="22">
        <f t="shared" si="16"/>
        <v>68.212852792069654</v>
      </c>
      <c r="DS20" s="60">
        <f t="shared" si="17"/>
        <v>345.65729723651413</v>
      </c>
      <c r="DT20" s="60">
        <f ca="1">AVERAGE(OFFSET($DS$3,0,0,'Données projet'!$E$14+1,1))-AVERAGE(OFFSET($H$3,0,0,'Données projet'!$E$14+1,1))</f>
        <v>300.36889324671682</v>
      </c>
      <c r="DU20" s="60">
        <f t="shared" si="44"/>
        <v>214.36051699039683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0.9</v>
      </c>
      <c r="EJ20" s="13">
        <f>IF('Données projet'!$A$192&gt;35,EJ19+EI20-ER19,IF(A20&lt;'Données projet'!$A$192,$EG$205^A20,IF(A20='Données projet'!$A$192,'Données projet'!$B$192,EJ19+EI20-ER19)))</f>
        <v>11.667602620429678</v>
      </c>
      <c r="EK20" s="18">
        <f>EJ20*VLOOKUP('Données projet'!$B$15,Paramètres!$A$1:$I$89,3,0)*VLOOKUP('Données projet'!$B$15,Paramètres!$A$1:$I$89,5,0)</f>
        <v>10.192817649207369</v>
      </c>
      <c r="EL20" s="14">
        <f t="shared" si="45"/>
        <v>3.5849315547400531</v>
      </c>
      <c r="EM20" s="22">
        <f t="shared" si="19"/>
        <v>23.996246530208428</v>
      </c>
      <c r="EN20" s="60">
        <f t="shared" si="20"/>
        <v>301.44069097465291</v>
      </c>
      <c r="EO20" s="60">
        <f ca="1">AVERAGE(OFFSET($EN$3,0,0,'Données projet'!$E$15+1,1))-AVERAGE(OFFSET($H$3,0,0,'Données projet'!$E$15+1,1))</f>
        <v>202.46844517174412</v>
      </c>
      <c r="EP20" s="60">
        <f t="shared" si="46"/>
        <v>185.00219255324515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9.3589743589743595</v>
      </c>
      <c r="FE20" s="13">
        <f>IF('Données projet'!$A$218&gt;35,FE19+FD20-FM19,IF(A20&lt;'Données projet'!$A$218,$FB$205^A20,IF(A20='Données projet'!$A$218,'Données projet'!$B$218,FE19+FD20-FM19)))</f>
        <v>87.307692307692321</v>
      </c>
      <c r="FF20" s="18">
        <f>FE20*VLOOKUP('Données projet'!$B$16,Paramètres!$A$1:$I$89,3,0)*VLOOKUP('Données projet'!$B$16,Paramètres!$A$1:$I$89,5,0)</f>
        <v>58.566000000000003</v>
      </c>
      <c r="FG20" s="14">
        <f t="shared" si="47"/>
        <v>16.80519996384475</v>
      </c>
      <c r="FH20" s="22">
        <f t="shared" si="22"/>
        <v>131.27150660369628</v>
      </c>
      <c r="FI20" s="60">
        <f t="shared" si="23"/>
        <v>408.71595104814071</v>
      </c>
      <c r="FJ20" s="60">
        <f ca="1">AVERAGE(OFFSET($FI$3,0,0,'Données projet'!$E$16+1,1))-AVERAGE(OFFSET($H$3,0,0,'Données projet'!$E$16+1,1))</f>
        <v>344.87493856469382</v>
      </c>
      <c r="FK20" s="60">
        <f t="shared" si="48"/>
        <v>261.91036689641402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362.95680000000004</v>
      </c>
      <c r="FX20" s="13">
        <f>VLOOKUP(A20,'Données projet'!$A$243:$I$263,9,0)</f>
        <v>39.168000000000006</v>
      </c>
      <c r="FY20" s="13">
        <f t="array" ref="FY20">INDEX(FX:FX,MIN(IF(ISNUMBER(FX20:FX216),ROW(FX20:FX216),"")))</f>
        <v>39.168000000000006</v>
      </c>
      <c r="FZ20" s="13">
        <f>IF('Données projet'!$A$244&gt;35,FZ19+FY20-GH19,IF(A20&lt;'Données projet'!$A$244,$FW$205^A20,IF(A20='Données projet'!$A$244,'Données projet'!$B$244,FZ19+FY20-GH19)))</f>
        <v>362.95680000000004</v>
      </c>
      <c r="GA20" s="18">
        <f>FZ20*VLOOKUP('Données projet'!$B$17,Paramètres!$A$1:$I$89,3,0)*VLOOKUP('Données projet'!$B$17,Paramètres!$A$1:$I$89,5,0)</f>
        <v>184.58531020800004</v>
      </c>
      <c r="GB20" s="14">
        <f t="shared" si="49"/>
        <v>46.340834902587119</v>
      </c>
      <c r="GC20" s="22">
        <f t="shared" si="25"/>
        <v>402.19636940093932</v>
      </c>
      <c r="GD20" s="60">
        <f t="shared" si="26"/>
        <v>679.64081384538372</v>
      </c>
      <c r="GE20" s="60">
        <f ca="1">AVERAGE(OFFSET($GD$3,0,0,'Données projet'!$E$17+1,1))-AVERAGE(OFFSET($H$3,0,0,'Données projet'!$E$17+1,1))</f>
        <v>268.19959446602911</v>
      </c>
      <c r="GF20" s="60">
        <f t="shared" si="50"/>
        <v>691.2533336811855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9.6</v>
      </c>
      <c r="GU20" s="13">
        <f>IF('Données projet'!$A$270&gt;35,GU19+GT20-HC19,IF(A20&lt;'Données projet'!$A$270,$GR$205^A20,IF(A20='Données projet'!$A$270,'Données projet'!$B$270,GU19+GT20-HC19)))</f>
        <v>59.2</v>
      </c>
      <c r="GV20" s="18">
        <f>GU20*VLOOKUP('Données projet'!$B$18,Paramètres!$A$1:$I$89,3,0)*VLOOKUP('Données projet'!$B$18,Paramètres!$A$1:$I$89,5,0)</f>
        <v>46.176000000000002</v>
      </c>
      <c r="GW20" s="14">
        <f t="shared" si="51"/>
        <v>13.621668778540489</v>
      </c>
      <c r="GX20" s="22">
        <f t="shared" si="28"/>
        <v>104.14760645595801</v>
      </c>
      <c r="GY20" s="60">
        <f t="shared" si="29"/>
        <v>381.59205090040246</v>
      </c>
      <c r="GZ20" s="60">
        <f ca="1">AVERAGE(OFFSET($GY$3,0,0,'Données projet'!$E$18+1,1))-AVERAGE(OFFSET($H$3,0,0,'Données projet'!$E$18+1,1))</f>
        <v>292.57482726862594</v>
      </c>
      <c r="HA20" s="60">
        <f t="shared" si="52"/>
        <v>283.48738729114024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1.4</v>
      </c>
      <c r="N21" s="14">
        <f>IF('Données projet'!$A$36&gt;35,N20+M21-V20,IF(A21&lt;'Données projet'!$A$36,$K$205^A21,IF(A21='Données projet'!$A$36,'Données projet'!$B$36,N20+M21-V20)))</f>
        <v>20.065141567879031</v>
      </c>
      <c r="O21" s="14">
        <f>N21*VLOOKUP('Données projet'!$B$9,Paramètres!$A$1:$I$89,3,0)*VLOOKUP('Données projet'!$B$9,Paramètres!$A$1:$I$89,5,0)</f>
        <v>9.3904862537673868</v>
      </c>
      <c r="P21" s="14">
        <f t="shared" si="33"/>
        <v>3.3344119481738947</v>
      </c>
      <c r="Q21" s="22">
        <f t="shared" si="2"/>
        <v>22.162531035047731</v>
      </c>
      <c r="R21" s="60">
        <f t="shared" si="0"/>
        <v>300.82919770171441</v>
      </c>
      <c r="S21" s="60">
        <f ca="1">AVERAGE(OFFSET($R$3,0,0,'Données projet'!$E$9+1,1))-AVERAGE(OFFSET($H$3,0,0,'Données projet'!$E$9+1,1))</f>
        <v>399.92909819003523</v>
      </c>
      <c r="T21" s="60">
        <f t="shared" si="34"/>
        <v>163.7053537268381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4.55</v>
      </c>
      <c r="AI21" s="14">
        <f>IF('Données projet'!$A$62&gt;35,AI20+AH21-AQ20,IF(A21&lt;'Données projet'!$A$62,$AF$205^A21,IF(A21='Données projet'!$A$62,'Données projet'!$B$62,AI20+AH21-AQ20)))</f>
        <v>57.961184622505009</v>
      </c>
      <c r="AJ21" s="14">
        <f>AI21*VLOOKUP('Données projet'!$B$10,Paramètres!$A$1:$I$89,3,0)*VLOOKUP('Données projet'!$B$10,Paramètres!$A$1:$I$89,5,0)</f>
        <v>34.660788404258</v>
      </c>
      <c r="AK21" s="14">
        <f t="shared" si="35"/>
        <v>10.571906363180744</v>
      </c>
      <c r="AL21" s="22">
        <f t="shared" si="4"/>
        <v>78.780276719955808</v>
      </c>
      <c r="AM21" s="60">
        <f t="shared" si="5"/>
        <v>357.44694338662248</v>
      </c>
      <c r="AN21" s="60">
        <f ca="1">AVERAGE(OFFSET($AM$3,0,0,'Données projet'!$E$10+1,1))-AVERAGE(OFFSET($H$3,0,0,'Données projet'!$E$10+1,1))</f>
        <v>455.43477166687273</v>
      </c>
      <c r="AO21" s="60">
        <f t="shared" si="36"/>
        <v>312.81310692672895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0">
        <f t="shared" si="8"/>
        <v>338.56668739624723</v>
      </c>
      <c r="BI21" s="60">
        <f ca="1">AVERAGE(OFFSET($BH$3,0,0,'Données projet'!$E$11+1,1))-AVERAGE(OFFSET($H$3,0,0,'Données projet'!$E$11+1,1))</f>
        <v>430.11660085503223</v>
      </c>
      <c r="BJ21" s="60">
        <f t="shared" si="38"/>
        <v>231.36959598460686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29.306389432677911</v>
      </c>
      <c r="CA21" s="14">
        <f t="shared" si="39"/>
        <v>9.1150691477493808</v>
      </c>
      <c r="CB21" s="22">
        <f t="shared" si="10"/>
        <v>66.917373694244205</v>
      </c>
      <c r="CC21" s="60">
        <f t="shared" si="11"/>
        <v>345.58404036091088</v>
      </c>
      <c r="CD21" s="60">
        <f ca="1">AVERAGE(OFFSET($CC$3,0,0,'Données projet'!$E$12+1,1))-AVERAGE(OFFSET($H$3,0,0,'Données projet'!$E$12+1,1))</f>
        <v>476.8965664931755</v>
      </c>
      <c r="CE21" s="60">
        <f t="shared" si="40"/>
        <v>254.25036207346591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27.953786843477392</v>
      </c>
      <c r="CV21" s="14">
        <f t="shared" si="41"/>
        <v>8.7423265089215931</v>
      </c>
      <c r="CW21" s="22">
        <f t="shared" si="13"/>
        <v>63.912397422094891</v>
      </c>
      <c r="CX21" s="60">
        <f t="shared" si="14"/>
        <v>342.57906408876158</v>
      </c>
      <c r="CY21" s="60">
        <f ca="1">AVERAGE(OFFSET($CX$3,0,0,'Données projet'!$E$13+1,1))-AVERAGE(OFFSET($H$3,0,0,'Données projet'!$E$13+1,1))</f>
        <v>456.86147223520601</v>
      </c>
      <c r="CZ21" s="60">
        <f t="shared" si="42"/>
        <v>244.45149244446094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4.4871794871794872</v>
      </c>
      <c r="DO21" s="13">
        <f>IF('Données projet'!$A$166&gt;35,DO20+DN21-DW20,IF(A21&lt;'Données projet'!$A$166,$DL$205^A21,IF(A21='Données projet'!$A$166,'Données projet'!$B$166,DO20+DN21-DW20)))</f>
        <v>35.897435897435898</v>
      </c>
      <c r="DP21" s="18">
        <f>DO21*VLOOKUP('Données projet'!$B$14,Paramètres!$A$1:$I$89,3,0)*VLOOKUP('Données projet'!$B$14,Paramètres!$A$1:$I$89,5,0)</f>
        <v>34.160000000000004</v>
      </c>
      <c r="DQ21" s="14">
        <f t="shared" si="43"/>
        <v>10.436826112054034</v>
      </c>
      <c r="DR21" s="22">
        <f t="shared" si="16"/>
        <v>77.672805478494112</v>
      </c>
      <c r="DS21" s="60">
        <f t="shared" si="17"/>
        <v>356.33947214516081</v>
      </c>
      <c r="DT21" s="60">
        <f ca="1">AVERAGE(OFFSET($DS$3,0,0,'Données projet'!$E$14+1,1))-AVERAGE(OFFSET($H$3,0,0,'Données projet'!$E$14+1,1))</f>
        <v>300.36889324671682</v>
      </c>
      <c r="DU21" s="60">
        <f t="shared" si="44"/>
        <v>214.36051699039683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0.9</v>
      </c>
      <c r="EJ21" s="13">
        <f>IF('Données projet'!$A$192&gt;35,EJ20+EI21-ER20,IF(A21&lt;'Données projet'!$A$192,$EG$205^A21,IF(A21='Données projet'!$A$192,'Données projet'!$B$192,EJ20+EI21-ER20)))</f>
        <v>13.48171849440139</v>
      </c>
      <c r="EK21" s="18">
        <f>EJ21*VLOOKUP('Données projet'!$B$15,Paramètres!$A$1:$I$89,3,0)*VLOOKUP('Données projet'!$B$15,Paramètres!$A$1:$I$89,5,0)</f>
        <v>11.777629276709055</v>
      </c>
      <c r="EL21" s="14">
        <f t="shared" si="45"/>
        <v>4.0732288167499631</v>
      </c>
      <c r="EM21" s="22">
        <f t="shared" si="19"/>
        <v>27.606911179441123</v>
      </c>
      <c r="EN21" s="60">
        <f t="shared" si="20"/>
        <v>306.2735778461078</v>
      </c>
      <c r="EO21" s="60">
        <f ca="1">AVERAGE(OFFSET($EN$3,0,0,'Données projet'!$E$15+1,1))-AVERAGE(OFFSET($H$3,0,0,'Données projet'!$E$15+1,1))</f>
        <v>202.46844517174412</v>
      </c>
      <c r="EP21" s="60">
        <f t="shared" si="46"/>
        <v>185.00219255324515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9.3589743589743595</v>
      </c>
      <c r="FE21" s="13">
        <f>IF('Données projet'!$A$218&gt;35,FE20+FD21-FM20,IF(A21&lt;'Données projet'!$A$218,$FB$205^A21,IF(A21='Données projet'!$A$218,'Données projet'!$B$218,FE20+FD21-FM20)))</f>
        <v>96.666666666666686</v>
      </c>
      <c r="FF21" s="18">
        <f>FE21*VLOOKUP('Données projet'!$B$16,Paramètres!$A$1:$I$89,3,0)*VLOOKUP('Données projet'!$B$16,Paramètres!$A$1:$I$89,5,0)</f>
        <v>64.844000000000023</v>
      </c>
      <c r="FG21" s="14">
        <f t="shared" si="47"/>
        <v>18.387395502392351</v>
      </c>
      <c r="FH21" s="22">
        <f t="shared" si="22"/>
        <v>144.96134716666674</v>
      </c>
      <c r="FI21" s="60">
        <f t="shared" si="23"/>
        <v>423.6280138333334</v>
      </c>
      <c r="FJ21" s="60">
        <f ca="1">AVERAGE(OFFSET($FI$3,0,0,'Données projet'!$E$16+1,1))-AVERAGE(OFFSET($H$3,0,0,'Données projet'!$E$16+1,1))</f>
        <v>344.87493856469382</v>
      </c>
      <c r="FK21" s="60">
        <f t="shared" si="48"/>
        <v>261.91036689641402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>
        <f>VLOOKUP(A21,'Données projet'!$A$243:$I$263,2,0)</f>
        <v>399.5136</v>
      </c>
      <c r="FX21" s="13">
        <f>VLOOKUP(A21,'Données projet'!$A$243:$I$263,9,0)</f>
        <v>36.556799999999953</v>
      </c>
      <c r="FY21" s="13">
        <f t="array" ref="FY21">INDEX(FX:FX,MIN(IF(ISNUMBER(FX21:FX217),ROW(FX21:FX217),"")))</f>
        <v>36.556799999999953</v>
      </c>
      <c r="FZ21" s="13">
        <f>IF('Données projet'!$A$244&gt;35,FZ20+FY21-GH20,IF(A21&lt;'Données projet'!$A$244,$FW$205^A21,IF(A21='Données projet'!$A$244,'Données projet'!$B$244,FZ20+FY21-GH20)))</f>
        <v>399.5136</v>
      </c>
      <c r="GA21" s="18">
        <f>FZ21*VLOOKUP('Données projet'!$B$17,Paramètres!$A$1:$I$89,3,0)*VLOOKUP('Données projet'!$B$17,Paramètres!$A$1:$I$89,5,0)</f>
        <v>203.17663641600001</v>
      </c>
      <c r="GB21" s="14">
        <f t="shared" si="49"/>
        <v>50.441654694252925</v>
      </c>
      <c r="GC21" s="22">
        <f t="shared" si="25"/>
        <v>441.71852368369053</v>
      </c>
      <c r="GD21" s="60">
        <f t="shared" si="26"/>
        <v>720.38519035035722</v>
      </c>
      <c r="GE21" s="60">
        <f ca="1">AVERAGE(OFFSET($GD$3,0,0,'Données projet'!$E$17+1,1))-AVERAGE(OFFSET($H$3,0,0,'Données projet'!$E$17+1,1))</f>
        <v>268.19959446602911</v>
      </c>
      <c r="GF21" s="60">
        <f t="shared" si="50"/>
        <v>691.2533336811855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9.6</v>
      </c>
      <c r="GU21" s="13">
        <f>IF('Données projet'!$A$270&gt;35,GU20+GT21-HC20,IF(A21&lt;'Données projet'!$A$270,$GR$205^A21,IF(A21='Données projet'!$A$270,'Données projet'!$B$270,GU20+GT21-HC20)))</f>
        <v>68.8</v>
      </c>
      <c r="GV21" s="18">
        <f>GU21*VLOOKUP('Données projet'!$B$18,Paramètres!$A$1:$I$89,3,0)*VLOOKUP('Données projet'!$B$18,Paramètres!$A$1:$I$89,5,0)</f>
        <v>53.664000000000001</v>
      </c>
      <c r="GW21" s="14">
        <f t="shared" si="51"/>
        <v>15.556073979202782</v>
      </c>
      <c r="GX21" s="22">
        <f t="shared" si="28"/>
        <v>120.55829551377816</v>
      </c>
      <c r="GY21" s="60">
        <f t="shared" si="29"/>
        <v>399.22496218044483</v>
      </c>
      <c r="GZ21" s="60">
        <f ca="1">AVERAGE(OFFSET($GY$3,0,0,'Données projet'!$E$18+1,1))-AVERAGE(OFFSET($H$3,0,0,'Données projet'!$E$18+1,1))</f>
        <v>292.57482726862594</v>
      </c>
      <c r="HA21" s="60">
        <f t="shared" si="52"/>
        <v>283.48738729114024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1.4</v>
      </c>
      <c r="N22" s="14">
        <f>IF('Données projet'!$A$36&gt;35,N21+M22-V21,IF(A22&lt;'Données projet'!$A$36,$K$205^A22,IF(A22='Données projet'!$A$36,'Données projet'!$B$36,N21+M22-V21)))</f>
        <v>23.702826074133306</v>
      </c>
      <c r="O22" s="14">
        <f>N22*VLOOKUP('Données projet'!$B$9,Paramètres!$A$1:$I$89,3,0)*VLOOKUP('Données projet'!$B$9,Paramètres!$A$1:$I$89,5,0)</f>
        <v>11.092922602694387</v>
      </c>
      <c r="P22" s="14">
        <f t="shared" si="33"/>
        <v>3.8632667416767035</v>
      </c>
      <c r="Q22" s="22">
        <f t="shared" si="2"/>
        <v>26.048696441446314</v>
      </c>
      <c r="R22" s="60">
        <f t="shared" si="0"/>
        <v>305.9375853303352</v>
      </c>
      <c r="S22" s="60">
        <f ca="1">AVERAGE(OFFSET($R$3,0,0,'Données projet'!$E$9+1,1))-AVERAGE(OFFSET($H$3,0,0,'Données projet'!$E$9+1,1))</f>
        <v>399.92909819003523</v>
      </c>
      <c r="T22" s="60">
        <f t="shared" si="34"/>
        <v>163.7053537268381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4.55</v>
      </c>
      <c r="AI22" s="14">
        <f>IF('Données projet'!$A$62&gt;35,AI21+AH22-AQ21,IF(A22&lt;'Données projet'!$A$62,$AF$205^A22,IF(A22='Données projet'!$A$62,'Données projet'!$B$62,AI21+AH22-AQ21)))</f>
        <v>72.625531327818578</v>
      </c>
      <c r="AJ22" s="14">
        <f>AI22*VLOOKUP('Données projet'!$B$10,Paramètres!$A$1:$I$89,3,0)*VLOOKUP('Données projet'!$B$10,Paramètres!$A$1:$I$89,5,0)</f>
        <v>43.430067734035511</v>
      </c>
      <c r="AK22" s="14">
        <f t="shared" si="35"/>
        <v>12.903388001273598</v>
      </c>
      <c r="AL22" s="22">
        <f t="shared" si="4"/>
        <v>98.114102072330027</v>
      </c>
      <c r="AM22" s="60">
        <f t="shared" si="5"/>
        <v>378.00299096121887</v>
      </c>
      <c r="AN22" s="60">
        <f ca="1">AVERAGE(OFFSET($AM$3,0,0,'Données projet'!$E$10+1,1))-AVERAGE(OFFSET($H$3,0,0,'Données projet'!$E$10+1,1))</f>
        <v>455.43477166687273</v>
      </c>
      <c r="AO22" s="60">
        <f t="shared" si="36"/>
        <v>312.81310692672895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0">
        <f t="shared" si="8"/>
        <v>351.72520722798015</v>
      </c>
      <c r="BI22" s="60">
        <f ca="1">AVERAGE(OFFSET($BH$3,0,0,'Données projet'!$E$11+1,1))-AVERAGE(OFFSET($H$3,0,0,'Données projet'!$E$11+1,1))</f>
        <v>430.11660085503223</v>
      </c>
      <c r="BJ22" s="60">
        <f t="shared" si="38"/>
        <v>231.36959598460686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35.328466045936516</v>
      </c>
      <c r="CA22" s="14">
        <f t="shared" si="39"/>
        <v>10.751650073316766</v>
      </c>
      <c r="CB22" s="22">
        <f t="shared" si="10"/>
        <v>80.256202241032796</v>
      </c>
      <c r="CC22" s="60">
        <f t="shared" si="11"/>
        <v>360.14509112992164</v>
      </c>
      <c r="CD22" s="60">
        <f ca="1">AVERAGE(OFFSET($CC$3,0,0,'Données projet'!$E$12+1,1))-AVERAGE(OFFSET($H$3,0,0,'Données projet'!$E$12+1,1))</f>
        <v>476.8965664931755</v>
      </c>
      <c r="CE22" s="60">
        <f t="shared" si="40"/>
        <v>254.25036207346591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33.697921459200977</v>
      </c>
      <c r="CV22" s="14">
        <f t="shared" si="41"/>
        <v>10.31198270984201</v>
      </c>
      <c r="CW22" s="22">
        <f t="shared" si="13"/>
        <v>76.650583094416518</v>
      </c>
      <c r="CX22" s="60">
        <f t="shared" si="14"/>
        <v>356.53947198330536</v>
      </c>
      <c r="CY22" s="60">
        <f ca="1">AVERAGE(OFFSET($CX$3,0,0,'Données projet'!$E$13+1,1))-AVERAGE(OFFSET($H$3,0,0,'Données projet'!$E$13+1,1))</f>
        <v>456.86147223520601</v>
      </c>
      <c r="CZ22" s="60">
        <f t="shared" si="42"/>
        <v>244.45149244446094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4.4871794871794872</v>
      </c>
      <c r="DO22" s="13">
        <f>IF('Données projet'!$A$166&gt;35,DO21+DN22-DW21,IF(A22&lt;'Données projet'!$A$166,$DL$205^A22,IF(A22='Données projet'!$A$166,'Données projet'!$B$166,DO21+DN22-DW21)))</f>
        <v>40.384615384615387</v>
      </c>
      <c r="DP22" s="18">
        <f>DO22*VLOOKUP('Données projet'!$B$14,Paramètres!$A$1:$I$89,3,0)*VLOOKUP('Données projet'!$B$14,Paramètres!$A$1:$I$89,5,0)</f>
        <v>38.430000000000007</v>
      </c>
      <c r="DQ22" s="14">
        <f t="shared" si="43"/>
        <v>11.581553470162158</v>
      </c>
      <c r="DR22" s="22">
        <f t="shared" si="16"/>
        <v>87.103455627199097</v>
      </c>
      <c r="DS22" s="60">
        <f t="shared" si="17"/>
        <v>366.99234451608794</v>
      </c>
      <c r="DT22" s="60">
        <f ca="1">AVERAGE(OFFSET($DS$3,0,0,'Données projet'!$E$14+1,1))-AVERAGE(OFFSET($H$3,0,0,'Données projet'!$E$14+1,1))</f>
        <v>300.36889324671682</v>
      </c>
      <c r="DU22" s="60">
        <f t="shared" si="44"/>
        <v>214.36051699039683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0.9</v>
      </c>
      <c r="EJ22" s="13">
        <f>IF('Données projet'!$A$192&gt;35,EJ21+EI22-ER21,IF(A22&lt;'Données projet'!$A$192,$EG$205^A22,IF(A22='Données projet'!$A$192,'Données projet'!$B$192,EJ21+EI22-ER21)))</f>
        <v>15.577898860219406</v>
      </c>
      <c r="EK22" s="18">
        <f>EJ22*VLOOKUP('Données projet'!$B$15,Paramètres!$A$1:$I$89,3,0)*VLOOKUP('Données projet'!$B$15,Paramètres!$A$1:$I$89,5,0)</f>
        <v>13.608852444287676</v>
      </c>
      <c r="EL22" s="14">
        <f t="shared" si="45"/>
        <v>4.6280361954652021</v>
      </c>
      <c r="EM22" s="22">
        <f t="shared" si="19"/>
        <v>31.762581047569586</v>
      </c>
      <c r="EN22" s="60">
        <f t="shared" si="20"/>
        <v>311.65146993645845</v>
      </c>
      <c r="EO22" s="60">
        <f ca="1">AVERAGE(OFFSET($EN$3,0,0,'Données projet'!$E$15+1,1))-AVERAGE(OFFSET($H$3,0,0,'Données projet'!$E$15+1,1))</f>
        <v>202.46844517174412</v>
      </c>
      <c r="EP22" s="60">
        <f t="shared" si="46"/>
        <v>185.00219255324515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9.3589743589743595</v>
      </c>
      <c r="FE22" s="13">
        <f>IF('Données projet'!$A$218&gt;35,FE21+FD22-FM21,IF(A22&lt;'Données projet'!$A$218,$FB$205^A22,IF(A22='Données projet'!$A$218,'Données projet'!$B$218,FE21+FD22-FM21)))</f>
        <v>106.02564102564105</v>
      </c>
      <c r="FF22" s="18">
        <f>FE22*VLOOKUP('Données projet'!$B$16,Paramètres!$A$1:$I$89,3,0)*VLOOKUP('Données projet'!$B$16,Paramètres!$A$1:$I$89,5,0)</f>
        <v>71.122000000000014</v>
      </c>
      <c r="FG22" s="14">
        <f t="shared" si="47"/>
        <v>19.951831327427488</v>
      </c>
      <c r="FH22" s="22">
        <f t="shared" si="22"/>
        <v>158.62025622860287</v>
      </c>
      <c r="FI22" s="60">
        <f t="shared" si="23"/>
        <v>438.5091451174917</v>
      </c>
      <c r="FJ22" s="60">
        <f ca="1">AVERAGE(OFFSET($FI$3,0,0,'Données projet'!$E$16+1,1))-AVERAGE(OFFSET($H$3,0,0,'Données projet'!$E$16+1,1))</f>
        <v>344.87493856469382</v>
      </c>
      <c r="FK22" s="60">
        <f t="shared" si="48"/>
        <v>261.91036689641402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>
        <f>VLOOKUP(A22,'Données projet'!$A$243:$I$263,2,0)</f>
        <v>436.07040000000001</v>
      </c>
      <c r="FX22" s="13">
        <f>VLOOKUP(A22,'Données projet'!$A$243:$I$263,9,0)</f>
        <v>36.55680000000001</v>
      </c>
      <c r="FY22" s="13">
        <f t="array" ref="FY22">INDEX(FX:FX,MIN(IF(ISNUMBER(FX22:FX218),ROW(FX22:FX218),"")))</f>
        <v>36.55680000000001</v>
      </c>
      <c r="FZ22" s="13">
        <f>IF('Données projet'!$A$244&gt;35,FZ21+FY22-GH21,IF(A22&lt;'Données projet'!$A$244,$FW$205^A22,IF(A22='Données projet'!$A$244,'Données projet'!$B$244,FZ21+FY22-GH21)))</f>
        <v>436.07040000000001</v>
      </c>
      <c r="GA22" s="18">
        <f>FZ22*VLOOKUP('Données projet'!$B$17,Paramètres!$A$1:$I$89,3,0)*VLOOKUP('Données projet'!$B$17,Paramètres!$A$1:$I$89,5,0)</f>
        <v>221.76796262400003</v>
      </c>
      <c r="GB22" s="14">
        <f t="shared" si="49"/>
        <v>54.498964477019825</v>
      </c>
      <c r="GC22" s="22">
        <f t="shared" si="25"/>
        <v>481.16489803427618</v>
      </c>
      <c r="GD22" s="60">
        <f t="shared" si="26"/>
        <v>761.05378692316503</v>
      </c>
      <c r="GE22" s="60">
        <f ca="1">AVERAGE(OFFSET($GD$3,0,0,'Données projet'!$E$17+1,1))-AVERAGE(OFFSET($H$3,0,0,'Données projet'!$E$17+1,1))</f>
        <v>268.19959446602911</v>
      </c>
      <c r="GF22" s="60">
        <f t="shared" si="50"/>
        <v>691.2533336811855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9.6</v>
      </c>
      <c r="GU22" s="13">
        <f>IF('Données projet'!$A$270&gt;35,GU21+GT22-HC21,IF(A22&lt;'Données projet'!$A$270,$GR$205^A22,IF(A22='Données projet'!$A$270,'Données projet'!$B$270,GU21+GT22-HC21)))</f>
        <v>78.399999999999991</v>
      </c>
      <c r="GV22" s="18">
        <f>GU22*VLOOKUP('Données projet'!$B$18,Paramètres!$A$1:$I$89,3,0)*VLOOKUP('Données projet'!$B$18,Paramètres!$A$1:$I$89,5,0)</f>
        <v>61.151999999999994</v>
      </c>
      <c r="GW22" s="14">
        <f t="shared" si="51"/>
        <v>17.459207591071255</v>
      </c>
      <c r="GX22" s="22">
        <f t="shared" si="28"/>
        <v>136.9145198877824</v>
      </c>
      <c r="GY22" s="60">
        <f t="shared" si="29"/>
        <v>416.80340877667129</v>
      </c>
      <c r="GZ22" s="60">
        <f ca="1">AVERAGE(OFFSET($GY$3,0,0,'Données projet'!$E$18+1,1))-AVERAGE(OFFSET($H$3,0,0,'Données projet'!$E$18+1,1))</f>
        <v>292.57482726862594</v>
      </c>
      <c r="HA22" s="60">
        <f t="shared" si="52"/>
        <v>283.48738729114024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28</v>
      </c>
      <c r="L23" s="13">
        <f>VLOOKUP(A23,'Données projet'!$A$35:$I$55,9,0)</f>
        <v>1.4</v>
      </c>
      <c r="M23" s="13">
        <f t="array" ref="M23">INDEX(L:L,MIN(IF(ISNUMBER(L23:L219),ROW(L23:L219),"")))</f>
        <v>1.4</v>
      </c>
      <c r="N23" s="14">
        <f>IF('Données projet'!$A$36&gt;35,N22+M23-V22,IF(A23&lt;'Données projet'!$A$36,$K$205^A23,IF(A23='Données projet'!$A$36,'Données projet'!$B$36,N22+M23-V22)))</f>
        <v>28</v>
      </c>
      <c r="O23" s="14">
        <f>N23*VLOOKUP('Données projet'!$B$9,Paramètres!$A$1:$I$89,3,0)*VLOOKUP('Données projet'!$B$9,Paramètres!$A$1:$I$89,5,0)</f>
        <v>13.104000000000001</v>
      </c>
      <c r="P23" s="14">
        <f t="shared" si="33"/>
        <v>4.4760006109979793</v>
      </c>
      <c r="Q23" s="22">
        <f t="shared" si="2"/>
        <v>30.618501064154817</v>
      </c>
      <c r="R23" s="60">
        <f t="shared" si="0"/>
        <v>311.72961217526597</v>
      </c>
      <c r="S23" s="60">
        <f ca="1">AVERAGE(OFFSET($R$3,0,0,'Données projet'!$E$9+1,1))-AVERAGE(OFFSET($H$3,0,0,'Données projet'!$E$9+1,1))</f>
        <v>399.92909819003523</v>
      </c>
      <c r="T23" s="60">
        <f t="shared" si="34"/>
        <v>163.7053537268381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91</v>
      </c>
      <c r="AG23" s="13">
        <f>VLOOKUP(A23,'Données projet'!$A$61:$I$81,9,0)</f>
        <v>4.55</v>
      </c>
      <c r="AH23" s="13">
        <f t="array" ref="AH23">INDEX(AG:AG,MIN(IF(ISNUMBER(AG23:AG219),ROW(AG23:AG219),"")))</f>
        <v>4.55</v>
      </c>
      <c r="AI23" s="14">
        <f>IF('Données projet'!$A$62&gt;35,AI22+AH23-AQ22,IF(A23&lt;'Données projet'!$A$62,$AF$205^A23,IF(A23='Données projet'!$A$62,'Données projet'!$B$62,AI22+AH23-AQ22)))</f>
        <v>91</v>
      </c>
      <c r="AJ23" s="14">
        <f>AI23*VLOOKUP('Données projet'!$B$10,Paramètres!$A$1:$I$89,3,0)*VLOOKUP('Données projet'!$B$10,Paramètres!$A$1:$I$89,5,0)</f>
        <v>54.417999999999999</v>
      </c>
      <c r="AK23" s="14">
        <f t="shared" si="35"/>
        <v>15.749044324804036</v>
      </c>
      <c r="AL23" s="22">
        <f t="shared" si="4"/>
        <v>122.20760219903367</v>
      </c>
      <c r="AM23" s="60">
        <f t="shared" si="5"/>
        <v>403.3187133101448</v>
      </c>
      <c r="AN23" s="60">
        <f ca="1">AVERAGE(OFFSET($AM$3,0,0,'Données projet'!$E$10+1,1))-AVERAGE(OFFSET($H$3,0,0,'Données projet'!$E$10+1,1))</f>
        <v>455.43477166687273</v>
      </c>
      <c r="AO23" s="60">
        <f t="shared" si="36"/>
        <v>312.81310692672895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0">
        <f t="shared" si="8"/>
        <v>367.26962158162712</v>
      </c>
      <c r="BI23" s="60">
        <f ca="1">AVERAGE(OFFSET($BH$3,0,0,'Données projet'!$E$11+1,1))-AVERAGE(OFFSET($H$3,0,0,'Données projet'!$E$11+1,1))</f>
        <v>430.11660085503223</v>
      </c>
      <c r="BJ23" s="60">
        <f t="shared" si="38"/>
        <v>231.36959598460686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42.588000000000001</v>
      </c>
      <c r="CA23" s="14">
        <f t="shared" si="39"/>
        <v>12.682073764365764</v>
      </c>
      <c r="CB23" s="22">
        <f t="shared" si="10"/>
        <v>96.262045139603686</v>
      </c>
      <c r="CC23" s="60">
        <f t="shared" si="11"/>
        <v>377.37315625071483</v>
      </c>
      <c r="CD23" s="60">
        <f ca="1">AVERAGE(OFFSET($CC$3,0,0,'Données projet'!$E$12+1,1))-AVERAGE(OFFSET($H$3,0,0,'Données projet'!$E$12+1,1))</f>
        <v>476.8965664931755</v>
      </c>
      <c r="CE23" s="60">
        <f t="shared" si="40"/>
        <v>254.25036207346591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40.622399999999999</v>
      </c>
      <c r="CV23" s="14">
        <f t="shared" si="41"/>
        <v>12.163465560290264</v>
      </c>
      <c r="CW23" s="22">
        <f t="shared" si="13"/>
        <v>91.935382517505545</v>
      </c>
      <c r="CX23" s="60">
        <f t="shared" si="14"/>
        <v>373.0464936286167</v>
      </c>
      <c r="CY23" s="60">
        <f ca="1">AVERAGE(OFFSET($CX$3,0,0,'Données projet'!$E$13+1,1))-AVERAGE(OFFSET($H$3,0,0,'Données projet'!$E$13+1,1))</f>
        <v>456.86147223520601</v>
      </c>
      <c r="CZ23" s="60">
        <f t="shared" si="42"/>
        <v>244.45149244446094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44.871794871794869</v>
      </c>
      <c r="DM23" s="13">
        <f>VLOOKUP(A23,'Données projet'!$A$165:$I$185,9,0)</f>
        <v>4.4871794871794872</v>
      </c>
      <c r="DN23" s="13">
        <f t="array" ref="DN23">INDEX(DM:DM,MIN(IF(ISNUMBER(DM23:DM219),ROW(DM23:DM219),"")))</f>
        <v>4.4871794871794872</v>
      </c>
      <c r="DO23" s="13">
        <f>IF('Données projet'!$A$166&gt;35,DO22+DN23-DW22,IF(A23&lt;'Données projet'!$A$166,$DL$205^A23,IF(A23='Données projet'!$A$166,'Données projet'!$B$166,DO22+DN23-DW22)))</f>
        <v>44.871794871794876</v>
      </c>
      <c r="DP23" s="18">
        <f>DO23*VLOOKUP('Données projet'!$B$14,Paramètres!$A$1:$I$89,3,0)*VLOOKUP('Données projet'!$B$14,Paramètres!$A$1:$I$89,5,0)</f>
        <v>42.7</v>
      </c>
      <c r="DQ23" s="14">
        <f t="shared" si="43"/>
        <v>12.711539029096146</v>
      </c>
      <c r="DR23" s="22">
        <f t="shared" si="16"/>
        <v>96.50843047567578</v>
      </c>
      <c r="DS23" s="60">
        <f t="shared" si="17"/>
        <v>377.61954158678691</v>
      </c>
      <c r="DT23" s="60">
        <f ca="1">AVERAGE(OFFSET($DS$3,0,0,'Données projet'!$E$14+1,1))-AVERAGE(OFFSET($H$3,0,0,'Données projet'!$E$14+1,1))</f>
        <v>300.36889324671682</v>
      </c>
      <c r="DU23" s="60">
        <f t="shared" si="44"/>
        <v>214.36051699039683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10.897435897435898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18</v>
      </c>
      <c r="EH23" s="13">
        <f>VLOOKUP(A23,'Données projet'!$A$191:$I$211,9,0)</f>
        <v>0.9</v>
      </c>
      <c r="EI23" s="13">
        <f t="array" ref="EI23">INDEX(EH:EH,MIN(IF(ISNUMBER(EH23:EH219),ROW(EH23:EH219),"")))</f>
        <v>0.9</v>
      </c>
      <c r="EJ23" s="13">
        <f>IF('Données projet'!$A$192&gt;35,EJ22+EI23-ER22,IF(A23&lt;'Données projet'!$A$192,$EG$205^A23,IF(A23='Données projet'!$A$192,'Données projet'!$B$192,EJ22+EI23-ER22)))</f>
        <v>18</v>
      </c>
      <c r="EK23" s="18">
        <f>EJ23*VLOOKUP('Données projet'!$B$15,Paramètres!$A$1:$I$89,3,0)*VLOOKUP('Données projet'!$B$15,Paramètres!$A$1:$I$89,5,0)</f>
        <v>15.724800000000004</v>
      </c>
      <c r="EL23" s="14">
        <f t="shared" si="45"/>
        <v>5.2584129176484753</v>
      </c>
      <c r="EM23" s="22">
        <f t="shared" si="19"/>
        <v>36.545762498237771</v>
      </c>
      <c r="EN23" s="60">
        <f t="shared" si="20"/>
        <v>317.65687360934891</v>
      </c>
      <c r="EO23" s="60">
        <f ca="1">AVERAGE(OFFSET($EN$3,0,0,'Données projet'!$E$15+1,1))-AVERAGE(OFFSET($H$3,0,0,'Données projet'!$E$15+1,1))</f>
        <v>202.46844517174412</v>
      </c>
      <c r="EP23" s="60">
        <f t="shared" si="46"/>
        <v>185.00219255324515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115.38461538461539</v>
      </c>
      <c r="FC23" s="13">
        <f>VLOOKUP(A23,'Données projet'!$A$217:$I$237,9,0)</f>
        <v>9.3589743589743595</v>
      </c>
      <c r="FD23" s="13">
        <f t="array" ref="FD23">INDEX(FC:FC,MIN(IF(ISNUMBER(FC23:FC219),ROW(FC23:FC219),"")))</f>
        <v>9.3589743589743595</v>
      </c>
      <c r="FE23" s="13">
        <f>IF('Données projet'!$A$218&gt;35,FE22+FD23-FM22,IF(A23&lt;'Données projet'!$A$218,$FB$205^A23,IF(A23='Données projet'!$A$218,'Données projet'!$B$218,FE22+FD23-FM22)))</f>
        <v>115.38461538461542</v>
      </c>
      <c r="FF23" s="18">
        <f>FE23*VLOOKUP('Données projet'!$B$16,Paramètres!$A$1:$I$89,3,0)*VLOOKUP('Données projet'!$B$16,Paramètres!$A$1:$I$89,5,0)</f>
        <v>77.40000000000002</v>
      </c>
      <c r="FG23" s="14">
        <f t="shared" si="47"/>
        <v>21.500253361808461</v>
      </c>
      <c r="FH23" s="22">
        <f t="shared" si="22"/>
        <v>172.25127460514977</v>
      </c>
      <c r="FI23" s="60">
        <f t="shared" si="23"/>
        <v>453.36238571626092</v>
      </c>
      <c r="FJ23" s="60">
        <f ca="1">AVERAGE(OFFSET($FI$3,0,0,'Données projet'!$E$16+1,1))-AVERAGE(OFFSET($H$3,0,0,'Données projet'!$E$16+1,1))</f>
        <v>344.87493856469382</v>
      </c>
      <c r="FK23" s="60">
        <f t="shared" si="48"/>
        <v>261.91036689641402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470.01599999999996</v>
      </c>
      <c r="FX23" s="13">
        <f>VLOOKUP(A23,'Données projet'!$A$243:$I$263,9,0)</f>
        <v>33.945599999999956</v>
      </c>
      <c r="FY23" s="13">
        <f t="array" ref="FY23">INDEX(FX:FX,MIN(IF(ISNUMBER(FX23:FX219),ROW(FX23:FX219),"")))</f>
        <v>33.945599999999956</v>
      </c>
      <c r="FZ23" s="13">
        <f>IF('Données projet'!$A$244&gt;35,FZ22+FY23-GH22,IF(A23&lt;'Données projet'!$A$244,$FW$205^A23,IF(A23='Données projet'!$A$244,'Données projet'!$B$244,FZ22+FY23-GH22)))</f>
        <v>470.01599999999996</v>
      </c>
      <c r="GA23" s="18">
        <f>FZ23*VLOOKUP('Données projet'!$B$17,Paramètres!$A$1:$I$89,3,0)*VLOOKUP('Données projet'!$B$17,Paramètres!$A$1:$I$89,5,0)</f>
        <v>239.03133696</v>
      </c>
      <c r="GB23" s="14">
        <f t="shared" si="49"/>
        <v>58.231068880455886</v>
      </c>
      <c r="GC23" s="22">
        <f t="shared" si="25"/>
        <v>517.73202350546057</v>
      </c>
      <c r="GD23" s="60">
        <f t="shared" si="26"/>
        <v>798.84313461657166</v>
      </c>
      <c r="GE23" s="60">
        <f ca="1">AVERAGE(OFFSET($GD$3,0,0,'Données projet'!$E$17+1,1))-AVERAGE(OFFSET($H$3,0,0,'Données projet'!$E$17+1,1))</f>
        <v>268.19959446602911</v>
      </c>
      <c r="GF23" s="60">
        <f t="shared" si="50"/>
        <v>691.2533336811855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88</v>
      </c>
      <c r="GS23" s="13">
        <f>VLOOKUP(A23,'Données projet'!$A$269:$I$289,9,0)</f>
        <v>9.6</v>
      </c>
      <c r="GT23" s="13">
        <f t="array" ref="GT23">INDEX(GS:GS,MIN(IF(ISNUMBER(GS23:GS219),ROW(GS23:GS219),"")))</f>
        <v>9.6</v>
      </c>
      <c r="GU23" s="13">
        <f>IF('Données projet'!$A$270&gt;35,GU22+GT23-HC22,IF(A23&lt;'Données projet'!$A$270,$GR$205^A23,IF(A23='Données projet'!$A$270,'Données projet'!$B$270,GU22+GT23-HC22)))</f>
        <v>87.999999999999986</v>
      </c>
      <c r="GV23" s="18">
        <f>GU23*VLOOKUP('Données projet'!$B$18,Paramètres!$A$1:$I$89,3,0)*VLOOKUP('Données projet'!$B$18,Paramètres!$A$1:$I$89,5,0)</f>
        <v>68.639999999999986</v>
      </c>
      <c r="GW23" s="14">
        <f t="shared" si="51"/>
        <v>19.335336956640202</v>
      </c>
      <c r="GX23" s="22">
        <f t="shared" si="28"/>
        <v>153.22371186614834</v>
      </c>
      <c r="GY23" s="60">
        <f t="shared" si="29"/>
        <v>434.33482297725948</v>
      </c>
      <c r="GZ23" s="60">
        <f ca="1">AVERAGE(OFFSET($GY$3,0,0,'Données projet'!$E$18+1,1))-AVERAGE(OFFSET($H$3,0,0,'Données projet'!$E$18+1,1))</f>
        <v>292.57482726862594</v>
      </c>
      <c r="HA23" s="60">
        <f t="shared" si="52"/>
        <v>283.48738729114024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9.3000000000000007</v>
      </c>
      <c r="N24" s="14">
        <f>IF('Données projet'!$A$36&gt;35,N23+M24-V23,IF(A24&lt;'Données projet'!$A$36,$K$205^A24,IF(A24='Données projet'!$A$36,'Données projet'!$B$36,N23+M24-V23)))</f>
        <v>37.299999999999997</v>
      </c>
      <c r="O24" s="14">
        <f>N24*VLOOKUP('Données projet'!$B$9,Paramètres!$A$1:$I$89,3,0)*VLOOKUP('Données projet'!$B$9,Paramètres!$A$1:$I$89,5,0)</f>
        <v>17.456399999999999</v>
      </c>
      <c r="P24" s="14">
        <f t="shared" si="33"/>
        <v>5.7669106730837063</v>
      </c>
      <c r="Q24" s="22">
        <f t="shared" si="2"/>
        <v>40.447266088954116</v>
      </c>
      <c r="R24" s="60">
        <f t="shared" si="0"/>
        <v>322.78059942228742</v>
      </c>
      <c r="S24" s="60">
        <f ca="1">AVERAGE(OFFSET($R$3,0,0,'Données projet'!$E$9+1,1))-AVERAGE(OFFSET($H$3,0,0,'Données projet'!$E$9+1,1))</f>
        <v>399.92909819003523</v>
      </c>
      <c r="T24" s="60">
        <f t="shared" si="34"/>
        <v>163.7053537268381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11.9</v>
      </c>
      <c r="AI24" s="14">
        <f>IF('Données projet'!$A$62&gt;35,AI23+AH24-AQ23,IF(A24&lt;'Données projet'!$A$62,$AF$205^A24,IF(A24='Données projet'!$A$62,'Données projet'!$B$62,AI23+AH24-AQ23)))</f>
        <v>102.9</v>
      </c>
      <c r="AJ24" s="14">
        <f>AI24*VLOOKUP('Données projet'!$B$10,Paramètres!$A$1:$I$89,3,0)*VLOOKUP('Données projet'!$B$10,Paramètres!$A$1:$I$89,5,0)</f>
        <v>61.534200000000006</v>
      </c>
      <c r="AK24" s="14">
        <f t="shared" si="35"/>
        <v>17.555591074076496</v>
      </c>
      <c r="AL24" s="22">
        <f t="shared" si="4"/>
        <v>137.74805278734991</v>
      </c>
      <c r="AM24" s="60">
        <f t="shared" si="5"/>
        <v>420.08138612068319</v>
      </c>
      <c r="AN24" s="60">
        <f ca="1">AVERAGE(OFFSET($AM$3,0,0,'Données projet'!$E$10+1,1))-AVERAGE(OFFSET($H$3,0,0,'Données projet'!$E$10+1,1))</f>
        <v>455.43477166687273</v>
      </c>
      <c r="AO24" s="60">
        <f t="shared" si="36"/>
        <v>312.81310692672895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0">
        <f t="shared" si="8"/>
        <v>379.65226125630295</v>
      </c>
      <c r="BI24" s="60">
        <f ca="1">AVERAGE(OFFSET($BH$3,0,0,'Données projet'!$E$11+1,1))-AVERAGE(OFFSET($H$3,0,0,'Données projet'!$E$11+1,1))</f>
        <v>430.11660085503223</v>
      </c>
      <c r="BJ24" s="60">
        <f t="shared" si="38"/>
        <v>231.36959598460686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48.266400000000004</v>
      </c>
      <c r="CA24" s="14">
        <f t="shared" si="39"/>
        <v>14.165134590154434</v>
      </c>
      <c r="CB24" s="22">
        <f t="shared" si="10"/>
        <v>108.73492274451898</v>
      </c>
      <c r="CC24" s="60">
        <f t="shared" si="11"/>
        <v>391.06825607785231</v>
      </c>
      <c r="CD24" s="60">
        <f ca="1">AVERAGE(OFFSET($CC$3,0,0,'Données projet'!$E$12+1,1))-AVERAGE(OFFSET($H$3,0,0,'Données projet'!$E$12+1,1))</f>
        <v>476.8965664931755</v>
      </c>
      <c r="CE24" s="60">
        <f t="shared" si="40"/>
        <v>254.25036207346591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46.038720000000005</v>
      </c>
      <c r="CV24" s="14">
        <f t="shared" si="41"/>
        <v>13.585879560828786</v>
      </c>
      <c r="CW24" s="22">
        <f t="shared" si="13"/>
        <v>103.84617756844348</v>
      </c>
      <c r="CX24" s="60">
        <f t="shared" si="14"/>
        <v>386.17951090177678</v>
      </c>
      <c r="CY24" s="60">
        <f ca="1">AVERAGE(OFFSET($CX$3,0,0,'Données projet'!$E$13+1,1))-AVERAGE(OFFSET($H$3,0,0,'Données projet'!$E$13+1,1))</f>
        <v>456.86147223520601</v>
      </c>
      <c r="CZ24" s="60">
        <f t="shared" si="42"/>
        <v>244.45149244446094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4.8717948717948714</v>
      </c>
      <c r="DO24" s="13">
        <f>IF('Données projet'!$A$166&gt;35,DO23+DN24-DW23,IF(A24&lt;'Données projet'!$A$166,$DL$205^A24,IF(A24='Données projet'!$A$166,'Données projet'!$B$166,DO23+DN24-DW23)))</f>
        <v>38.846153846153847</v>
      </c>
      <c r="DP24" s="18">
        <f>DO24*VLOOKUP('Données projet'!$B$14,Paramètres!$A$1:$I$89,3,0)*VLOOKUP('Données projet'!$B$14,Paramètres!$A$1:$I$89,5,0)</f>
        <v>36.966000000000001</v>
      </c>
      <c r="DQ24" s="14">
        <f t="shared" si="43"/>
        <v>11.190830499374716</v>
      </c>
      <c r="DR24" s="22">
        <f t="shared" si="16"/>
        <v>83.873146453077638</v>
      </c>
      <c r="DS24" s="60">
        <f t="shared" si="17"/>
        <v>366.20647978641097</v>
      </c>
      <c r="DT24" s="60">
        <f ca="1">AVERAGE(OFFSET($DS$3,0,0,'Données projet'!$E$14+1,1))-AVERAGE(OFFSET($H$3,0,0,'Données projet'!$E$14+1,1))</f>
        <v>300.36889324671682</v>
      </c>
      <c r="DU24" s="60">
        <f t="shared" si="44"/>
        <v>214.36051699039683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7.6</v>
      </c>
      <c r="EJ24" s="13">
        <f>IF('Données projet'!$A$192&gt;35,EJ23+EI24-ER23,IF(A24&lt;'Données projet'!$A$192,$EG$205^A24,IF(A24='Données projet'!$A$192,'Données projet'!$B$192,EJ23+EI24-ER23)))</f>
        <v>25.6</v>
      </c>
      <c r="EK24" s="18">
        <f>EJ24*VLOOKUP('Données projet'!$B$15,Paramètres!$A$1:$I$89,3,0)*VLOOKUP('Données projet'!$B$15,Paramètres!$A$1:$I$89,5,0)</f>
        <v>22.364160000000005</v>
      </c>
      <c r="EL24" s="14">
        <f t="shared" si="45"/>
        <v>7.1782194944528523</v>
      </c>
      <c r="EM24" s="22">
        <f t="shared" si="19"/>
        <v>51.452977619505397</v>
      </c>
      <c r="EN24" s="60">
        <f t="shared" si="20"/>
        <v>333.78631095283873</v>
      </c>
      <c r="EO24" s="60">
        <f ca="1">AVERAGE(OFFSET($EN$3,0,0,'Données projet'!$E$15+1,1))-AVERAGE(OFFSET($H$3,0,0,'Données projet'!$E$15+1,1))</f>
        <v>202.46844517174412</v>
      </c>
      <c r="EP24" s="60">
        <f t="shared" si="46"/>
        <v>185.00219255324515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9.2307692307692264</v>
      </c>
      <c r="FE24" s="13">
        <f>IF('Données projet'!$A$218&gt;35,FE23+FD24-FM23,IF(A24&lt;'Données projet'!$A$218,$FB$205^A24,IF(A24='Données projet'!$A$218,'Données projet'!$B$218,FE23+FD24-FM23)))</f>
        <v>124.61538461538464</v>
      </c>
      <c r="FF24" s="18">
        <f>FE24*VLOOKUP('Données projet'!$B$16,Paramètres!$A$1:$I$89,3,0)*VLOOKUP('Données projet'!$B$16,Paramètres!$A$1:$I$89,5,0)</f>
        <v>83.592000000000027</v>
      </c>
      <c r="FG24" s="14">
        <f t="shared" si="47"/>
        <v>23.013189205309121</v>
      </c>
      <c r="FH24" s="22">
        <f t="shared" si="22"/>
        <v>185.67070453258009</v>
      </c>
      <c r="FI24" s="60">
        <f t="shared" si="23"/>
        <v>468.0040378659134</v>
      </c>
      <c r="FJ24" s="60">
        <f ca="1">AVERAGE(OFFSET($FI$3,0,0,'Données projet'!$E$16+1,1))-AVERAGE(OFFSET($H$3,0,0,'Données projet'!$E$16+1,1))</f>
        <v>344.87493856469382</v>
      </c>
      <c r="FK24" s="60">
        <f t="shared" si="48"/>
        <v>261.91036689641402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501.35040000000004</v>
      </c>
      <c r="FX24" s="13">
        <f>VLOOKUP(A24,'Données projet'!$A$243:$I$263,9,0)</f>
        <v>31.334400000000073</v>
      </c>
      <c r="FY24" s="13">
        <f t="array" ref="FY24">INDEX(FX:FX,MIN(IF(ISNUMBER(FX24:FX220),ROW(FX24:FX220),"")))</f>
        <v>31.334400000000073</v>
      </c>
      <c r="FZ24" s="13">
        <f>IF('Données projet'!$A$244&gt;35,FZ23+FY24-GH23,IF(A24&lt;'Données projet'!$A$244,$FW$205^A24,IF(A24='Données projet'!$A$244,'Données projet'!$B$244,FZ23+FY24-GH23)))</f>
        <v>501.35040000000004</v>
      </c>
      <c r="GA24" s="18">
        <f>FZ24*VLOOKUP('Données projet'!$B$17,Paramètres!$A$1:$I$89,3,0)*VLOOKUP('Données projet'!$B$17,Paramètres!$A$1:$I$89,5,0)</f>
        <v>254.96675942400003</v>
      </c>
      <c r="GB24" s="14">
        <f t="shared" si="49"/>
        <v>61.648276877542948</v>
      </c>
      <c r="GC24" s="22">
        <f t="shared" si="25"/>
        <v>551.43785489185404</v>
      </c>
      <c r="GD24" s="60">
        <f t="shared" si="26"/>
        <v>833.77118822518742</v>
      </c>
      <c r="GE24" s="60">
        <f ca="1">AVERAGE(OFFSET($GD$3,0,0,'Données projet'!$E$17+1,1))-AVERAGE(OFFSET($H$3,0,0,'Données projet'!$E$17+1,1))</f>
        <v>268.19959446602911</v>
      </c>
      <c r="GF24" s="60">
        <f t="shared" si="50"/>
        <v>691.2533336811855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10.6</v>
      </c>
      <c r="GU24" s="13">
        <f>IF('Données projet'!$A$270&gt;35,GU23+GT24-HC23,IF(A24&lt;'Données projet'!$A$270,$GR$205^A24,IF(A24='Données projet'!$A$270,'Données projet'!$B$270,GU23+GT24-HC23)))</f>
        <v>98.59999999999998</v>
      </c>
      <c r="GV24" s="18">
        <f>GU24*VLOOKUP('Données projet'!$B$18,Paramètres!$A$1:$I$89,3,0)*VLOOKUP('Données projet'!$B$18,Paramètres!$A$1:$I$89,5,0)</f>
        <v>76.907999999999987</v>
      </c>
      <c r="GW24" s="14">
        <f t="shared" si="51"/>
        <v>21.379448490435635</v>
      </c>
      <c r="GX24" s="22">
        <f t="shared" si="28"/>
        <v>171.18397278750868</v>
      </c>
      <c r="GY24" s="60">
        <f t="shared" si="29"/>
        <v>453.51730612084202</v>
      </c>
      <c r="GZ24" s="60">
        <f ca="1">AVERAGE(OFFSET($GY$3,0,0,'Données projet'!$E$18+1,1))-AVERAGE(OFFSET($H$3,0,0,'Données projet'!$E$18+1,1))</f>
        <v>292.57482726862594</v>
      </c>
      <c r="HA24" s="60">
        <f t="shared" si="52"/>
        <v>283.48738729114024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9.3000000000000007</v>
      </c>
      <c r="N25" s="14">
        <f>IF('Données projet'!$A$36&gt;35,N24+M25-V24,IF(A25&lt;'Données projet'!$A$36,$K$205^A25,IF(A25='Données projet'!$A$36,'Données projet'!$B$36,N24+M25-V24)))</f>
        <v>46.599999999999994</v>
      </c>
      <c r="O25" s="14">
        <f>N25*VLOOKUP('Données projet'!$B$9,Paramètres!$A$1:$I$89,3,0)*VLOOKUP('Données projet'!$B$9,Paramètres!$A$1:$I$89,5,0)</f>
        <v>21.808799999999994</v>
      </c>
      <c r="P25" s="14">
        <f t="shared" si="33"/>
        <v>7.0204846906618394</v>
      </c>
      <c r="Q25" s="22">
        <f t="shared" si="2"/>
        <v>50.211004169569357</v>
      </c>
      <c r="R25" s="60">
        <f t="shared" si="0"/>
        <v>333.76655972512492</v>
      </c>
      <c r="S25" s="60">
        <f ca="1">AVERAGE(OFFSET($R$3,0,0,'Données projet'!$E$9+1,1))-AVERAGE(OFFSET($H$3,0,0,'Données projet'!$E$9+1,1))</f>
        <v>399.92909819003523</v>
      </c>
      <c r="T25" s="60">
        <f t="shared" si="34"/>
        <v>163.7053537268381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11.9</v>
      </c>
      <c r="AI25" s="14">
        <f>IF('Données projet'!$A$62&gt;35,AI24+AH25-AQ24,IF(A25&lt;'Données projet'!$A$62,$AF$205^A25,IF(A25='Données projet'!$A$62,'Données projet'!$B$62,AI24+AH25-AQ24)))</f>
        <v>114.80000000000001</v>
      </c>
      <c r="AJ25" s="14">
        <f>AI25*VLOOKUP('Données projet'!$B$10,Paramètres!$A$1:$I$89,3,0)*VLOOKUP('Données projet'!$B$10,Paramètres!$A$1:$I$89,5,0)</f>
        <v>68.650400000000005</v>
      </c>
      <c r="AK25" s="14">
        <f t="shared" si="35"/>
        <v>19.337925525289805</v>
      </c>
      <c r="AL25" s="22">
        <f t="shared" si="4"/>
        <v>153.24633362321308</v>
      </c>
      <c r="AM25" s="60">
        <f t="shared" si="5"/>
        <v>436.80188917876865</v>
      </c>
      <c r="AN25" s="60">
        <f ca="1">AVERAGE(OFFSET($AM$3,0,0,'Données projet'!$E$10+1,1))-AVERAGE(OFFSET($H$3,0,0,'Données projet'!$E$10+1,1))</f>
        <v>455.43477166687273</v>
      </c>
      <c r="AO25" s="60">
        <f t="shared" si="36"/>
        <v>312.81310692672895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0">
        <f t="shared" si="8"/>
        <v>392.00305746847613</v>
      </c>
      <c r="BI25" s="60">
        <f ca="1">AVERAGE(OFFSET($BH$3,0,0,'Données projet'!$E$11+1,1))-AVERAGE(OFFSET($H$3,0,0,'Données projet'!$E$11+1,1))</f>
        <v>430.11660085503223</v>
      </c>
      <c r="BJ25" s="60">
        <f t="shared" si="38"/>
        <v>231.36959598460686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53.944800000000008</v>
      </c>
      <c r="CA25" s="14">
        <f t="shared" si="39"/>
        <v>15.627975445731321</v>
      </c>
      <c r="CB25" s="22">
        <f t="shared" si="10"/>
        <v>121.17258390131538</v>
      </c>
      <c r="CC25" s="60">
        <f t="shared" si="11"/>
        <v>404.72813945687091</v>
      </c>
      <c r="CD25" s="60">
        <f ca="1">AVERAGE(OFFSET($CC$3,0,0,'Données projet'!$E$12+1,1))-AVERAGE(OFFSET($H$3,0,0,'Données projet'!$E$12+1,1))</f>
        <v>476.8965664931755</v>
      </c>
      <c r="CE25" s="60">
        <f t="shared" si="40"/>
        <v>254.25036207346591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51.455040000000004</v>
      </c>
      <c r="CV25" s="14">
        <f t="shared" si="41"/>
        <v>14.988900446655085</v>
      </c>
      <c r="CW25" s="22">
        <f t="shared" si="13"/>
        <v>115.72319627792427</v>
      </c>
      <c r="CX25" s="60">
        <f t="shared" si="14"/>
        <v>399.27875183347982</v>
      </c>
      <c r="CY25" s="60">
        <f ca="1">AVERAGE(OFFSET($CX$3,0,0,'Données projet'!$E$13+1,1))-AVERAGE(OFFSET($H$3,0,0,'Données projet'!$E$13+1,1))</f>
        <v>456.86147223520601</v>
      </c>
      <c r="CZ25" s="60">
        <f t="shared" si="42"/>
        <v>244.45149244446094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4.8717948717948714</v>
      </c>
      <c r="DO25" s="13">
        <f>IF('Données projet'!$A$166&gt;35,DO24+DN25-DW24,IF(A25&lt;'Données projet'!$A$166,$DL$205^A25,IF(A25='Données projet'!$A$166,'Données projet'!$B$166,DO24+DN25-DW24)))</f>
        <v>43.717948717948715</v>
      </c>
      <c r="DP25" s="18">
        <f>DO25*VLOOKUP('Données projet'!$B$14,Paramètres!$A$1:$I$89,3,0)*VLOOKUP('Données projet'!$B$14,Paramètres!$A$1:$I$89,5,0)</f>
        <v>41.601999999999997</v>
      </c>
      <c r="DQ25" s="14">
        <f t="shared" si="43"/>
        <v>12.422281900716454</v>
      </c>
      <c r="DR25" s="22">
        <f t="shared" si="16"/>
        <v>94.092290977081163</v>
      </c>
      <c r="DS25" s="60">
        <f t="shared" si="17"/>
        <v>377.64784653263672</v>
      </c>
      <c r="DT25" s="60">
        <f ca="1">AVERAGE(OFFSET($DS$3,0,0,'Données projet'!$E$14+1,1))-AVERAGE(OFFSET($H$3,0,0,'Données projet'!$E$14+1,1))</f>
        <v>300.36889324671682</v>
      </c>
      <c r="DU25" s="60">
        <f t="shared" si="44"/>
        <v>214.36051699039683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7.6</v>
      </c>
      <c r="EJ25" s="13">
        <f>IF('Données projet'!$A$192&gt;35,EJ24+EI25-ER24,IF(A25&lt;'Données projet'!$A$192,$EG$205^A25,IF(A25='Données projet'!$A$192,'Données projet'!$B$192,EJ24+EI25-ER24)))</f>
        <v>33.200000000000003</v>
      </c>
      <c r="EK25" s="18">
        <f>EJ25*VLOOKUP('Données projet'!$B$15,Paramètres!$A$1:$I$89,3,0)*VLOOKUP('Données projet'!$B$15,Paramètres!$A$1:$I$89,5,0)</f>
        <v>29.003520000000005</v>
      </c>
      <c r="EL25" s="14">
        <f t="shared" si="45"/>
        <v>9.0317833500167612</v>
      </c>
      <c r="EM25" s="22">
        <f t="shared" si="19"/>
        <v>66.244820001279194</v>
      </c>
      <c r="EN25" s="60">
        <f t="shared" si="20"/>
        <v>349.80037555683475</v>
      </c>
      <c r="EO25" s="60">
        <f ca="1">AVERAGE(OFFSET($EN$3,0,0,'Données projet'!$E$15+1,1))-AVERAGE(OFFSET($H$3,0,0,'Données projet'!$E$15+1,1))</f>
        <v>202.46844517174412</v>
      </c>
      <c r="EP25" s="60">
        <f t="shared" si="46"/>
        <v>185.00219255324515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9.2307692307692264</v>
      </c>
      <c r="FE25" s="13">
        <f>IF('Données projet'!$A$218&gt;35,FE24+FD25-FM24,IF(A25&lt;'Données projet'!$A$218,$FB$205^A25,IF(A25='Données projet'!$A$218,'Données projet'!$B$218,FE24+FD25-FM24)))</f>
        <v>133.84615384615387</v>
      </c>
      <c r="FF25" s="18">
        <f>FE25*VLOOKUP('Données projet'!$B$16,Paramètres!$A$1:$I$89,3,0)*VLOOKUP('Données projet'!$B$16,Paramètres!$A$1:$I$89,5,0)</f>
        <v>89.784000000000006</v>
      </c>
      <c r="FG25" s="14">
        <f t="shared" si="47"/>
        <v>24.513123712181578</v>
      </c>
      <c r="FH25" s="22">
        <f t="shared" si="22"/>
        <v>199.06749046538292</v>
      </c>
      <c r="FI25" s="60">
        <f t="shared" si="23"/>
        <v>482.62304602093843</v>
      </c>
      <c r="FJ25" s="60">
        <f ca="1">AVERAGE(OFFSET($FI$3,0,0,'Données projet'!$E$16+1,1))-AVERAGE(OFFSET($H$3,0,0,'Données projet'!$E$16+1,1))</f>
        <v>344.87493856469382</v>
      </c>
      <c r="FK25" s="60">
        <f t="shared" si="48"/>
        <v>261.91036689641402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530.07360000000006</v>
      </c>
      <c r="FX25" s="13">
        <f>VLOOKUP(A25,'Données projet'!$A$243:$I$263,9,0)</f>
        <v>28.72320000000002</v>
      </c>
      <c r="FY25" s="13">
        <f t="array" ref="FY25">INDEX(FX:FX,MIN(IF(ISNUMBER(FX25:FX221),ROW(FX25:FX221),"")))</f>
        <v>28.72320000000002</v>
      </c>
      <c r="FZ25" s="13">
        <f>IF('Données projet'!$A$244&gt;35,FZ24+FY25-GH24,IF(A25&lt;'Données projet'!$A$244,$FW$205^A25,IF(A25='Données projet'!$A$244,'Données projet'!$B$244,FZ24+FY25-GH24)))</f>
        <v>530.07360000000006</v>
      </c>
      <c r="GA25" s="18">
        <f>FZ25*VLOOKUP('Données projet'!$B$17,Paramètres!$A$1:$I$89,3,0)*VLOOKUP('Données projet'!$B$17,Paramètres!$A$1:$I$89,5,0)</f>
        <v>269.574230016</v>
      </c>
      <c r="GB25" s="14">
        <f t="shared" si="49"/>
        <v>64.758901853751837</v>
      </c>
      <c r="GC25" s="22">
        <f t="shared" si="25"/>
        <v>582.29687133981781</v>
      </c>
      <c r="GD25" s="60">
        <f t="shared" si="26"/>
        <v>865.85242689537336</v>
      </c>
      <c r="GE25" s="60">
        <f ca="1">AVERAGE(OFFSET($GD$3,0,0,'Données projet'!$E$17+1,1))-AVERAGE(OFFSET($H$3,0,0,'Données projet'!$E$17+1,1))</f>
        <v>268.19959446602911</v>
      </c>
      <c r="GF25" s="60">
        <f t="shared" si="50"/>
        <v>691.2533336811855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10.6</v>
      </c>
      <c r="GU25" s="13">
        <f>IF('Données projet'!$A$270&gt;35,GU24+GT25-HC24,IF(A25&lt;'Données projet'!$A$270,$GR$205^A25,IF(A25='Données projet'!$A$270,'Données projet'!$B$270,GU24+GT25-HC24)))</f>
        <v>109.19999999999997</v>
      </c>
      <c r="GV25" s="18">
        <f>GU25*VLOOKUP('Données projet'!$B$18,Paramètres!$A$1:$I$89,3,0)*VLOOKUP('Données projet'!$B$18,Paramètres!$A$1:$I$89,5,0)</f>
        <v>85.175999999999988</v>
      </c>
      <c r="GW25" s="14">
        <f t="shared" si="51"/>
        <v>23.398088487656434</v>
      </c>
      <c r="GX25" s="22">
        <f t="shared" si="28"/>
        <v>189.09987078266826</v>
      </c>
      <c r="GY25" s="60">
        <f t="shared" si="29"/>
        <v>472.65542633822383</v>
      </c>
      <c r="GZ25" s="60">
        <f ca="1">AVERAGE(OFFSET($GY$3,0,0,'Données projet'!$E$18+1,1))-AVERAGE(OFFSET($H$3,0,0,'Données projet'!$E$18+1,1))</f>
        <v>292.57482726862594</v>
      </c>
      <c r="HA25" s="60">
        <f t="shared" si="52"/>
        <v>283.48738729114024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9.3000000000000007</v>
      </c>
      <c r="N26" s="14">
        <f>IF('Données projet'!$A$36&gt;35,N25+M26-V25,IF(A26&lt;'Données projet'!$A$36,$K$205^A26,IF(A26='Données projet'!$A$36,'Données projet'!$B$36,N25+M26-V25)))</f>
        <v>55.899999999999991</v>
      </c>
      <c r="O26" s="14">
        <f>N26*VLOOKUP('Données projet'!$B$9,Paramètres!$A$1:$I$89,3,0)*VLOOKUP('Données projet'!$B$9,Paramètres!$A$1:$I$89,5,0)</f>
        <v>26.161199999999994</v>
      </c>
      <c r="P26" s="14">
        <f t="shared" si="33"/>
        <v>8.2450705120606234</v>
      </c>
      <c r="Q26" s="22">
        <f t="shared" si="2"/>
        <v>59.924254475172233</v>
      </c>
      <c r="R26" s="60">
        <f t="shared" si="0"/>
        <v>344.70203225295</v>
      </c>
      <c r="S26" s="60">
        <f ca="1">AVERAGE(OFFSET($R$3,0,0,'Données projet'!$E$9+1,1))-AVERAGE(OFFSET($H$3,0,0,'Données projet'!$E$9+1,1))</f>
        <v>399.92909819003523</v>
      </c>
      <c r="T26" s="60">
        <f t="shared" si="34"/>
        <v>163.7053537268381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11.9</v>
      </c>
      <c r="AI26" s="14">
        <f>IF('Données projet'!$A$62&gt;35,AI25+AH26-AQ25,IF(A26&lt;'Données projet'!$A$62,$AF$205^A26,IF(A26='Données projet'!$A$62,'Données projet'!$B$62,AI25+AH26-AQ25)))</f>
        <v>126.70000000000002</v>
      </c>
      <c r="AJ26" s="14">
        <f>AI26*VLOOKUP('Données projet'!$B$10,Paramètres!$A$1:$I$89,3,0)*VLOOKUP('Données projet'!$B$10,Paramètres!$A$1:$I$89,5,0)</f>
        <v>75.766600000000011</v>
      </c>
      <c r="AK26" s="14">
        <f t="shared" si="35"/>
        <v>21.098843362668632</v>
      </c>
      <c r="AL26" s="22">
        <f t="shared" si="4"/>
        <v>168.70731385664786</v>
      </c>
      <c r="AM26" s="60">
        <f t="shared" si="5"/>
        <v>453.48509163442566</v>
      </c>
      <c r="AN26" s="60">
        <f ca="1">AVERAGE(OFFSET($AM$3,0,0,'Données projet'!$E$10+1,1))-AVERAGE(OFFSET($H$3,0,0,'Données projet'!$E$10+1,1))</f>
        <v>455.43477166687273</v>
      </c>
      <c r="AO26" s="60">
        <f t="shared" si="36"/>
        <v>312.81310692672895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0">
        <f t="shared" si="8"/>
        <v>404.32574406333623</v>
      </c>
      <c r="BI26" s="60">
        <f ca="1">AVERAGE(OFFSET($BH$3,0,0,'Données projet'!$E$11+1,1))-AVERAGE(OFFSET($H$3,0,0,'Données projet'!$E$11+1,1))</f>
        <v>430.11660085503223</v>
      </c>
      <c r="BJ26" s="60">
        <f t="shared" si="38"/>
        <v>231.36959598460686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59.623200000000011</v>
      </c>
      <c r="CA26" s="14">
        <f t="shared" si="39"/>
        <v>17.072967249098898</v>
      </c>
      <c r="CB26" s="22">
        <f t="shared" si="10"/>
        <v>133.57915795884725</v>
      </c>
      <c r="CC26" s="60">
        <f t="shared" si="11"/>
        <v>418.35693573662502</v>
      </c>
      <c r="CD26" s="60">
        <f ca="1">AVERAGE(OFFSET($CC$3,0,0,'Données projet'!$E$12+1,1))-AVERAGE(OFFSET($H$3,0,0,'Données projet'!$E$12+1,1))</f>
        <v>476.8965664931755</v>
      </c>
      <c r="CE26" s="60">
        <f t="shared" si="40"/>
        <v>254.25036207346591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56.87136000000001</v>
      </c>
      <c r="CV26" s="14">
        <f t="shared" si="41"/>
        <v>16.374802181791551</v>
      </c>
      <c r="CW26" s="22">
        <f t="shared" si="13"/>
        <v>127.57039913328697</v>
      </c>
      <c r="CX26" s="60">
        <f t="shared" si="14"/>
        <v>412.34817691106474</v>
      </c>
      <c r="CY26" s="60">
        <f ca="1">AVERAGE(OFFSET($CX$3,0,0,'Données projet'!$E$13+1,1))-AVERAGE(OFFSET($H$3,0,0,'Données projet'!$E$13+1,1))</f>
        <v>456.86147223520601</v>
      </c>
      <c r="CZ26" s="60">
        <f t="shared" si="42"/>
        <v>244.45149244446094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4.8717948717948714</v>
      </c>
      <c r="DO26" s="13">
        <f>IF('Données projet'!$A$166&gt;35,DO25+DN26-DW25,IF(A26&lt;'Données projet'!$A$166,$DL$205^A26,IF(A26='Données projet'!$A$166,'Données projet'!$B$166,DO25+DN26-DW25)))</f>
        <v>48.589743589743584</v>
      </c>
      <c r="DP26" s="18">
        <f>DO26*VLOOKUP('Données projet'!$B$14,Paramètres!$A$1:$I$89,3,0)*VLOOKUP('Données projet'!$B$14,Paramètres!$A$1:$I$89,5,0)</f>
        <v>46.237999999999992</v>
      </c>
      <c r="DQ26" s="14">
        <f t="shared" si="43"/>
        <v>13.637828262248675</v>
      </c>
      <c r="DR26" s="22">
        <f t="shared" si="16"/>
        <v>104.28373422341643</v>
      </c>
      <c r="DS26" s="60">
        <f t="shared" si="17"/>
        <v>389.06151200119422</v>
      </c>
      <c r="DT26" s="60">
        <f ca="1">AVERAGE(OFFSET($DS$3,0,0,'Données projet'!$E$14+1,1))-AVERAGE(OFFSET($H$3,0,0,'Données projet'!$E$14+1,1))</f>
        <v>300.36889324671682</v>
      </c>
      <c r="DU26" s="60">
        <f t="shared" si="44"/>
        <v>214.36051699039683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7.6</v>
      </c>
      <c r="EJ26" s="13">
        <f>IF('Données projet'!$A$192&gt;35,EJ25+EI26-ER25,IF(A26&lt;'Données projet'!$A$192,$EG$205^A26,IF(A26='Données projet'!$A$192,'Données projet'!$B$192,EJ25+EI26-ER25)))</f>
        <v>40.800000000000004</v>
      </c>
      <c r="EK26" s="18">
        <f>EJ26*VLOOKUP('Données projet'!$B$15,Paramètres!$A$1:$I$89,3,0)*VLOOKUP('Données projet'!$B$15,Paramètres!$A$1:$I$89,5,0)</f>
        <v>35.642880000000012</v>
      </c>
      <c r="EL26" s="14">
        <f t="shared" si="45"/>
        <v>10.836155304531358</v>
      </c>
      <c r="EM26" s="22">
        <f t="shared" si="19"/>
        <v>80.950986488725476</v>
      </c>
      <c r="EN26" s="60">
        <f t="shared" si="20"/>
        <v>365.72876426650328</v>
      </c>
      <c r="EO26" s="60">
        <f ca="1">AVERAGE(OFFSET($EN$3,0,0,'Données projet'!$E$15+1,1))-AVERAGE(OFFSET($H$3,0,0,'Données projet'!$E$15+1,1))</f>
        <v>202.46844517174412</v>
      </c>
      <c r="EP26" s="60">
        <f t="shared" si="46"/>
        <v>185.00219255324515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9.2307692307692264</v>
      </c>
      <c r="FE26" s="13">
        <f>IF('Données projet'!$A$218&gt;35,FE25+FD26-FM25,IF(A26&lt;'Données projet'!$A$218,$FB$205^A26,IF(A26='Données projet'!$A$218,'Données projet'!$B$218,FE25+FD26-FM25)))</f>
        <v>143.07692307692309</v>
      </c>
      <c r="FF26" s="18">
        <f>FE26*VLOOKUP('Données projet'!$B$16,Paramètres!$A$1:$I$89,3,0)*VLOOKUP('Données projet'!$B$16,Paramètres!$A$1:$I$89,5,0)</f>
        <v>95.976000000000013</v>
      </c>
      <c r="FG26" s="14">
        <f t="shared" si="47"/>
        <v>26.001055526327377</v>
      </c>
      <c r="FH26" s="22">
        <f t="shared" si="22"/>
        <v>212.44337170835354</v>
      </c>
      <c r="FI26" s="60">
        <f t="shared" si="23"/>
        <v>497.22114948613131</v>
      </c>
      <c r="FJ26" s="60">
        <f ca="1">AVERAGE(OFFSET($FI$3,0,0,'Données projet'!$E$16+1,1))-AVERAGE(OFFSET($H$3,0,0,'Données projet'!$E$16+1,1))</f>
        <v>344.87493856469382</v>
      </c>
      <c r="FK26" s="60">
        <f t="shared" si="48"/>
        <v>261.91036689641402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>
        <f>VLOOKUP(A26,'Données projet'!$A$243:$I$263,2,0)</f>
        <v>556.18560000000002</v>
      </c>
      <c r="FX26" s="13">
        <f>VLOOKUP(A26,'Données projet'!$A$243:$I$263,9,0)</f>
        <v>26.111999999999966</v>
      </c>
      <c r="FY26" s="13">
        <f t="array" ref="FY26">INDEX(FX:FX,MIN(IF(ISNUMBER(FX26:FX222),ROW(FX26:FX222),"")))</f>
        <v>26.111999999999966</v>
      </c>
      <c r="FZ26" s="13">
        <f>IF('Données projet'!$A$244&gt;35,FZ25+FY26-GH25,IF(A26&lt;'Données projet'!$A$244,$FW$205^A26,IF(A26='Données projet'!$A$244,'Données projet'!$B$244,FZ25+FY26-GH25)))</f>
        <v>556.18560000000002</v>
      </c>
      <c r="GA26" s="18">
        <f>FZ26*VLOOKUP('Données projet'!$B$17,Paramètres!$A$1:$I$89,3,0)*VLOOKUP('Données projet'!$B$17,Paramètres!$A$1:$I$89,5,0)</f>
        <v>282.85374873600006</v>
      </c>
      <c r="GB26" s="14">
        <f t="shared" si="49"/>
        <v>67.569731644409813</v>
      </c>
      <c r="GC26" s="22">
        <f t="shared" si="25"/>
        <v>610.32089499588039</v>
      </c>
      <c r="GD26" s="60">
        <f t="shared" si="26"/>
        <v>895.09867277365811</v>
      </c>
      <c r="GE26" s="60">
        <f ca="1">AVERAGE(OFFSET($GD$3,0,0,'Données projet'!$E$17+1,1))-AVERAGE(OFFSET($H$3,0,0,'Données projet'!$E$17+1,1))</f>
        <v>268.19959446602911</v>
      </c>
      <c r="GF26" s="60">
        <f t="shared" si="50"/>
        <v>691.2533336811855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10.6</v>
      </c>
      <c r="GU26" s="13">
        <f>IF('Données projet'!$A$270&gt;35,GU25+GT26-HC25,IF(A26&lt;'Données projet'!$A$270,$GR$205^A26,IF(A26='Données projet'!$A$270,'Données projet'!$B$270,GU25+GT26-HC25)))</f>
        <v>119.79999999999997</v>
      </c>
      <c r="GV26" s="18">
        <f>GU26*VLOOKUP('Données projet'!$B$18,Paramètres!$A$1:$I$89,3,0)*VLOOKUP('Données projet'!$B$18,Paramètres!$A$1:$I$89,5,0)</f>
        <v>93.443999999999974</v>
      </c>
      <c r="GW26" s="14">
        <f t="shared" si="51"/>
        <v>25.394010816431489</v>
      </c>
      <c r="GX26" s="22">
        <f t="shared" si="28"/>
        <v>206.97620217195148</v>
      </c>
      <c r="GY26" s="60">
        <f t="shared" si="29"/>
        <v>491.75397994972923</v>
      </c>
      <c r="GZ26" s="60">
        <f ca="1">AVERAGE(OFFSET($GY$3,0,0,'Données projet'!$E$18+1,1))-AVERAGE(OFFSET($H$3,0,0,'Données projet'!$E$18+1,1))</f>
        <v>292.57482726862594</v>
      </c>
      <c r="HA26" s="60">
        <f t="shared" si="52"/>
        <v>283.48738729114024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9.3000000000000007</v>
      </c>
      <c r="N27" s="14">
        <f>IF('Données projet'!$A$36&gt;35,N26+M27-V26,IF(A27&lt;'Données projet'!$A$36,$K$205^A27,IF(A27='Données projet'!$A$36,'Données projet'!$B$36,N26+M27-V26)))</f>
        <v>65.199999999999989</v>
      </c>
      <c r="O27" s="14">
        <f>N27*VLOOKUP('Données projet'!$B$9,Paramètres!$A$1:$I$89,3,0)*VLOOKUP('Données projet'!$B$9,Paramètres!$A$1:$I$89,5,0)</f>
        <v>30.513599999999993</v>
      </c>
      <c r="P27" s="14">
        <f t="shared" si="33"/>
        <v>9.4460551368326566</v>
      </c>
      <c r="Q27" s="22">
        <f t="shared" si="2"/>
        <v>69.596399363316863</v>
      </c>
      <c r="R27" s="60">
        <f t="shared" si="0"/>
        <v>355.59639936331689</v>
      </c>
      <c r="S27" s="60">
        <f ca="1">AVERAGE(OFFSET($R$3,0,0,'Données projet'!$E$9+1,1))-AVERAGE(OFFSET($H$3,0,0,'Données projet'!$E$9+1,1))</f>
        <v>399.92909819003523</v>
      </c>
      <c r="T27" s="60">
        <f t="shared" si="34"/>
        <v>163.7053537268381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11.9</v>
      </c>
      <c r="AI27" s="14">
        <f>IF('Données projet'!$A$62&gt;35,AI26+AH27-AQ26,IF(A27&lt;'Données projet'!$A$62,$AF$205^A27,IF(A27='Données projet'!$A$62,'Données projet'!$B$62,AI26+AH27-AQ26)))</f>
        <v>138.60000000000002</v>
      </c>
      <c r="AJ27" s="14">
        <f>AI27*VLOOKUP('Données projet'!$B$10,Paramètres!$A$1:$I$89,3,0)*VLOOKUP('Données projet'!$B$10,Paramètres!$A$1:$I$89,5,0)</f>
        <v>82.882800000000017</v>
      </c>
      <c r="AK27" s="14">
        <f t="shared" si="35"/>
        <v>22.840584911380059</v>
      </c>
      <c r="AL27" s="22">
        <f t="shared" si="4"/>
        <v>184.13489538732028</v>
      </c>
      <c r="AM27" s="60">
        <f t="shared" si="5"/>
        <v>470.13489538732028</v>
      </c>
      <c r="AN27" s="60">
        <f ca="1">AVERAGE(OFFSET($AM$3,0,0,'Données projet'!$E$10+1,1))-AVERAGE(OFFSET($H$3,0,0,'Données projet'!$E$10+1,1))</f>
        <v>455.43477166687273</v>
      </c>
      <c r="AO27" s="60">
        <f t="shared" si="36"/>
        <v>312.81310692672895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0">
        <f t="shared" si="8"/>
        <v>416.62330272297186</v>
      </c>
      <c r="BI27" s="60">
        <f ca="1">AVERAGE(OFFSET($BH$3,0,0,'Données projet'!$E$11+1,1))-AVERAGE(OFFSET($H$3,0,0,'Données projet'!$E$11+1,1))</f>
        <v>430.11660085503223</v>
      </c>
      <c r="BJ27" s="60">
        <f t="shared" si="38"/>
        <v>231.36959598460686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65.301600000000008</v>
      </c>
      <c r="CA27" s="14">
        <f t="shared" si="39"/>
        <v>18.502003309535596</v>
      </c>
      <c r="CB27" s="22">
        <f t="shared" si="10"/>
        <v>145.95794243077449</v>
      </c>
      <c r="CC27" s="60">
        <f t="shared" si="11"/>
        <v>431.95794243077449</v>
      </c>
      <c r="CD27" s="60">
        <f ca="1">AVERAGE(OFFSET($CC$3,0,0,'Données projet'!$E$12+1,1))-AVERAGE(OFFSET($H$3,0,0,'Données projet'!$E$12+1,1))</f>
        <v>476.8965664931755</v>
      </c>
      <c r="CE27" s="60">
        <f t="shared" si="40"/>
        <v>254.25036207346591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62.287680000000009</v>
      </c>
      <c r="CV27" s="14">
        <f t="shared" si="41"/>
        <v>17.745400652396182</v>
      </c>
      <c r="CW27" s="22">
        <f t="shared" si="13"/>
        <v>139.39094880292336</v>
      </c>
      <c r="CX27" s="60">
        <f t="shared" si="14"/>
        <v>425.39094880292339</v>
      </c>
      <c r="CY27" s="60">
        <f ca="1">AVERAGE(OFFSET($CX$3,0,0,'Données projet'!$E$13+1,1))-AVERAGE(OFFSET($H$3,0,0,'Données projet'!$E$13+1,1))</f>
        <v>456.86147223520601</v>
      </c>
      <c r="CZ27" s="60">
        <f t="shared" si="42"/>
        <v>244.45149244446094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4.8717948717948714</v>
      </c>
      <c r="DO27" s="13">
        <f>IF('Données projet'!$A$166&gt;35,DO26+DN27-DW26,IF(A27&lt;'Données projet'!$A$166,$DL$205^A27,IF(A27='Données projet'!$A$166,'Données projet'!$B$166,DO26+DN27-DW26)))</f>
        <v>53.461538461538453</v>
      </c>
      <c r="DP27" s="18">
        <f>DO27*VLOOKUP('Données projet'!$B$14,Paramètres!$A$1:$I$89,3,0)*VLOOKUP('Données projet'!$B$14,Paramètres!$A$1:$I$89,5,0)</f>
        <v>50.873999999999995</v>
      </c>
      <c r="DQ27" s="14">
        <f t="shared" si="43"/>
        <v>14.839245827508822</v>
      </c>
      <c r="DR27" s="22">
        <f t="shared" si="16"/>
        <v>114.45056981624451</v>
      </c>
      <c r="DS27" s="60">
        <f t="shared" si="17"/>
        <v>400.45056981624452</v>
      </c>
      <c r="DT27" s="60">
        <f ca="1">AVERAGE(OFFSET($DS$3,0,0,'Données projet'!$E$14+1,1))-AVERAGE(OFFSET($H$3,0,0,'Données projet'!$E$14+1,1))</f>
        <v>300.36889324671682</v>
      </c>
      <c r="DU27" s="60">
        <f t="shared" si="44"/>
        <v>214.36051699039683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7.6</v>
      </c>
      <c r="EJ27" s="13">
        <f>IF('Données projet'!$A$192&gt;35,EJ26+EI27-ER26,IF(A27&lt;'Données projet'!$A$192,$EG$205^A27,IF(A27='Données projet'!$A$192,'Données projet'!$B$192,EJ26+EI27-ER26)))</f>
        <v>48.400000000000006</v>
      </c>
      <c r="EK27" s="18">
        <f>EJ27*VLOOKUP('Données projet'!$B$15,Paramètres!$A$1:$I$89,3,0)*VLOOKUP('Données projet'!$B$15,Paramètres!$A$1:$I$89,5,0)</f>
        <v>42.282240000000009</v>
      </c>
      <c r="EL27" s="14">
        <f t="shared" si="45"/>
        <v>12.60158758294113</v>
      </c>
      <c r="EM27" s="22">
        <f t="shared" si="19"/>
        <v>95.589333040289148</v>
      </c>
      <c r="EN27" s="60">
        <f t="shared" si="20"/>
        <v>381.58933304028915</v>
      </c>
      <c r="EO27" s="60">
        <f ca="1">AVERAGE(OFFSET($EN$3,0,0,'Données projet'!$E$15+1,1))-AVERAGE(OFFSET($H$3,0,0,'Données projet'!$E$15+1,1))</f>
        <v>202.46844517174412</v>
      </c>
      <c r="EP27" s="60">
        <f t="shared" si="46"/>
        <v>185.00219255324515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9.2307692307692264</v>
      </c>
      <c r="FE27" s="13">
        <f>IF('Données projet'!$A$218&gt;35,FE26+FD27-FM26,IF(A27&lt;'Données projet'!$A$218,$FB$205^A27,IF(A27='Données projet'!$A$218,'Données projet'!$B$218,FE26+FD27-FM26)))</f>
        <v>152.30769230769232</v>
      </c>
      <c r="FF27" s="18">
        <f>FE27*VLOOKUP('Données projet'!$B$16,Paramètres!$A$1:$I$89,3,0)*VLOOKUP('Données projet'!$B$16,Paramètres!$A$1:$I$89,5,0)</f>
        <v>102.16800000000001</v>
      </c>
      <c r="FG27" s="14">
        <f t="shared" si="47"/>
        <v>27.477847148302505</v>
      </c>
      <c r="FH27" s="22">
        <f t="shared" si="22"/>
        <v>225.79985044996022</v>
      </c>
      <c r="FI27" s="60">
        <f t="shared" si="23"/>
        <v>511.79985044996022</v>
      </c>
      <c r="FJ27" s="60">
        <f ca="1">AVERAGE(OFFSET($FI$3,0,0,'Données projet'!$E$16+1,1))-AVERAGE(OFFSET($H$3,0,0,'Données projet'!$E$16+1,1))</f>
        <v>344.87493856469382</v>
      </c>
      <c r="FK27" s="60">
        <f t="shared" si="48"/>
        <v>261.91036689641402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>
        <f>VLOOKUP(A27,'Données projet'!$A$243:$I$263,2,0)</f>
        <v>579.68640000000005</v>
      </c>
      <c r="FX27" s="13">
        <f>VLOOKUP(A27,'Données projet'!$A$243:$I$263,9,0)</f>
        <v>23.500800000000027</v>
      </c>
      <c r="FY27" s="13">
        <f t="array" ref="FY27">INDEX(FX:FX,MIN(IF(ISNUMBER(FX27:FX223),ROW(FX27:FX223),"")))</f>
        <v>23.500800000000027</v>
      </c>
      <c r="FZ27" s="13">
        <f>IF('Données projet'!$A$244&gt;35,FZ26+FY27-GH26,IF(A27&lt;'Données projet'!$A$244,$FW$205^A27,IF(A27='Données projet'!$A$244,'Données projet'!$B$244,FZ26+FY27-GH26)))</f>
        <v>579.68640000000005</v>
      </c>
      <c r="GA27" s="18">
        <f>FZ27*VLOOKUP('Données projet'!$B$17,Paramètres!$A$1:$I$89,3,0)*VLOOKUP('Données projet'!$B$17,Paramètres!$A$1:$I$89,5,0)</f>
        <v>294.80531558400008</v>
      </c>
      <c r="GB27" s="14">
        <f t="shared" si="49"/>
        <v>70.086353489186607</v>
      </c>
      <c r="GC27" s="22">
        <f t="shared" si="25"/>
        <v>635.51965696913351</v>
      </c>
      <c r="GD27" s="60">
        <f t="shared" si="26"/>
        <v>921.51965696913351</v>
      </c>
      <c r="GE27" s="60">
        <f ca="1">AVERAGE(OFFSET($GD$3,0,0,'Données projet'!$E$17+1,1))-AVERAGE(OFFSET($H$3,0,0,'Données projet'!$E$17+1,1))</f>
        <v>268.19959446602911</v>
      </c>
      <c r="GF27" s="60">
        <f t="shared" si="50"/>
        <v>691.2533336811855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10.6</v>
      </c>
      <c r="GU27" s="13">
        <f>IF('Données projet'!$A$270&gt;35,GU26+GT27-HC26,IF(A27&lt;'Données projet'!$A$270,$GR$205^A27,IF(A27='Données projet'!$A$270,'Données projet'!$B$270,GU26+GT27-HC26)))</f>
        <v>130.39999999999998</v>
      </c>
      <c r="GV27" s="18">
        <f>GU27*VLOOKUP('Données projet'!$B$18,Paramètres!$A$1:$I$89,3,0)*VLOOKUP('Données projet'!$B$18,Paramètres!$A$1:$I$89,5,0)</f>
        <v>101.71199999999999</v>
      </c>
      <c r="GW27" s="14">
        <f t="shared" si="51"/>
        <v>27.369454120725656</v>
      </c>
      <c r="GX27" s="22">
        <f t="shared" si="28"/>
        <v>224.81686592693052</v>
      </c>
      <c r="GY27" s="60">
        <f t="shared" si="29"/>
        <v>510.81686592693052</v>
      </c>
      <c r="GZ27" s="60">
        <f ca="1">AVERAGE(OFFSET($GY$3,0,0,'Données projet'!$E$18+1,1))-AVERAGE(OFFSET($H$3,0,0,'Données projet'!$E$18+1,1))</f>
        <v>292.57482726862594</v>
      </c>
      <c r="HA27" s="60">
        <f t="shared" si="52"/>
        <v>283.48738729114024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9.3000000000000007</v>
      </c>
      <c r="N28" s="14">
        <f>IF('Données projet'!$A$36&gt;35,N27+M28-V27,IF(A28&lt;'Données projet'!$A$36,$K$205^A28,IF(A28='Données projet'!$A$36,'Données projet'!$B$36,N27+M28-V27)))</f>
        <v>74.499999999999986</v>
      </c>
      <c r="O28" s="14">
        <f>N28*VLOOKUP('Données projet'!$B$9,Paramètres!$A$1:$I$89,3,0)*VLOOKUP('Données projet'!$B$9,Paramètres!$A$1:$I$89,5,0)</f>
        <v>34.865999999999993</v>
      </c>
      <c r="P28" s="14">
        <f t="shared" si="33"/>
        <v>10.627193376648185</v>
      </c>
      <c r="Q28" s="22">
        <f t="shared" si="2"/>
        <v>79.233978464328899</v>
      </c>
      <c r="R28" s="60">
        <f t="shared" si="0"/>
        <v>366.45620068655114</v>
      </c>
      <c r="S28" s="60">
        <f ca="1">AVERAGE(OFFSET($R$3,0,0,'Données projet'!$E$9+1,1))-AVERAGE(OFFSET($H$3,0,0,'Données projet'!$E$9+1,1))</f>
        <v>399.92909819003523</v>
      </c>
      <c r="T28" s="60">
        <f t="shared" si="34"/>
        <v>163.7053537268381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11.9</v>
      </c>
      <c r="AI28" s="14">
        <f>IF('Données projet'!$A$62&gt;35,AI27+AH28-AQ27,IF(A28&lt;'Données projet'!$A$62,$AF$205^A28,IF(A28='Données projet'!$A$62,'Données projet'!$B$62,AI27+AH28-AQ27)))</f>
        <v>150.50000000000003</v>
      </c>
      <c r="AJ28" s="14">
        <f>AI28*VLOOKUP('Données projet'!$B$10,Paramètres!$A$1:$I$89,3,0)*VLOOKUP('Données projet'!$B$10,Paramètres!$A$1:$I$89,5,0)</f>
        <v>89.999000000000024</v>
      </c>
      <c r="AK28" s="14">
        <f t="shared" si="35"/>
        <v>24.564983817833436</v>
      </c>
      <c r="AL28" s="22">
        <f t="shared" si="4"/>
        <v>199.53227181605996</v>
      </c>
      <c r="AM28" s="60">
        <f t="shared" si="5"/>
        <v>486.75449403828219</v>
      </c>
      <c r="AN28" s="60">
        <f ca="1">AVERAGE(OFFSET($AM$3,0,0,'Données projet'!$E$10+1,1))-AVERAGE(OFFSET($H$3,0,0,'Données projet'!$E$10+1,1))</f>
        <v>455.43477166687273</v>
      </c>
      <c r="AO28" s="60">
        <f t="shared" si="36"/>
        <v>312.81310692672895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0">
        <f t="shared" si="8"/>
        <v>428.89816692885358</v>
      </c>
      <c r="BI28" s="60">
        <f ca="1">AVERAGE(OFFSET($BH$3,0,0,'Données projet'!$E$11+1,1))-AVERAGE(OFFSET($H$3,0,0,'Données projet'!$E$11+1,1))</f>
        <v>430.11660085503223</v>
      </c>
      <c r="BJ28" s="60">
        <f t="shared" si="38"/>
        <v>231.36959598460686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70.98</v>
      </c>
      <c r="CA28" s="14">
        <f t="shared" si="39"/>
        <v>19.916628839746853</v>
      </c>
      <c r="CB28" s="22">
        <f t="shared" si="10"/>
        <v>158.31162856255909</v>
      </c>
      <c r="CC28" s="60">
        <f t="shared" si="11"/>
        <v>445.53385078478129</v>
      </c>
      <c r="CD28" s="60">
        <f ca="1">AVERAGE(OFFSET($CC$3,0,0,'Données projet'!$E$12+1,1))-AVERAGE(OFFSET($H$3,0,0,'Données projet'!$E$12+1,1))</f>
        <v>476.8965664931755</v>
      </c>
      <c r="CE28" s="60">
        <f t="shared" si="40"/>
        <v>254.25036207346591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67.703999999999994</v>
      </c>
      <c r="CV28" s="14">
        <f t="shared" si="41"/>
        <v>19.102177882771514</v>
      </c>
      <c r="CW28" s="22">
        <f t="shared" si="13"/>
        <v>151.18742647916039</v>
      </c>
      <c r="CX28" s="60">
        <f t="shared" si="14"/>
        <v>438.40964870138259</v>
      </c>
      <c r="CY28" s="60">
        <f ca="1">AVERAGE(OFFSET($CX$3,0,0,'Données projet'!$E$13+1,1))-AVERAGE(OFFSET($H$3,0,0,'Données projet'!$E$13+1,1))</f>
        <v>456.86147223520601</v>
      </c>
      <c r="CZ28" s="60">
        <f t="shared" si="42"/>
        <v>244.45149244446094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58.333333333333329</v>
      </c>
      <c r="DM28" s="13">
        <f>VLOOKUP(A28,'Données projet'!$A$165:$I$185,9,0)</f>
        <v>4.8717948717948714</v>
      </c>
      <c r="DN28" s="13">
        <f t="array" ref="DN28">INDEX(DM:DM,MIN(IF(ISNUMBER(DM28:DM224),ROW(DM28:DM224),"")))</f>
        <v>4.8717948717948714</v>
      </c>
      <c r="DO28" s="13">
        <f>IF('Données projet'!$A$166&gt;35,DO27+DN28-DW27,IF(A28&lt;'Données projet'!$A$166,$DL$205^A28,IF(A28='Données projet'!$A$166,'Données projet'!$B$166,DO27+DN28-DW27)))</f>
        <v>58.333333333333321</v>
      </c>
      <c r="DP28" s="18">
        <f>DO28*VLOOKUP('Données projet'!$B$14,Paramètres!$A$1:$I$89,3,0)*VLOOKUP('Données projet'!$B$14,Paramètres!$A$1:$I$89,5,0)</f>
        <v>55.51</v>
      </c>
      <c r="DQ28" s="14">
        <f t="shared" si="43"/>
        <v>16.027968540734896</v>
      </c>
      <c r="DR28" s="22">
        <f t="shared" si="16"/>
        <v>124.5952952084466</v>
      </c>
      <c r="DS28" s="60">
        <f t="shared" si="17"/>
        <v>411.81751743066883</v>
      </c>
      <c r="DT28" s="60">
        <f ca="1">AVERAGE(OFFSET($DS$3,0,0,'Données projet'!$E$14+1,1))-AVERAGE(OFFSET($H$3,0,0,'Données projet'!$E$14+1,1))</f>
        <v>300.36889324671682</v>
      </c>
      <c r="DU28" s="60">
        <f t="shared" si="44"/>
        <v>214.36051699039683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56</v>
      </c>
      <c r="EH28" s="13">
        <f>VLOOKUP(A28,'Données projet'!$A$191:$I$211,9,0)</f>
        <v>7.6</v>
      </c>
      <c r="EI28" s="13">
        <f t="array" ref="EI28">INDEX(EH:EH,MIN(IF(ISNUMBER(EH28:EH224),ROW(EH28:EH224),"")))</f>
        <v>7.6</v>
      </c>
      <c r="EJ28" s="13">
        <f>IF('Données projet'!$A$192&gt;35,EJ27+EI28-ER27,IF(A28&lt;'Données projet'!$A$192,$EG$205^A28,IF(A28='Données projet'!$A$192,'Données projet'!$B$192,EJ27+EI28-ER27)))</f>
        <v>56.000000000000007</v>
      </c>
      <c r="EK28" s="18">
        <f>EJ28*VLOOKUP('Données projet'!$B$15,Paramètres!$A$1:$I$89,3,0)*VLOOKUP('Données projet'!$B$15,Paramètres!$A$1:$I$89,5,0)</f>
        <v>48.921600000000012</v>
      </c>
      <c r="EL28" s="14">
        <f t="shared" si="45"/>
        <v>14.334905731333873</v>
      </c>
      <c r="EM28" s="22">
        <f t="shared" si="19"/>
        <v>110.1717474820732</v>
      </c>
      <c r="EN28" s="60">
        <f t="shared" si="20"/>
        <v>397.39396970429544</v>
      </c>
      <c r="EO28" s="60">
        <f ca="1">AVERAGE(OFFSET($EN$3,0,0,'Données projet'!$E$15+1,1))-AVERAGE(OFFSET($H$3,0,0,'Données projet'!$E$15+1,1))</f>
        <v>202.46844517174412</v>
      </c>
      <c r="EP28" s="60">
        <f t="shared" si="46"/>
        <v>185.00219255324515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17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161.53846153846152</v>
      </c>
      <c r="FC28" s="13">
        <f>VLOOKUP(A28,'Données projet'!$A$217:$I$237,9,0)</f>
        <v>9.2307692307692264</v>
      </c>
      <c r="FD28" s="13">
        <f t="array" ref="FD28">INDEX(FC:FC,MIN(IF(ISNUMBER(FC28:FC224),ROW(FC28:FC224),"")))</f>
        <v>9.2307692307692264</v>
      </c>
      <c r="FE28" s="13">
        <f>IF('Données projet'!$A$218&gt;35,FE27+FD28-FM27,IF(A28&lt;'Données projet'!$A$218,$FB$205^A28,IF(A28='Données projet'!$A$218,'Données projet'!$B$218,FE27+FD28-FM27)))</f>
        <v>161.53846153846155</v>
      </c>
      <c r="FF28" s="18">
        <f>FE28*VLOOKUP('Données projet'!$B$16,Paramètres!$A$1:$I$89,3,0)*VLOOKUP('Données projet'!$B$16,Paramètres!$A$1:$I$89,5,0)</f>
        <v>108.36000000000001</v>
      </c>
      <c r="FG28" s="14">
        <f t="shared" si="47"/>
        <v>28.944250626020672</v>
      </c>
      <c r="FH28" s="22">
        <f t="shared" si="22"/>
        <v>239.138236506986</v>
      </c>
      <c r="FI28" s="60">
        <f t="shared" si="23"/>
        <v>526.36045872920818</v>
      </c>
      <c r="FJ28" s="60">
        <f ca="1">AVERAGE(OFFSET($FI$3,0,0,'Données projet'!$E$16+1,1))-AVERAGE(OFFSET($H$3,0,0,'Données projet'!$E$16+1,1))</f>
        <v>344.87493856469382</v>
      </c>
      <c r="FK28" s="60">
        <f t="shared" si="48"/>
        <v>261.91036689641402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53.846153846153847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603.18720000000008</v>
      </c>
      <c r="FX28" s="13">
        <f>VLOOKUP(A28,'Données projet'!$A$243:$I$263,9,0)</f>
        <v>23.500800000000027</v>
      </c>
      <c r="FY28" s="13">
        <f t="array" ref="FY28">INDEX(FX:FX,MIN(IF(ISNUMBER(FX28:FX224),ROW(FX28:FX224),"")))</f>
        <v>23.500800000000027</v>
      </c>
      <c r="FZ28" s="13">
        <f>IF('Données projet'!$A$244&gt;35,FZ27+FY28-GH27,IF(A28&lt;'Données projet'!$A$244,$FW$205^A28,IF(A28='Données projet'!$A$244,'Données projet'!$B$244,FZ27+FY28-GH27)))</f>
        <v>603.18720000000008</v>
      </c>
      <c r="GA28" s="18">
        <f>FZ28*VLOOKUP('Données projet'!$B$17,Paramètres!$A$1:$I$89,3,0)*VLOOKUP('Données projet'!$B$17,Paramètres!$A$1:$I$89,5,0)</f>
        <v>306.75688243200005</v>
      </c>
      <c r="GB28" s="14">
        <f t="shared" si="49"/>
        <v>72.591124147309031</v>
      </c>
      <c r="GC28" s="22">
        <f t="shared" si="25"/>
        <v>660.69777812562995</v>
      </c>
      <c r="GD28" s="60">
        <f t="shared" si="26"/>
        <v>947.92000034785224</v>
      </c>
      <c r="GE28" s="60">
        <f ca="1">AVERAGE(OFFSET($GD$3,0,0,'Données projet'!$E$17+1,1))-AVERAGE(OFFSET($H$3,0,0,'Données projet'!$E$17+1,1))</f>
        <v>268.19959446602911</v>
      </c>
      <c r="GF28" s="60">
        <f t="shared" si="50"/>
        <v>691.2533336811855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603.18720000000008</v>
      </c>
      <c r="GI28" s="17">
        <f>IF(ISNA(VLOOKUP(A28,'Données projet'!$A$243:$I$263,5,0)),0%,VLOOKUP(A28,'Données projet'!$A$243:$I$263,5,0)*VLOOKUP('Données projet'!$B$17,Paramètres!$A$1:$I$89,7,0))</f>
        <v>0.46799999999999997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158.7037829113375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158.7037829113375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141</v>
      </c>
      <c r="GS28" s="13">
        <f>VLOOKUP(A28,'Données projet'!$A$269:$I$289,9,0)</f>
        <v>10.6</v>
      </c>
      <c r="GT28" s="13">
        <f t="array" ref="GT28">INDEX(GS:GS,MIN(IF(ISNUMBER(GS28:GS224),ROW(GS28:GS224),"")))</f>
        <v>10.6</v>
      </c>
      <c r="GU28" s="13">
        <f>IF('Données projet'!$A$270&gt;35,GU27+GT28-HC27,IF(A28&lt;'Données projet'!$A$270,$GR$205^A28,IF(A28='Données projet'!$A$270,'Données projet'!$B$270,GU27+GT28-HC27)))</f>
        <v>140.99999999999997</v>
      </c>
      <c r="GV28" s="18">
        <f>GU28*VLOOKUP('Données projet'!$B$18,Paramètres!$A$1:$I$89,3,0)*VLOOKUP('Données projet'!$B$18,Paramètres!$A$1:$I$89,5,0)</f>
        <v>109.97999999999998</v>
      </c>
      <c r="GW28" s="14">
        <f t="shared" si="51"/>
        <v>29.326272366698234</v>
      </c>
      <c r="GX28" s="22">
        <f t="shared" si="28"/>
        <v>242.62509103866606</v>
      </c>
      <c r="GY28" s="60">
        <f t="shared" si="29"/>
        <v>529.84731326088831</v>
      </c>
      <c r="GZ28" s="60">
        <f ca="1">AVERAGE(OFFSET($GY$3,0,0,'Données projet'!$E$18+1,1))-AVERAGE(OFFSET($H$3,0,0,'Données projet'!$E$18+1,1))</f>
        <v>292.57482726862594</v>
      </c>
      <c r="HA28" s="60">
        <f t="shared" si="52"/>
        <v>283.48738729114024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55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9.3000000000000007</v>
      </c>
      <c r="N29" s="14">
        <f>IF('Données projet'!$A$36&gt;35,N28+M29-V28,IF(A29&lt;'Données projet'!$A$36,$K$205^A29,IF(A29='Données projet'!$A$36,'Données projet'!$B$36,N28+M29-V28)))</f>
        <v>83.799999999999983</v>
      </c>
      <c r="O29" s="14">
        <f>N29*VLOOKUP('Données projet'!$B$9,Paramètres!$A$1:$I$89,3,0)*VLOOKUP('Données projet'!$B$9,Paramètres!$A$1:$I$89,5,0)</f>
        <v>39.218399999999988</v>
      </c>
      <c r="P29" s="14">
        <f t="shared" si="33"/>
        <v>11.7912464178037</v>
      </c>
      <c r="Q29" s="22">
        <f t="shared" si="2"/>
        <v>88.841800844341421</v>
      </c>
      <c r="R29" s="60">
        <f t="shared" si="0"/>
        <v>377.28624528878589</v>
      </c>
      <c r="S29" s="60">
        <f ca="1">AVERAGE(OFFSET($R$3,0,0,'Données projet'!$E$9+1,1))-AVERAGE(OFFSET($H$3,0,0,'Données projet'!$E$9+1,1))</f>
        <v>399.92909819003523</v>
      </c>
      <c r="T29" s="60">
        <f t="shared" si="34"/>
        <v>163.7053537268381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11.9</v>
      </c>
      <c r="AI29" s="14">
        <f>IF('Données projet'!$A$62&gt;35,AI28+AH29-AQ28,IF(A29&lt;'Données projet'!$A$62,$AF$205^A29,IF(A29='Données projet'!$A$62,'Données projet'!$B$62,AI28+AH29-AQ28)))</f>
        <v>162.40000000000003</v>
      </c>
      <c r="AJ29" s="14">
        <f>AI29*VLOOKUP('Données projet'!$B$10,Paramètres!$A$1:$I$89,3,0)*VLOOKUP('Données projet'!$B$10,Paramètres!$A$1:$I$89,5,0)</f>
        <v>97.11520000000003</v>
      </c>
      <c r="AK29" s="14">
        <f t="shared" si="35"/>
        <v>26.273567264870245</v>
      </c>
      <c r="AL29" s="22">
        <f t="shared" si="4"/>
        <v>214.90210298631573</v>
      </c>
      <c r="AM29" s="60">
        <f t="shared" si="5"/>
        <v>503.34654743076021</v>
      </c>
      <c r="AN29" s="60">
        <f ca="1">AVERAGE(OFFSET($AM$3,0,0,'Données projet'!$E$10+1,1))-AVERAGE(OFFSET($H$3,0,0,'Données projet'!$E$10+1,1))</f>
        <v>455.43477166687273</v>
      </c>
      <c r="AO29" s="60">
        <f t="shared" si="36"/>
        <v>312.81310692672895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62.431199999999997</v>
      </c>
      <c r="BF29" s="14">
        <f t="shared" si="37"/>
        <v>17.781524466058684</v>
      </c>
      <c r="BG29" s="22">
        <f t="shared" si="7"/>
        <v>139.70382844505221</v>
      </c>
      <c r="BH29" s="60">
        <f t="shared" si="8"/>
        <v>428.14827288949664</v>
      </c>
      <c r="BI29" s="60">
        <f ca="1">AVERAGE(OFFSET($BH$3,0,0,'Données projet'!$E$11+1,1))-AVERAGE(OFFSET($H$3,0,0,'Données projet'!$E$11+1,1))</f>
        <v>430.11660085503223</v>
      </c>
      <c r="BJ29" s="60">
        <f t="shared" si="38"/>
        <v>231.36959598460686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69.966000000000008</v>
      </c>
      <c r="CA29" s="14">
        <f t="shared" si="39"/>
        <v>19.665013934342461</v>
      </c>
      <c r="CB29" s="22">
        <f t="shared" si="10"/>
        <v>156.10734926897979</v>
      </c>
      <c r="CC29" s="60">
        <f t="shared" si="11"/>
        <v>444.55179371342422</v>
      </c>
      <c r="CD29" s="60">
        <f ca="1">AVERAGE(OFFSET($CC$3,0,0,'Données projet'!$E$12+1,1))-AVERAGE(OFFSET($H$3,0,0,'Données projet'!$E$12+1,1))</f>
        <v>476.8965664931755</v>
      </c>
      <c r="CE29" s="60">
        <f t="shared" si="40"/>
        <v>254.25036207346591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69</v>
      </c>
      <c r="CU29" s="18">
        <f>CT29*VLOOKUP('Données projet'!$B$13,Paramètres!$A$1:$I$89,3,0)*VLOOKUP('Données projet'!$B$13,Paramètres!$A$1:$I$89,5,0)</f>
        <v>66.736800000000002</v>
      </c>
      <c r="CV29" s="14">
        <f t="shared" si="41"/>
        <v>18.860852268900601</v>
      </c>
      <c r="CW29" s="22">
        <f t="shared" si="13"/>
        <v>149.08257770166853</v>
      </c>
      <c r="CX29" s="60">
        <f t="shared" si="14"/>
        <v>437.52702214611298</v>
      </c>
      <c r="CY29" s="60">
        <f ca="1">AVERAGE(OFFSET($CX$3,0,0,'Données projet'!$E$13+1,1))-AVERAGE(OFFSET($H$3,0,0,'Données projet'!$E$13+1,1))</f>
        <v>456.86147223520601</v>
      </c>
      <c r="CZ29" s="60">
        <f t="shared" si="42"/>
        <v>244.45149244446094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5.1282051282051269</v>
      </c>
      <c r="DO29" s="13">
        <f>IF('Données projet'!$A$166&gt;35,DO28+DN29-DW28,IF(A29&lt;'Données projet'!$A$166,$DL$205^A29,IF(A29='Données projet'!$A$166,'Données projet'!$B$166,DO28+DN29-DW28)))</f>
        <v>63.461538461538446</v>
      </c>
      <c r="DP29" s="18">
        <f>DO29*VLOOKUP('Données projet'!$B$14,Paramètres!$A$1:$I$89,3,0)*VLOOKUP('Données projet'!$B$14,Paramètres!$A$1:$I$89,5,0)</f>
        <v>60.389999999999986</v>
      </c>
      <c r="DQ29" s="14">
        <f t="shared" si="43"/>
        <v>17.266836036680576</v>
      </c>
      <c r="DR29" s="22">
        <f t="shared" si="16"/>
        <v>135.2523227638853</v>
      </c>
      <c r="DS29" s="60">
        <f t="shared" si="17"/>
        <v>423.69676720832979</v>
      </c>
      <c r="DT29" s="60">
        <f ca="1">AVERAGE(OFFSET($DS$3,0,0,'Données projet'!$E$14+1,1))-AVERAGE(OFFSET($H$3,0,0,'Données projet'!$E$14+1,1))</f>
        <v>300.36889324671682</v>
      </c>
      <c r="DU29" s="60">
        <f t="shared" si="44"/>
        <v>214.36051699039683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7.4</v>
      </c>
      <c r="EJ29" s="13">
        <f>IF('Données projet'!$A$192&gt;35,EJ28+EI29-ER28,IF(A29&lt;'Données projet'!$A$192,$EG$205^A29,IF(A29='Données projet'!$A$192,'Données projet'!$B$192,EJ28+EI29-ER28)))</f>
        <v>46.400000000000006</v>
      </c>
      <c r="EK29" s="18">
        <f>EJ29*VLOOKUP('Données projet'!$B$15,Paramètres!$A$1:$I$89,3,0)*VLOOKUP('Données projet'!$B$15,Paramètres!$A$1:$I$89,5,0)</f>
        <v>40.535040000000009</v>
      </c>
      <c r="EL29" s="14">
        <f t="shared" si="45"/>
        <v>12.140349464730924</v>
      </c>
      <c r="EM29" s="22">
        <f t="shared" si="19"/>
        <v>91.742969984406372</v>
      </c>
      <c r="EN29" s="60">
        <f t="shared" si="20"/>
        <v>380.18741442885084</v>
      </c>
      <c r="EO29" s="60">
        <f ca="1">AVERAGE(OFFSET($EN$3,0,0,'Données projet'!$E$15+1,1))-AVERAGE(OFFSET($H$3,0,0,'Données projet'!$E$15+1,1))</f>
        <v>202.46844517174412</v>
      </c>
      <c r="EP29" s="60">
        <f t="shared" si="46"/>
        <v>185.00219255324515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8.8461538461538449</v>
      </c>
      <c r="FE29" s="13">
        <f>IF('Données projet'!$A$218&gt;35,FE28+FD29-FM28,IF(A29&lt;'Données projet'!$A$218,$FB$205^A29,IF(A29='Données projet'!$A$218,'Données projet'!$B$218,FE28+FD29-FM28)))</f>
        <v>116.53846153846155</v>
      </c>
      <c r="FF29" s="18">
        <f>FE29*VLOOKUP('Données projet'!$B$16,Paramètres!$A$1:$I$89,3,0)*VLOOKUP('Données projet'!$B$16,Paramètres!$A$1:$I$89,5,0)</f>
        <v>78.174000000000007</v>
      </c>
      <c r="FG29" s="14">
        <f t="shared" si="47"/>
        <v>21.690119443632522</v>
      </c>
      <c r="FH29" s="22">
        <f t="shared" si="22"/>
        <v>173.93000803099332</v>
      </c>
      <c r="FI29" s="60">
        <f t="shared" si="23"/>
        <v>462.37445247543781</v>
      </c>
      <c r="FJ29" s="60">
        <f ca="1">AVERAGE(OFFSET($FI$3,0,0,'Données projet'!$E$16+1,1))-AVERAGE(OFFSET($H$3,0,0,'Données projet'!$E$16+1,1))</f>
        <v>344.87493856469382</v>
      </c>
      <c r="FK29" s="60">
        <f t="shared" si="48"/>
        <v>261.91036689641402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>
        <f>FZ29*VLOOKUP('Données projet'!$B$17,Paramètres!$A$1:$I$89,3,0)*VLOOKUP('Données projet'!$B$17,Paramètres!$A$1:$I$89,5,0)</f>
        <v>0</v>
      </c>
      <c r="GB29" s="14" t="e">
        <f t="shared" si="49"/>
        <v>#NUM!</v>
      </c>
      <c r="GC29" s="22" t="e">
        <f t="shared" si="25"/>
        <v>#NUM!</v>
      </c>
      <c r="GD29" s="60" t="e">
        <f t="shared" si="26"/>
        <v>#NUM!</v>
      </c>
      <c r="GE29" s="60">
        <f ca="1">AVERAGE(OFFSET($GD$3,0,0,'Données projet'!$E$17+1,1))-AVERAGE(OFFSET($H$3,0,0,'Données projet'!$E$17+1,1))</f>
        <v>268.19959446602911</v>
      </c>
      <c r="GF29" s="60">
        <f t="shared" si="50"/>
        <v>691.2533336811855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155.59169852819556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155.59169852819556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11.5</v>
      </c>
      <c r="GU29" s="13">
        <f>IF('Données projet'!$A$270&gt;35,GU28+GT29-HC28,IF(A29&lt;'Données projet'!$A$270,$GR$205^A29,IF(A29='Données projet'!$A$270,'Données projet'!$B$270,GU28+GT29-HC28)))</f>
        <v>97.499999999999972</v>
      </c>
      <c r="GV29" s="18">
        <f>GU29*VLOOKUP('Données projet'!$B$18,Paramètres!$A$1:$I$89,3,0)*VLOOKUP('Données projet'!$B$18,Paramètres!$A$1:$I$89,5,0)</f>
        <v>76.049999999999983</v>
      </c>
      <c r="GW29" s="14">
        <f t="shared" si="51"/>
        <v>21.168560890749262</v>
      </c>
      <c r="GX29" s="22">
        <f t="shared" si="28"/>
        <v>169.32232688472158</v>
      </c>
      <c r="GY29" s="60">
        <f t="shared" si="29"/>
        <v>457.76677132916603</v>
      </c>
      <c r="GZ29" s="60">
        <f ca="1">AVERAGE(OFFSET($GY$3,0,0,'Données projet'!$E$18+1,1))-AVERAGE(OFFSET($H$3,0,0,'Données projet'!$E$18+1,1))</f>
        <v>292.57482726862594</v>
      </c>
      <c r="HA29" s="60">
        <f t="shared" si="52"/>
        <v>283.48738729114024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9.3000000000000007</v>
      </c>
      <c r="N30" s="14">
        <f>IF('Données projet'!$A$36&gt;35,N29+M30-V29,IF(A30&lt;'Données projet'!$A$36,$K$205^A30,IF(A30='Données projet'!$A$36,'Données projet'!$B$36,N29+M30-V29)))</f>
        <v>93.09999999999998</v>
      </c>
      <c r="O30" s="14">
        <f>N30*VLOOKUP('Données projet'!$B$9,Paramètres!$A$1:$I$89,3,0)*VLOOKUP('Données projet'!$B$9,Paramètres!$A$1:$I$89,5,0)</f>
        <v>43.570799999999991</v>
      </c>
      <c r="P30" s="14">
        <f t="shared" si="33"/>
        <v>12.940326634618197</v>
      </c>
      <c r="Q30" s="22">
        <f t="shared" si="2"/>
        <v>98.42354555529333</v>
      </c>
      <c r="R30" s="60">
        <f t="shared" si="0"/>
        <v>388.09021222196003</v>
      </c>
      <c r="S30" s="60">
        <f ca="1">AVERAGE(OFFSET($R$3,0,0,'Données projet'!$E$9+1,1))-AVERAGE(OFFSET($H$3,0,0,'Données projet'!$E$9+1,1))</f>
        <v>399.92909819003523</v>
      </c>
      <c r="T30" s="60">
        <f t="shared" si="34"/>
        <v>163.7053537268381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11.9</v>
      </c>
      <c r="AI30" s="14">
        <f>IF('Données projet'!$A$62&gt;35,AI29+AH30-AQ29,IF(A30&lt;'Données projet'!$A$62,$AF$205^A30,IF(A30='Données projet'!$A$62,'Données projet'!$B$62,AI29+AH30-AQ29)))</f>
        <v>174.30000000000004</v>
      </c>
      <c r="AJ30" s="14">
        <f>AI30*VLOOKUP('Données projet'!$B$10,Paramètres!$A$1:$I$89,3,0)*VLOOKUP('Données projet'!$B$10,Paramètres!$A$1:$I$89,5,0)</f>
        <v>104.23140000000004</v>
      </c>
      <c r="AK30" s="14">
        <f t="shared" si="35"/>
        <v>27.967625932207316</v>
      </c>
      <c r="AL30" s="22">
        <f t="shared" si="4"/>
        <v>230.24663683192776</v>
      </c>
      <c r="AM30" s="60">
        <f t="shared" si="5"/>
        <v>519.91330349859447</v>
      </c>
      <c r="AN30" s="60">
        <f ca="1">AVERAGE(OFFSET($AM$3,0,0,'Données projet'!$E$10+1,1))-AVERAGE(OFFSET($H$3,0,0,'Données projet'!$E$10+1,1))</f>
        <v>455.43477166687273</v>
      </c>
      <c r="AO30" s="60">
        <f t="shared" si="36"/>
        <v>312.81310692672895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68.764799999999994</v>
      </c>
      <c r="BF30" s="14">
        <f t="shared" si="37"/>
        <v>19.366396769521369</v>
      </c>
      <c r="BG30" s="22">
        <f t="shared" si="7"/>
        <v>153.49516770691636</v>
      </c>
      <c r="BH30" s="60">
        <f t="shared" si="8"/>
        <v>443.16183437358302</v>
      </c>
      <c r="BI30" s="60">
        <f ca="1">AVERAGE(OFFSET($BH$3,0,0,'Données projet'!$E$11+1,1))-AVERAGE(OFFSET($H$3,0,0,'Données projet'!$E$11+1,1))</f>
        <v>430.11660085503223</v>
      </c>
      <c r="BJ30" s="60">
        <f t="shared" si="38"/>
        <v>231.36959598460686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projet'!$B$12,Paramètres!$A$1:$I$89,3,0)*VLOOKUP('Données projet'!$B$12,Paramètres!$A$1:$I$89,5,0)</f>
        <v>77.064000000000007</v>
      </c>
      <c r="CA30" s="14">
        <f t="shared" si="39"/>
        <v>21.417762186678065</v>
      </c>
      <c r="CB30" s="22">
        <f t="shared" si="10"/>
        <v>171.52240247513097</v>
      </c>
      <c r="CC30" s="60">
        <f t="shared" si="11"/>
        <v>461.18906914179763</v>
      </c>
      <c r="CD30" s="60">
        <f ca="1">AVERAGE(OFFSET($CC$3,0,0,'Données projet'!$E$12+1,1))-AVERAGE(OFFSET($H$3,0,0,'Données projet'!$E$12+1,1))</f>
        <v>476.8965664931755</v>
      </c>
      <c r="CE30" s="60">
        <f t="shared" si="40"/>
        <v>254.25036207346591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76</v>
      </c>
      <c r="CU30" s="18">
        <f>CT30*VLOOKUP('Données projet'!$B$13,Paramètres!$A$1:$I$89,3,0)*VLOOKUP('Données projet'!$B$13,Paramètres!$A$1:$I$89,5,0)</f>
        <v>73.507199999999997</v>
      </c>
      <c r="CV30" s="14">
        <f t="shared" si="41"/>
        <v>20.541925364615185</v>
      </c>
      <c r="CW30" s="22">
        <f t="shared" si="13"/>
        <v>163.80222667670475</v>
      </c>
      <c r="CX30" s="60">
        <f t="shared" si="14"/>
        <v>453.46889334337141</v>
      </c>
      <c r="CY30" s="60">
        <f ca="1">AVERAGE(OFFSET($CX$3,0,0,'Données projet'!$E$13+1,1))-AVERAGE(OFFSET($H$3,0,0,'Données projet'!$E$13+1,1))</f>
        <v>456.86147223520601</v>
      </c>
      <c r="CZ30" s="60">
        <f t="shared" si="42"/>
        <v>244.45149244446094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5.1282051282051269</v>
      </c>
      <c r="DO30" s="13">
        <f>IF('Données projet'!$A$166&gt;35,DO29+DN30-DW29,IF(A30&lt;'Données projet'!$A$166,$DL$205^A30,IF(A30='Données projet'!$A$166,'Données projet'!$B$166,DO29+DN30-DW29)))</f>
        <v>68.589743589743577</v>
      </c>
      <c r="DP30" s="18">
        <f>DO30*VLOOKUP('Données projet'!$B$14,Paramètres!$A$1:$I$89,3,0)*VLOOKUP('Données projet'!$B$14,Paramètres!$A$1:$I$89,5,0)</f>
        <v>65.27</v>
      </c>
      <c r="DQ30" s="14">
        <f t="shared" si="43"/>
        <v>18.494091971252317</v>
      </c>
      <c r="DR30" s="22">
        <f t="shared" si="16"/>
        <v>145.8891268499311</v>
      </c>
      <c r="DS30" s="60">
        <f t="shared" si="17"/>
        <v>435.55579351659776</v>
      </c>
      <c r="DT30" s="60">
        <f ca="1">AVERAGE(OFFSET($DS$3,0,0,'Données projet'!$E$14+1,1))-AVERAGE(OFFSET($H$3,0,0,'Données projet'!$E$14+1,1))</f>
        <v>300.36889324671682</v>
      </c>
      <c r="DU30" s="60">
        <f t="shared" si="44"/>
        <v>214.36051699039683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7.4</v>
      </c>
      <c r="EJ30" s="13">
        <f>IF('Données projet'!$A$192&gt;35,EJ29+EI30-ER29,IF(A30&lt;'Données projet'!$A$192,$EG$205^A30,IF(A30='Données projet'!$A$192,'Données projet'!$B$192,EJ29+EI30-ER29)))</f>
        <v>53.800000000000004</v>
      </c>
      <c r="EK30" s="18">
        <f>EJ30*VLOOKUP('Données projet'!$B$15,Paramètres!$A$1:$I$89,3,0)*VLOOKUP('Données projet'!$B$15,Paramètres!$A$1:$I$89,5,0)</f>
        <v>46.999680000000005</v>
      </c>
      <c r="EL30" s="14">
        <f t="shared" si="45"/>
        <v>13.836145469363998</v>
      </c>
      <c r="EM30" s="22">
        <f t="shared" si="19"/>
        <v>105.9557293591423</v>
      </c>
      <c r="EN30" s="60">
        <f t="shared" si="20"/>
        <v>395.622396025809</v>
      </c>
      <c r="EO30" s="60">
        <f ca="1">AVERAGE(OFFSET($EN$3,0,0,'Données projet'!$E$15+1,1))-AVERAGE(OFFSET($H$3,0,0,'Données projet'!$E$15+1,1))</f>
        <v>202.46844517174412</v>
      </c>
      <c r="EP30" s="60">
        <f t="shared" si="46"/>
        <v>185.00219255324515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8.8461538461538449</v>
      </c>
      <c r="FE30" s="13">
        <f>IF('Données projet'!$A$218&gt;35,FE29+FD30-FM29,IF(A30&lt;'Données projet'!$A$218,$FB$205^A30,IF(A30='Données projet'!$A$218,'Données projet'!$B$218,FE29+FD30-FM29)))</f>
        <v>125.38461538461539</v>
      </c>
      <c r="FF30" s="18">
        <f>FE30*VLOOKUP('Données projet'!$B$16,Paramètres!$A$1:$I$89,3,0)*VLOOKUP('Données projet'!$B$16,Paramètres!$A$1:$I$89,5,0)</f>
        <v>84.108000000000004</v>
      </c>
      <c r="FG30" s="14">
        <f t="shared" si="47"/>
        <v>23.1386655347386</v>
      </c>
      <c r="FH30" s="22">
        <f t="shared" si="22"/>
        <v>186.78794247300308</v>
      </c>
      <c r="FI30" s="60">
        <f t="shared" si="23"/>
        <v>476.45460913966974</v>
      </c>
      <c r="FJ30" s="60">
        <f ca="1">AVERAGE(OFFSET($FI$3,0,0,'Données projet'!$E$16+1,1))-AVERAGE(OFFSET($H$3,0,0,'Données projet'!$E$16+1,1))</f>
        <v>344.87493856469382</v>
      </c>
      <c r="FK30" s="60">
        <f t="shared" si="48"/>
        <v>261.91036689641402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>
        <f>FZ30*VLOOKUP('Données projet'!$B$17,Paramètres!$A$1:$I$89,3,0)*VLOOKUP('Données projet'!$B$17,Paramètres!$A$1:$I$89,5,0)</f>
        <v>0</v>
      </c>
      <c r="GB30" s="14" t="e">
        <f t="shared" si="49"/>
        <v>#NUM!</v>
      </c>
      <c r="GC30" s="22" t="e">
        <f t="shared" si="25"/>
        <v>#NUM!</v>
      </c>
      <c r="GD30" s="60" t="e">
        <f t="shared" si="26"/>
        <v>#NUM!</v>
      </c>
      <c r="GE30" s="60">
        <f ca="1">AVERAGE(OFFSET($GD$3,0,0,'Données projet'!$E$17+1,1))-AVERAGE(OFFSET($H$3,0,0,'Données projet'!$E$17+1,1))</f>
        <v>268.19959446602911</v>
      </c>
      <c r="GF30" s="60">
        <f t="shared" si="50"/>
        <v>691.2533336811855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152.54064022162299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152.54064022162299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11.5</v>
      </c>
      <c r="GU30" s="13">
        <f>IF('Données projet'!$A$270&gt;35,GU29+GT30-HC29,IF(A30&lt;'Données projet'!$A$270,$GR$205^A30,IF(A30='Données projet'!$A$270,'Données projet'!$B$270,GU29+GT30-HC29)))</f>
        <v>108.99999999999997</v>
      </c>
      <c r="GV30" s="18">
        <f>GU30*VLOOKUP('Données projet'!$B$18,Paramètres!$A$1:$I$89,3,0)*VLOOKUP('Données projet'!$B$18,Paramètres!$A$1:$I$89,5,0)</f>
        <v>85.019999999999982</v>
      </c>
      <c r="GW30" s="14">
        <f t="shared" si="51"/>
        <v>23.360218970693108</v>
      </c>
      <c r="GX30" s="22">
        <f t="shared" si="28"/>
        <v>188.76221470729047</v>
      </c>
      <c r="GY30" s="60">
        <f t="shared" si="29"/>
        <v>478.42888137395715</v>
      </c>
      <c r="GZ30" s="60">
        <f ca="1">AVERAGE(OFFSET($GY$3,0,0,'Données projet'!$E$18+1,1))-AVERAGE(OFFSET($H$3,0,0,'Données projet'!$E$18+1,1))</f>
        <v>292.57482726862594</v>
      </c>
      <c r="HA30" s="60">
        <f t="shared" si="52"/>
        <v>283.48738729114024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9.3000000000000007</v>
      </c>
      <c r="N31" s="14">
        <f>IF('Données projet'!$A$36&gt;35,N30+M31-V30,IF(A31&lt;'Données projet'!$A$36,$K$205^A31,IF(A31='Données projet'!$A$36,'Données projet'!$B$36,N30+M31-V30)))</f>
        <v>102.39999999999998</v>
      </c>
      <c r="O31" s="14">
        <f>N31*VLOOKUP('Données projet'!$B$9,Paramètres!$A$1:$I$89,3,0)*VLOOKUP('Données projet'!$B$9,Paramètres!$A$1:$I$89,5,0)</f>
        <v>47.923199999999987</v>
      </c>
      <c r="P31" s="14">
        <f t="shared" si="33"/>
        <v>14.076099961955951</v>
      </c>
      <c r="Q31" s="22">
        <f t="shared" si="2"/>
        <v>107.98211410040659</v>
      </c>
      <c r="R31" s="60">
        <f t="shared" si="0"/>
        <v>398.87100298929545</v>
      </c>
      <c r="S31" s="60">
        <f ca="1">AVERAGE(OFFSET($R$3,0,0,'Données projet'!$E$9+1,1))-AVERAGE(OFFSET($H$3,0,0,'Données projet'!$E$9+1,1))</f>
        <v>399.92909819003523</v>
      </c>
      <c r="T31" s="60">
        <f t="shared" si="34"/>
        <v>163.7053537268381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11.9</v>
      </c>
      <c r="AI31" s="14">
        <f>IF('Données projet'!$A$62&gt;35,AI30+AH31-AQ30,IF(A31&lt;'Données projet'!$A$62,$AF$205^A31,IF(A31='Données projet'!$A$62,'Données projet'!$B$62,AI30+AH31-AQ30)))</f>
        <v>186.20000000000005</v>
      </c>
      <c r="AJ31" s="14">
        <f>AI31*VLOOKUP('Données projet'!$B$10,Paramètres!$A$1:$I$89,3,0)*VLOOKUP('Données projet'!$B$10,Paramètres!$A$1:$I$89,5,0)</f>
        <v>111.34760000000004</v>
      </c>
      <c r="AK31" s="14">
        <f t="shared" si="35"/>
        <v>29.648264286841801</v>
      </c>
      <c r="AL31" s="22">
        <f t="shared" si="4"/>
        <v>245.56779696624957</v>
      </c>
      <c r="AM31" s="60">
        <f t="shared" si="5"/>
        <v>536.4566858551384</v>
      </c>
      <c r="AN31" s="60">
        <f ca="1">AVERAGE(OFFSET($AM$3,0,0,'Données projet'!$E$10+1,1))-AVERAGE(OFFSET($H$3,0,0,'Données projet'!$E$10+1,1))</f>
        <v>455.43477166687273</v>
      </c>
      <c r="AO31" s="60">
        <f t="shared" si="36"/>
        <v>312.81310692672895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75.098399999999998</v>
      </c>
      <c r="BF31" s="14">
        <f t="shared" si="37"/>
        <v>20.934343091450742</v>
      </c>
      <c r="BG31" s="22">
        <f t="shared" si="7"/>
        <v>167.25702755094335</v>
      </c>
      <c r="BH31" s="60">
        <f t="shared" si="8"/>
        <v>458.14591643983221</v>
      </c>
      <c r="BI31" s="60">
        <f ca="1">AVERAGE(OFFSET($BH$3,0,0,'Données projet'!$E$11+1,1))-AVERAGE(OFFSET($H$3,0,0,'Données projet'!$E$11+1,1))</f>
        <v>430.11660085503223</v>
      </c>
      <c r="BJ31" s="60">
        <f t="shared" si="38"/>
        <v>231.36959598460686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projet'!$B$12,Paramètres!$A$1:$I$89,3,0)*VLOOKUP('Données projet'!$B$12,Paramètres!$A$1:$I$89,5,0)</f>
        <v>84.162000000000006</v>
      </c>
      <c r="CA31" s="14">
        <f t="shared" si="39"/>
        <v>23.151791590506594</v>
      </c>
      <c r="CB31" s="22">
        <f t="shared" si="10"/>
        <v>186.90485368679899</v>
      </c>
      <c r="CC31" s="60">
        <f t="shared" si="11"/>
        <v>477.79374257568782</v>
      </c>
      <c r="CD31" s="60">
        <f ca="1">AVERAGE(OFFSET($CC$3,0,0,'Données projet'!$E$12+1,1))-AVERAGE(OFFSET($H$3,0,0,'Données projet'!$E$12+1,1))</f>
        <v>476.8965664931755</v>
      </c>
      <c r="CE31" s="60">
        <f t="shared" si="40"/>
        <v>254.25036207346591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83</v>
      </c>
      <c r="CU31" s="18">
        <f>CT31*VLOOKUP('Données projet'!$B$13,Paramètres!$A$1:$I$89,3,0)*VLOOKUP('Données projet'!$B$13,Paramètres!$A$1:$I$89,5,0)</f>
        <v>80.277600000000007</v>
      </c>
      <c r="CV31" s="14">
        <f t="shared" si="41"/>
        <v>22.205045081933264</v>
      </c>
      <c r="CW31" s="22">
        <f t="shared" si="13"/>
        <v>178.49060685103379</v>
      </c>
      <c r="CX31" s="60">
        <f t="shared" si="14"/>
        <v>469.37949573992262</v>
      </c>
      <c r="CY31" s="60">
        <f ca="1">AVERAGE(OFFSET($CX$3,0,0,'Données projet'!$E$13+1,1))-AVERAGE(OFFSET($H$3,0,0,'Données projet'!$E$13+1,1))</f>
        <v>456.86147223520601</v>
      </c>
      <c r="CZ31" s="60">
        <f t="shared" si="42"/>
        <v>244.45149244446094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5.1282051282051269</v>
      </c>
      <c r="DO31" s="13">
        <f>IF('Données projet'!$A$166&gt;35,DO30+DN31-DW30,IF(A31&lt;'Données projet'!$A$166,$DL$205^A31,IF(A31='Données projet'!$A$166,'Données projet'!$B$166,DO30+DN31-DW30)))</f>
        <v>73.717948717948701</v>
      </c>
      <c r="DP31" s="18">
        <f>DO31*VLOOKUP('Données projet'!$B$14,Paramètres!$A$1:$I$89,3,0)*VLOOKUP('Données projet'!$B$14,Paramètres!$A$1:$I$89,5,0)</f>
        <v>70.149999999999991</v>
      </c>
      <c r="DQ31" s="14">
        <f t="shared" si="43"/>
        <v>19.710703216100942</v>
      </c>
      <c r="DR31" s="22">
        <f t="shared" si="16"/>
        <v>156.50739143470912</v>
      </c>
      <c r="DS31" s="60">
        <f t="shared" si="17"/>
        <v>447.39628032359798</v>
      </c>
      <c r="DT31" s="60">
        <f ca="1">AVERAGE(OFFSET($DS$3,0,0,'Données projet'!$E$14+1,1))-AVERAGE(OFFSET($H$3,0,0,'Données projet'!$E$14+1,1))</f>
        <v>300.36889324671682</v>
      </c>
      <c r="DU31" s="60">
        <f t="shared" si="44"/>
        <v>214.36051699039683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7.4</v>
      </c>
      <c r="EJ31" s="13">
        <f>IF('Données projet'!$A$192&gt;35,EJ30+EI31-ER30,IF(A31&lt;'Données projet'!$A$192,$EG$205^A31,IF(A31='Données projet'!$A$192,'Données projet'!$B$192,EJ30+EI31-ER30)))</f>
        <v>61.2</v>
      </c>
      <c r="EK31" s="18">
        <f>EJ31*VLOOKUP('Données projet'!$B$15,Paramètres!$A$1:$I$89,3,0)*VLOOKUP('Données projet'!$B$15,Paramètres!$A$1:$I$89,5,0)</f>
        <v>53.464320000000008</v>
      </c>
      <c r="EL31" s="14">
        <f t="shared" si="45"/>
        <v>15.504917410776137</v>
      </c>
      <c r="EM31" s="22">
        <f t="shared" si="19"/>
        <v>120.12142182376846</v>
      </c>
      <c r="EN31" s="60">
        <f t="shared" si="20"/>
        <v>411.01031071265731</v>
      </c>
      <c r="EO31" s="60">
        <f ca="1">AVERAGE(OFFSET($EN$3,0,0,'Données projet'!$E$15+1,1))-AVERAGE(OFFSET($H$3,0,0,'Données projet'!$E$15+1,1))</f>
        <v>202.46844517174412</v>
      </c>
      <c r="EP31" s="60">
        <f t="shared" si="46"/>
        <v>185.00219255324515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8.8461538461538449</v>
      </c>
      <c r="FE31" s="13">
        <f>IF('Données projet'!$A$218&gt;35,FE30+FD31-FM30,IF(A31&lt;'Données projet'!$A$218,$FB$205^A31,IF(A31='Données projet'!$A$218,'Données projet'!$B$218,FE30+FD31-FM30)))</f>
        <v>134.23076923076923</v>
      </c>
      <c r="FF31" s="18">
        <f>FE31*VLOOKUP('Données projet'!$B$16,Paramètres!$A$1:$I$89,3,0)*VLOOKUP('Données projet'!$B$16,Paramètres!$A$1:$I$89,5,0)</f>
        <v>90.042000000000002</v>
      </c>
      <c r="FG31" s="14">
        <f t="shared" si="47"/>
        <v>24.575354107485161</v>
      </c>
      <c r="FH31" s="22">
        <f t="shared" si="22"/>
        <v>199.62522507053666</v>
      </c>
      <c r="FI31" s="60">
        <f t="shared" si="23"/>
        <v>490.51411395942552</v>
      </c>
      <c r="FJ31" s="60">
        <f ca="1">AVERAGE(OFFSET($FI$3,0,0,'Données projet'!$E$16+1,1))-AVERAGE(OFFSET($H$3,0,0,'Données projet'!$E$16+1,1))</f>
        <v>344.87493856469382</v>
      </c>
      <c r="FK31" s="60">
        <f t="shared" si="48"/>
        <v>261.91036689641402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>
        <f>FZ31*VLOOKUP('Données projet'!$B$17,Paramètres!$A$1:$I$89,3,0)*VLOOKUP('Données projet'!$B$17,Paramètres!$A$1:$I$89,5,0)</f>
        <v>0</v>
      </c>
      <c r="GB31" s="14" t="e">
        <f t="shared" si="49"/>
        <v>#NUM!</v>
      </c>
      <c r="GC31" s="22" t="e">
        <f t="shared" si="25"/>
        <v>#NUM!</v>
      </c>
      <c r="GD31" s="60" t="e">
        <f t="shared" si="26"/>
        <v>#NUM!</v>
      </c>
      <c r="GE31" s="60">
        <f ca="1">AVERAGE(OFFSET($GD$3,0,0,'Données projet'!$E$17+1,1))-AVERAGE(OFFSET($H$3,0,0,'Données projet'!$E$17+1,1))</f>
        <v>268.19959446602911</v>
      </c>
      <c r="GF31" s="60">
        <f t="shared" si="50"/>
        <v>691.2533336811855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149.54941130748051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149.54941130748051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11.5</v>
      </c>
      <c r="GU31" s="13">
        <f>IF('Données projet'!$A$270&gt;35,GU30+GT31-HC30,IF(A31&lt;'Données projet'!$A$270,$GR$205^A31,IF(A31='Données projet'!$A$270,'Données projet'!$B$270,GU30+GT31-HC30)))</f>
        <v>120.49999999999997</v>
      </c>
      <c r="GV31" s="18">
        <f>GU31*VLOOKUP('Données projet'!$B$18,Paramètres!$A$1:$I$89,3,0)*VLOOKUP('Données projet'!$B$18,Paramètres!$A$1:$I$89,5,0)</f>
        <v>93.989999999999981</v>
      </c>
      <c r="GW31" s="14">
        <f t="shared" si="51"/>
        <v>25.525074036970079</v>
      </c>
      <c r="GX31" s="22">
        <f t="shared" si="28"/>
        <v>208.15542061438953</v>
      </c>
      <c r="GY31" s="60">
        <f t="shared" si="29"/>
        <v>499.04430950327838</v>
      </c>
      <c r="GZ31" s="60">
        <f ca="1">AVERAGE(OFFSET($GY$3,0,0,'Données projet'!$E$18+1,1))-AVERAGE(OFFSET($H$3,0,0,'Données projet'!$E$18+1,1))</f>
        <v>292.57482726862594</v>
      </c>
      <c r="HA31" s="60">
        <f t="shared" si="52"/>
        <v>283.48738729114024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9.3000000000000007</v>
      </c>
      <c r="N32" s="14">
        <f>IF('Données projet'!$A$36&gt;35,N31+M32-V31,IF(A32&lt;'Données projet'!$A$36,$K$205^A32,IF(A32='Données projet'!$A$36,'Données projet'!$B$36,N31+M32-V31)))</f>
        <v>111.69999999999997</v>
      </c>
      <c r="O32" s="14">
        <f>N32*VLOOKUP('Données projet'!$B$9,Paramètres!$A$1:$I$89,3,0)*VLOOKUP('Données projet'!$B$9,Paramètres!$A$1:$I$89,5,0)</f>
        <v>52.27559999999999</v>
      </c>
      <c r="P32" s="14">
        <f t="shared" si="33"/>
        <v>15.199912378332435</v>
      </c>
      <c r="Q32" s="22">
        <f t="shared" si="2"/>
        <v>117.51985072559563</v>
      </c>
      <c r="R32" s="60">
        <f t="shared" si="0"/>
        <v>409.63096183670677</v>
      </c>
      <c r="S32" s="60">
        <f ca="1">AVERAGE(OFFSET($R$3,0,0,'Données projet'!$E$9+1,1))-AVERAGE(OFFSET($H$3,0,0,'Données projet'!$E$9+1,1))</f>
        <v>399.92909819003523</v>
      </c>
      <c r="T32" s="60">
        <f t="shared" si="34"/>
        <v>163.7053537268381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11.9</v>
      </c>
      <c r="AI32" s="14">
        <f>IF('Données projet'!$A$62&gt;35,AI31+AH32-AQ31,IF(A32&lt;'Données projet'!$A$62,$AF$205^A32,IF(A32='Données projet'!$A$62,'Données projet'!$B$62,AI31+AH32-AQ31)))</f>
        <v>198.10000000000005</v>
      </c>
      <c r="AJ32" s="14">
        <f>AI32*VLOOKUP('Données projet'!$B$10,Paramètres!$A$1:$I$89,3,0)*VLOOKUP('Données projet'!$B$10,Paramètres!$A$1:$I$89,5,0)</f>
        <v>118.46380000000005</v>
      </c>
      <c r="AK32" s="14">
        <f t="shared" si="35"/>
        <v>31.316437641959475</v>
      </c>
      <c r="AL32" s="22">
        <f t="shared" si="4"/>
        <v>260.86724722641287</v>
      </c>
      <c r="AM32" s="60">
        <f t="shared" si="5"/>
        <v>552.97835833752401</v>
      </c>
      <c r="AN32" s="60">
        <f ca="1">AVERAGE(OFFSET($AM$3,0,0,'Données projet'!$E$10+1,1))-AVERAGE(OFFSET($H$3,0,0,'Données projet'!$E$10+1,1))</f>
        <v>455.43477166687273</v>
      </c>
      <c r="AO32" s="60">
        <f t="shared" si="36"/>
        <v>312.81310692672895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81.432000000000002</v>
      </c>
      <c r="BF32" s="14">
        <f t="shared" si="37"/>
        <v>22.486953220240881</v>
      </c>
      <c r="BG32" s="22">
        <f t="shared" si="7"/>
        <v>180.99217685858619</v>
      </c>
      <c r="BH32" s="60">
        <f t="shared" si="8"/>
        <v>473.10328796969736</v>
      </c>
      <c r="BI32" s="60">
        <f ca="1">AVERAGE(OFFSET($BH$3,0,0,'Données projet'!$E$11+1,1))-AVERAGE(OFFSET($H$3,0,0,'Données projet'!$E$11+1,1))</f>
        <v>430.11660085503223</v>
      </c>
      <c r="BJ32" s="60">
        <f t="shared" si="38"/>
        <v>231.36959598460686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projet'!$B$12,Paramètres!$A$1:$I$89,3,0)*VLOOKUP('Données projet'!$B$12,Paramètres!$A$1:$I$89,5,0)</f>
        <v>91.26</v>
      </c>
      <c r="CA32" s="14">
        <f t="shared" si="39"/>
        <v>24.868860330902777</v>
      </c>
      <c r="CB32" s="22">
        <f t="shared" si="10"/>
        <v>202.25776507632233</v>
      </c>
      <c r="CC32" s="60">
        <f t="shared" si="11"/>
        <v>494.36887618743344</v>
      </c>
      <c r="CD32" s="60">
        <f ca="1">AVERAGE(OFFSET($CC$3,0,0,'Données projet'!$E$12+1,1))-AVERAGE(OFFSET($H$3,0,0,'Données projet'!$E$12+1,1))</f>
        <v>476.8965664931755</v>
      </c>
      <c r="CE32" s="60">
        <f t="shared" si="40"/>
        <v>254.25036207346591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90</v>
      </c>
      <c r="CU32" s="18">
        <f>CT32*VLOOKUP('Données projet'!$B$13,Paramètres!$A$1:$I$89,3,0)*VLOOKUP('Données projet'!$B$13,Paramètres!$A$1:$I$89,5,0)</f>
        <v>87.048000000000002</v>
      </c>
      <c r="CV32" s="14">
        <f t="shared" si="41"/>
        <v>23.851897708444891</v>
      </c>
      <c r="CW32" s="22">
        <f t="shared" si="13"/>
        <v>193.15065517554152</v>
      </c>
      <c r="CX32" s="60">
        <f t="shared" si="14"/>
        <v>485.26176628665269</v>
      </c>
      <c r="CY32" s="60">
        <f ca="1">AVERAGE(OFFSET($CX$3,0,0,'Données projet'!$E$13+1,1))-AVERAGE(OFFSET($H$3,0,0,'Données projet'!$E$13+1,1))</f>
        <v>456.86147223520601</v>
      </c>
      <c r="CZ32" s="60">
        <f t="shared" si="42"/>
        <v>244.45149244446094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5.1282051282051269</v>
      </c>
      <c r="DO32" s="13">
        <f>IF('Données projet'!$A$166&gt;35,DO31+DN32-DW31,IF(A32&lt;'Données projet'!$A$166,$DL$205^A32,IF(A32='Données projet'!$A$166,'Données projet'!$B$166,DO31+DN32-DW31)))</f>
        <v>78.846153846153825</v>
      </c>
      <c r="DP32" s="18">
        <f>DO32*VLOOKUP('Données projet'!$B$14,Paramètres!$A$1:$I$89,3,0)*VLOOKUP('Données projet'!$B$14,Paramètres!$A$1:$I$89,5,0)</f>
        <v>75.029999999999987</v>
      </c>
      <c r="DQ32" s="14">
        <f t="shared" si="43"/>
        <v>20.917494504218595</v>
      </c>
      <c r="DR32" s="22">
        <f t="shared" si="16"/>
        <v>167.1085529281807</v>
      </c>
      <c r="DS32" s="60">
        <f t="shared" si="17"/>
        <v>459.21966403929184</v>
      </c>
      <c r="DT32" s="60">
        <f ca="1">AVERAGE(OFFSET($DS$3,0,0,'Données projet'!$E$14+1,1))-AVERAGE(OFFSET($H$3,0,0,'Données projet'!$E$14+1,1))</f>
        <v>300.36889324671682</v>
      </c>
      <c r="DU32" s="60">
        <f t="shared" si="44"/>
        <v>214.36051699039683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7.4</v>
      </c>
      <c r="EJ32" s="13">
        <f>IF('Données projet'!$A$192&gt;35,EJ31+EI32-ER31,IF(A32&lt;'Données projet'!$A$192,$EG$205^A32,IF(A32='Données projet'!$A$192,'Données projet'!$B$192,EJ31+EI32-ER31)))</f>
        <v>68.600000000000009</v>
      </c>
      <c r="EK32" s="18">
        <f>EJ32*VLOOKUP('Données projet'!$B$15,Paramètres!$A$1:$I$89,3,0)*VLOOKUP('Données projet'!$B$15,Paramètres!$A$1:$I$89,5,0)</f>
        <v>59.928960000000018</v>
      </c>
      <c r="EL32" s="14">
        <f t="shared" si="45"/>
        <v>17.150306633391633</v>
      </c>
      <c r="EM32" s="22">
        <f t="shared" si="19"/>
        <v>134.24638938649045</v>
      </c>
      <c r="EN32" s="60">
        <f t="shared" si="20"/>
        <v>426.35750049760156</v>
      </c>
      <c r="EO32" s="60">
        <f ca="1">AVERAGE(OFFSET($EN$3,0,0,'Données projet'!$E$15+1,1))-AVERAGE(OFFSET($H$3,0,0,'Données projet'!$E$15+1,1))</f>
        <v>202.46844517174412</v>
      </c>
      <c r="EP32" s="60">
        <f t="shared" si="46"/>
        <v>185.00219255324515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8.8461538461538449</v>
      </c>
      <c r="FE32" s="13">
        <f>IF('Données projet'!$A$218&gt;35,FE31+FD32-FM31,IF(A32&lt;'Données projet'!$A$218,$FB$205^A32,IF(A32='Données projet'!$A$218,'Données projet'!$B$218,FE31+FD32-FM31)))</f>
        <v>143.07692307692307</v>
      </c>
      <c r="FF32" s="18">
        <f>FE32*VLOOKUP('Données projet'!$B$16,Paramètres!$A$1:$I$89,3,0)*VLOOKUP('Données projet'!$B$16,Paramètres!$A$1:$I$89,5,0)</f>
        <v>95.975999999999985</v>
      </c>
      <c r="FG32" s="14">
        <f t="shared" si="47"/>
        <v>26.001055526327377</v>
      </c>
      <c r="FH32" s="22">
        <f t="shared" si="22"/>
        <v>212.44337170835345</v>
      </c>
      <c r="FI32" s="60">
        <f t="shared" si="23"/>
        <v>504.55448281946462</v>
      </c>
      <c r="FJ32" s="60">
        <f ca="1">AVERAGE(OFFSET($FI$3,0,0,'Données projet'!$E$16+1,1))-AVERAGE(OFFSET($H$3,0,0,'Données projet'!$E$16+1,1))</f>
        <v>344.87493856469382</v>
      </c>
      <c r="FK32" s="60">
        <f t="shared" si="48"/>
        <v>261.91036689641402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>
        <f>FZ32*VLOOKUP('Données projet'!$B$17,Paramètres!$A$1:$I$89,3,0)*VLOOKUP('Données projet'!$B$17,Paramètres!$A$1:$I$89,5,0)</f>
        <v>0</v>
      </c>
      <c r="GB32" s="14" t="e">
        <f t="shared" si="49"/>
        <v>#NUM!</v>
      </c>
      <c r="GC32" s="22" t="e">
        <f t="shared" si="25"/>
        <v>#NUM!</v>
      </c>
      <c r="GD32" s="60" t="e">
        <f t="shared" si="26"/>
        <v>#NUM!</v>
      </c>
      <c r="GE32" s="60">
        <f ca="1">AVERAGE(OFFSET($GD$3,0,0,'Données projet'!$E$17+1,1))-AVERAGE(OFFSET($H$3,0,0,'Données projet'!$E$17+1,1))</f>
        <v>268.19959446602911</v>
      </c>
      <c r="GF32" s="60">
        <f t="shared" si="50"/>
        <v>691.2533336811855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146.61683856787488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146.61683856787488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11.5</v>
      </c>
      <c r="GU32" s="13">
        <f>IF('Données projet'!$A$270&gt;35,GU31+GT32-HC31,IF(A32&lt;'Données projet'!$A$270,$GR$205^A32,IF(A32='Données projet'!$A$270,'Données projet'!$B$270,GU31+GT32-HC31)))</f>
        <v>131.99999999999997</v>
      </c>
      <c r="GV32" s="18">
        <f>GU32*VLOOKUP('Données projet'!$B$18,Paramètres!$A$1:$I$89,3,0)*VLOOKUP('Données projet'!$B$18,Paramètres!$A$1:$I$89,5,0)</f>
        <v>102.95999999999998</v>
      </c>
      <c r="GW32" s="14">
        <f t="shared" si="51"/>
        <v>27.665975080374633</v>
      </c>
      <c r="GX32" s="22">
        <f t="shared" si="28"/>
        <v>227.50690659831912</v>
      </c>
      <c r="GY32" s="60">
        <f t="shared" si="29"/>
        <v>519.61801770943021</v>
      </c>
      <c r="GZ32" s="60">
        <f ca="1">AVERAGE(OFFSET($GY$3,0,0,'Données projet'!$E$18+1,1))-AVERAGE(OFFSET($H$3,0,0,'Données projet'!$E$18+1,1))</f>
        <v>292.57482726862594</v>
      </c>
      <c r="HA32" s="60">
        <f t="shared" si="52"/>
        <v>283.48738729114024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9.3000000000000007</v>
      </c>
      <c r="M33" s="13">
        <f t="array" ref="M33">INDEX(L:L,MIN(IF(ISNUMBER(L33:L229),ROW(L33:L229),"")))</f>
        <v>9.3000000000000007</v>
      </c>
      <c r="N33" s="14">
        <f>IF('Données projet'!$A$36&gt;35,N32+M33-V32,IF(A33&lt;'Données projet'!$A$36,$K$205^A33,IF(A33='Données projet'!$A$36,'Données projet'!$B$36,N32+M33-V32)))</f>
        <v>120.99999999999997</v>
      </c>
      <c r="O33" s="14">
        <f>N33*VLOOKUP('Données projet'!$B$9,Paramètres!$A$1:$I$89,3,0)*VLOOKUP('Données projet'!$B$9,Paramètres!$A$1:$I$89,5,0)</f>
        <v>56.627999999999986</v>
      </c>
      <c r="P33" s="14">
        <f t="shared" si="33"/>
        <v>16.312872953208519</v>
      </c>
      <c r="Q33" s="22">
        <f t="shared" si="2"/>
        <v>127.03868706017147</v>
      </c>
      <c r="R33" s="60">
        <f t="shared" si="0"/>
        <v>420.37202039350478</v>
      </c>
      <c r="S33" s="60">
        <f ca="1">AVERAGE(OFFSET($R$3,0,0,'Données projet'!$E$9+1,1))-AVERAGE(OFFSET($H$3,0,0,'Données projet'!$E$9+1,1))</f>
        <v>399.92909819003523</v>
      </c>
      <c r="T33" s="60">
        <f t="shared" si="34"/>
        <v>163.7053537268381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210</v>
      </c>
      <c r="AG33" s="13">
        <f>VLOOKUP(A33,'Données projet'!$A$61:$I$81,9,0)</f>
        <v>11.9</v>
      </c>
      <c r="AH33" s="13">
        <f t="array" ref="AH33">INDEX(AG:AG,MIN(IF(ISNUMBER(AG33:AG229),ROW(AG33:AG229),"")))</f>
        <v>11.9</v>
      </c>
      <c r="AI33" s="14">
        <f>IF('Données projet'!$A$62&gt;35,AI32+AH33-AQ32,IF(A33&lt;'Données projet'!$A$62,$AF$205^A33,IF(A33='Données projet'!$A$62,'Données projet'!$B$62,AI32+AH33-AQ32)))</f>
        <v>210.00000000000006</v>
      </c>
      <c r="AJ33" s="14">
        <f>AI33*VLOOKUP('Données projet'!$B$10,Paramètres!$A$1:$I$89,3,0)*VLOOKUP('Données projet'!$B$10,Paramètres!$A$1:$I$89,5,0)</f>
        <v>125.58000000000006</v>
      </c>
      <c r="AK33" s="14">
        <f t="shared" si="35"/>
        <v>32.972980053624248</v>
      </c>
      <c r="AL33" s="22">
        <f t="shared" si="4"/>
        <v>276.14644026006232</v>
      </c>
      <c r="AM33" s="60">
        <f t="shared" si="5"/>
        <v>569.47977359339563</v>
      </c>
      <c r="AN33" s="60">
        <f ca="1">AVERAGE(OFFSET($AM$3,0,0,'Données projet'!$E$10+1,1))-AVERAGE(OFFSET($H$3,0,0,'Données projet'!$E$10+1,1))</f>
        <v>455.43477166687273</v>
      </c>
      <c r="AO33" s="60">
        <f t="shared" si="36"/>
        <v>312.81310692672895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87.765600000000006</v>
      </c>
      <c r="BF33" s="14">
        <f t="shared" si="37"/>
        <v>24.025555589247954</v>
      </c>
      <c r="BG33" s="22">
        <f t="shared" si="7"/>
        <v>194.7029293179402</v>
      </c>
      <c r="BH33" s="60">
        <f t="shared" si="8"/>
        <v>488.03626265127355</v>
      </c>
      <c r="BI33" s="60">
        <f ca="1">AVERAGE(OFFSET($BH$3,0,0,'Données projet'!$E$11+1,1))-AVERAGE(OFFSET($H$3,0,0,'Données projet'!$E$11+1,1))</f>
        <v>430.11660085503223</v>
      </c>
      <c r="BJ33" s="60">
        <f t="shared" si="38"/>
        <v>231.36959598460686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projet'!$B$12,Paramètres!$A$1:$I$89,3,0)*VLOOKUP('Données projet'!$B$12,Paramètres!$A$1:$I$89,5,0)</f>
        <v>98.358000000000004</v>
      </c>
      <c r="CA33" s="14">
        <f t="shared" si="39"/>
        <v>26.570437554143126</v>
      </c>
      <c r="CB33" s="22">
        <f t="shared" si="10"/>
        <v>217.58369540679928</v>
      </c>
      <c r="CC33" s="60">
        <f t="shared" si="11"/>
        <v>510.91702874013259</v>
      </c>
      <c r="CD33" s="60">
        <f ca="1">AVERAGE(OFFSET($CC$3,0,0,'Données projet'!$E$12+1,1))-AVERAGE(OFFSET($H$3,0,0,'Données projet'!$E$12+1,1))</f>
        <v>476.8965664931755</v>
      </c>
      <c r="CE33" s="60">
        <f t="shared" si="40"/>
        <v>254.25036207346591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97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97</v>
      </c>
      <c r="CU33" s="18">
        <f>CT33*VLOOKUP('Données projet'!$B$13,Paramètres!$A$1:$I$89,3,0)*VLOOKUP('Données projet'!$B$13,Paramètres!$A$1:$I$89,5,0)</f>
        <v>93.818400000000011</v>
      </c>
      <c r="CV33" s="14">
        <f t="shared" si="41"/>
        <v>25.483892312609182</v>
      </c>
      <c r="CW33" s="22">
        <f t="shared" si="13"/>
        <v>207.78482577779434</v>
      </c>
      <c r="CX33" s="60">
        <f t="shared" si="14"/>
        <v>501.11815911112762</v>
      </c>
      <c r="CY33" s="60">
        <f ca="1">AVERAGE(OFFSET($CX$3,0,0,'Données projet'!$E$13+1,1))-AVERAGE(OFFSET($H$3,0,0,'Données projet'!$E$13+1,1))</f>
        <v>456.86147223520601</v>
      </c>
      <c r="CZ33" s="60">
        <f t="shared" si="42"/>
        <v>244.45149244446094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83.974358974358964</v>
      </c>
      <c r="DM33" s="13">
        <f>VLOOKUP(A33,'Données projet'!$A$165:$I$185,9,0)</f>
        <v>5.1282051282051269</v>
      </c>
      <c r="DN33" s="13">
        <f t="array" ref="DN33">INDEX(DM:DM,MIN(IF(ISNUMBER(DM33:DM229),ROW(DM33:DM229),"")))</f>
        <v>5.1282051282051269</v>
      </c>
      <c r="DO33" s="13">
        <f>IF('Données projet'!$A$166&gt;35,DO32+DN33-DW32,IF(A33&lt;'Données projet'!$A$166,$DL$205^A33,IF(A33='Données projet'!$A$166,'Données projet'!$B$166,DO32+DN33-DW32)))</f>
        <v>83.97435897435895</v>
      </c>
      <c r="DP33" s="18">
        <f>DO33*VLOOKUP('Données projet'!$B$14,Paramètres!$A$1:$I$89,3,0)*VLOOKUP('Données projet'!$B$14,Paramètres!$A$1:$I$89,5,0)</f>
        <v>79.909999999999968</v>
      </c>
      <c r="DQ33" s="14">
        <f t="shared" si="43"/>
        <v>22.115177219366668</v>
      </c>
      <c r="DR33" s="22">
        <f t="shared" si="16"/>
        <v>177.6938503237302</v>
      </c>
      <c r="DS33" s="60">
        <f t="shared" si="17"/>
        <v>471.02718365706352</v>
      </c>
      <c r="DT33" s="60">
        <f ca="1">AVERAGE(OFFSET($DS$3,0,0,'Données projet'!$E$14+1,1))-AVERAGE(OFFSET($H$3,0,0,'Données projet'!$E$14+1,1))</f>
        <v>300.36889324671682</v>
      </c>
      <c r="DU33" s="60">
        <f t="shared" si="44"/>
        <v>214.36051699039683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17.948717948717949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76</v>
      </c>
      <c r="EH33" s="13">
        <f>VLOOKUP(A33,'Données projet'!$A$191:$I$211,9,0)</f>
        <v>7.4</v>
      </c>
      <c r="EI33" s="13">
        <f t="array" ref="EI33">INDEX(EH:EH,MIN(IF(ISNUMBER(EH33:EH229),ROW(EH33:EH229),"")))</f>
        <v>7.4</v>
      </c>
      <c r="EJ33" s="13">
        <f>IF('Données projet'!$A$192&gt;35,EJ32+EI33-ER32,IF(A33&lt;'Données projet'!$A$192,$EG$205^A33,IF(A33='Données projet'!$A$192,'Données projet'!$B$192,EJ32+EI33-ER32)))</f>
        <v>76.000000000000014</v>
      </c>
      <c r="EK33" s="18">
        <f>EJ33*VLOOKUP('Données projet'!$B$15,Paramètres!$A$1:$I$89,3,0)*VLOOKUP('Données projet'!$B$15,Paramètres!$A$1:$I$89,5,0)</f>
        <v>66.393600000000021</v>
      </c>
      <c r="EL33" s="14">
        <f t="shared" si="45"/>
        <v>18.775122997078544</v>
      </c>
      <c r="EM33" s="22">
        <f t="shared" si="19"/>
        <v>148.33552588657849</v>
      </c>
      <c r="EN33" s="60">
        <f t="shared" si="20"/>
        <v>441.66885921991184</v>
      </c>
      <c r="EO33" s="60">
        <f ca="1">AVERAGE(OFFSET($EN$3,0,0,'Données projet'!$E$15+1,1))-AVERAGE(OFFSET($H$3,0,0,'Données projet'!$E$15+1,1))</f>
        <v>202.46844517174412</v>
      </c>
      <c r="EP33" s="60">
        <f t="shared" si="46"/>
        <v>185.00219255324515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151.92307692307691</v>
      </c>
      <c r="FC33" s="13">
        <f>VLOOKUP(A33,'Données projet'!$A$217:$I$237,9,0)</f>
        <v>8.8461538461538449</v>
      </c>
      <c r="FD33" s="13">
        <f t="array" ref="FD33">INDEX(FC:FC,MIN(IF(ISNUMBER(FC33:FC229),ROW(FC33:FC229),"")))</f>
        <v>8.8461538461538449</v>
      </c>
      <c r="FE33" s="13">
        <f>IF('Données projet'!$A$218&gt;35,FE32+FD33-FM32,IF(A33&lt;'Données projet'!$A$218,$FB$205^A33,IF(A33='Données projet'!$A$218,'Données projet'!$B$218,FE32+FD33-FM32)))</f>
        <v>151.92307692307691</v>
      </c>
      <c r="FF33" s="18">
        <f>FE33*VLOOKUP('Données projet'!$B$16,Paramètres!$A$1:$I$89,3,0)*VLOOKUP('Données projet'!$B$16,Paramètres!$A$1:$I$89,5,0)</f>
        <v>101.90999999999998</v>
      </c>
      <c r="FG33" s="14">
        <f t="shared" si="47"/>
        <v>27.416526447701855</v>
      </c>
      <c r="FH33" s="22">
        <f t="shared" si="22"/>
        <v>225.24370022974736</v>
      </c>
      <c r="FI33" s="60">
        <f t="shared" si="23"/>
        <v>518.5770335630807</v>
      </c>
      <c r="FJ33" s="60">
        <f ca="1">AVERAGE(OFFSET($FI$3,0,0,'Données projet'!$E$16+1,1))-AVERAGE(OFFSET($H$3,0,0,'Données projet'!$E$16+1,1))</f>
        <v>344.87493856469382</v>
      </c>
      <c r="FK33" s="60">
        <f t="shared" si="48"/>
        <v>261.91036689641402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>
        <f>FZ33*VLOOKUP('Données projet'!$B$17,Paramètres!$A$1:$I$89,3,0)*VLOOKUP('Données projet'!$B$17,Paramètres!$A$1:$I$89,5,0)</f>
        <v>0</v>
      </c>
      <c r="GB33" s="14" t="e">
        <f t="shared" si="49"/>
        <v>#NUM!</v>
      </c>
      <c r="GC33" s="22" t="e">
        <f t="shared" si="25"/>
        <v>#NUM!</v>
      </c>
      <c r="GD33" s="60" t="e">
        <f t="shared" si="26"/>
        <v>#NUM!</v>
      </c>
      <c r="GE33" s="60">
        <f ca="1">AVERAGE(OFFSET($GD$3,0,0,'Données projet'!$E$17+1,1))-AVERAGE(OFFSET($H$3,0,0,'Données projet'!$E$17+1,1))</f>
        <v>268.19959446602911</v>
      </c>
      <c r="GF33" s="60">
        <f t="shared" si="50"/>
        <v>691.2533336811855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143.74177179100016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143.74177179100016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11.5</v>
      </c>
      <c r="GU33" s="13">
        <f>IF('Données projet'!$A$270&gt;35,GU32+GT33-HC32,IF(A33&lt;'Données projet'!$A$270,$GR$205^A33,IF(A33='Données projet'!$A$270,'Données projet'!$B$270,GU32+GT33-HC32)))</f>
        <v>143.49999999999997</v>
      </c>
      <c r="GV33" s="18">
        <f>GU33*VLOOKUP('Données projet'!$B$18,Paramètres!$A$1:$I$89,3,0)*VLOOKUP('Données projet'!$B$18,Paramètres!$A$1:$I$89,5,0)</f>
        <v>111.92999999999998</v>
      </c>
      <c r="GW33" s="14">
        <f t="shared" si="51"/>
        <v>29.785246291563833</v>
      </c>
      <c r="GX33" s="22">
        <f t="shared" si="28"/>
        <v>246.82072062447358</v>
      </c>
      <c r="GY33" s="60">
        <f t="shared" si="29"/>
        <v>540.15405395780692</v>
      </c>
      <c r="GZ33" s="60">
        <f ca="1">AVERAGE(OFFSET($GY$3,0,0,'Données projet'!$E$18+1,1))-AVERAGE(OFFSET($H$3,0,0,'Données projet'!$E$18+1,1))</f>
        <v>292.57482726862594</v>
      </c>
      <c r="HA33" s="60">
        <f t="shared" si="52"/>
        <v>283.48738729114024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135.59999999999997</v>
      </c>
      <c r="O34" s="14">
        <f>N34*VLOOKUP('Données projet'!$B$9,Paramètres!$A$1:$I$89,3,0)*VLOOKUP('Données projet'!$B$9,Paramètres!$A$1:$I$89,5,0)</f>
        <v>63.460799999999985</v>
      </c>
      <c r="P34" s="14">
        <f t="shared" si="33"/>
        <v>18.04039167659279</v>
      </c>
      <c r="Q34" s="22">
        <f t="shared" si="2"/>
        <v>141.94790883673241</v>
      </c>
      <c r="R34" s="60">
        <f t="shared" si="0"/>
        <v>435.28124217006575</v>
      </c>
      <c r="S34" s="60">
        <f ca="1">AVERAGE(OFFSET($R$3,0,0,'Données projet'!$E$9+1,1))-AVERAGE(OFFSET($H$3,0,0,'Données projet'!$E$9+1,1))</f>
        <v>399.92909819003523</v>
      </c>
      <c r="T34" s="60">
        <f t="shared" si="34"/>
        <v>163.7053537268381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12.2</v>
      </c>
      <c r="AI34" s="14">
        <f>IF('Données projet'!$A$62&gt;35,AI33+AH34-AQ33,IF(A34&lt;'Données projet'!$A$62,$AF$205^A34,IF(A34='Données projet'!$A$62,'Données projet'!$B$62,AI33+AH34-AQ33)))</f>
        <v>193.20000000000005</v>
      </c>
      <c r="AJ34" s="14">
        <f>AI34*VLOOKUP('Données projet'!$B$10,Paramètres!$A$1:$I$89,3,0)*VLOOKUP('Données projet'!$B$10,Paramètres!$A$1:$I$89,5,0)</f>
        <v>115.53360000000004</v>
      </c>
      <c r="AK34" s="14">
        <f t="shared" si="35"/>
        <v>30.630996389304649</v>
      </c>
      <c r="AL34" s="22">
        <f t="shared" si="4"/>
        <v>254.57000537803893</v>
      </c>
      <c r="AM34" s="60">
        <f t="shared" si="5"/>
        <v>547.90333871137227</v>
      </c>
      <c r="AN34" s="60">
        <f ca="1">AVERAGE(OFFSET($AM$3,0,0,'Données projet'!$E$10+1,1))-AVERAGE(OFFSET($H$3,0,0,'Données projet'!$E$10+1,1))</f>
        <v>455.43477166687273</v>
      </c>
      <c r="AO34" s="60">
        <f t="shared" si="36"/>
        <v>312.81310692672895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105</v>
      </c>
      <c r="BE34" s="14">
        <f>BD34*VLOOKUP('Données projet'!$B$11,Paramètres!$A$1:$I$89,3,0)*VLOOKUP('Données projet'!$B$11,Paramètres!$A$1:$I$89,5,0)</f>
        <v>95.004000000000005</v>
      </c>
      <c r="BF34" s="14">
        <f t="shared" si="37"/>
        <v>25.768242550600785</v>
      </c>
      <c r="BG34" s="22">
        <f t="shared" si="7"/>
        <v>210.34498910896306</v>
      </c>
      <c r="BH34" s="60">
        <f t="shared" si="8"/>
        <v>503.67832244229635</v>
      </c>
      <c r="BI34" s="60">
        <f ca="1">AVERAGE(OFFSET($BH$3,0,0,'Données projet'!$E$11+1,1))-AVERAGE(OFFSET($H$3,0,0,'Données projet'!$E$11+1,1))</f>
        <v>430.11660085503223</v>
      </c>
      <c r="BJ34" s="60">
        <f t="shared" si="38"/>
        <v>231.36959598460686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105</v>
      </c>
      <c r="BZ34" s="14">
        <f>BY34*VLOOKUP('Données projet'!$B$12,Paramètres!$A$1:$I$89,3,0)*VLOOKUP('Données projet'!$B$12,Paramètres!$A$1:$I$89,5,0)</f>
        <v>106.47</v>
      </c>
      <c r="CA34" s="14">
        <f t="shared" si="39"/>
        <v>28.49771681771891</v>
      </c>
      <c r="CB34" s="22">
        <f t="shared" si="10"/>
        <v>235.06877345752704</v>
      </c>
      <c r="CC34" s="60">
        <f t="shared" si="11"/>
        <v>528.40210679086033</v>
      </c>
      <c r="CD34" s="60">
        <f ca="1">AVERAGE(OFFSET($CC$3,0,0,'Données projet'!$E$12+1,1))-AVERAGE(OFFSET($H$3,0,0,'Données projet'!$E$12+1,1))</f>
        <v>476.8965664931755</v>
      </c>
      <c r="CE34" s="60">
        <f t="shared" si="40"/>
        <v>254.25036207346591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105</v>
      </c>
      <c r="CU34" s="18">
        <f>CT34*VLOOKUP('Données projet'!$B$13,Paramètres!$A$1:$I$89,3,0)*VLOOKUP('Données projet'!$B$13,Paramètres!$A$1:$I$89,5,0)</f>
        <v>101.556</v>
      </c>
      <c r="CV34" s="14">
        <f t="shared" si="41"/>
        <v>27.332359320696909</v>
      </c>
      <c r="CW34" s="22">
        <f t="shared" si="13"/>
        <v>224.48055915021379</v>
      </c>
      <c r="CX34" s="60">
        <f t="shared" si="14"/>
        <v>517.81389248354708</v>
      </c>
      <c r="CY34" s="60">
        <f ca="1">AVERAGE(OFFSET($CX$3,0,0,'Données projet'!$E$13+1,1))-AVERAGE(OFFSET($H$3,0,0,'Données projet'!$E$13+1,1))</f>
        <v>456.86147223520601</v>
      </c>
      <c r="CZ34" s="60">
        <f t="shared" si="42"/>
        <v>244.45149244446094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5.1282051282051269</v>
      </c>
      <c r="DO34" s="13">
        <f>IF('Données projet'!$A$166&gt;35,DO33+DN34-DW33,IF(A34&lt;'Données projet'!$A$166,$DL$205^A34,IF(A34='Données projet'!$A$166,'Données projet'!$B$166,DO33+DN34-DW33)))</f>
        <v>71.153846153846132</v>
      </c>
      <c r="DP34" s="18">
        <f>DO34*VLOOKUP('Données projet'!$B$14,Paramètres!$A$1:$I$89,3,0)*VLOOKUP('Données projet'!$B$14,Paramètres!$A$1:$I$89,5,0)</f>
        <v>67.70999999999998</v>
      </c>
      <c r="DQ34" s="14">
        <f t="shared" si="43"/>
        <v>19.103673681896307</v>
      </c>
      <c r="DR34" s="22">
        <f t="shared" si="16"/>
        <v>151.20048166263604</v>
      </c>
      <c r="DS34" s="60">
        <f t="shared" si="17"/>
        <v>444.53381499596935</v>
      </c>
      <c r="DT34" s="60">
        <f ca="1">AVERAGE(OFFSET($DS$3,0,0,'Données projet'!$E$14+1,1))-AVERAGE(OFFSET($H$3,0,0,'Données projet'!$E$14+1,1))</f>
        <v>300.36889324671682</v>
      </c>
      <c r="DU34" s="60">
        <f t="shared" si="44"/>
        <v>214.36051699039683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6.6</v>
      </c>
      <c r="EJ34" s="13">
        <f>IF('Données projet'!$A$192&gt;35,EJ33+EI34-ER33,IF(A34&lt;'Données projet'!$A$192,$EG$205^A34,IF(A34='Données projet'!$A$192,'Données projet'!$B$192,EJ33+EI34-ER33)))</f>
        <v>82.600000000000009</v>
      </c>
      <c r="EK34" s="18">
        <f>EJ34*VLOOKUP('Données projet'!$B$15,Paramètres!$A$1:$I$89,3,0)*VLOOKUP('Données projet'!$B$15,Paramètres!$A$1:$I$89,5,0)</f>
        <v>72.159360000000021</v>
      </c>
      <c r="EL34" s="14">
        <f t="shared" si="45"/>
        <v>20.208750890014226</v>
      </c>
      <c r="EM34" s="22">
        <f t="shared" si="19"/>
        <v>160.87445980010816</v>
      </c>
      <c r="EN34" s="60">
        <f t="shared" si="20"/>
        <v>454.20779313344144</v>
      </c>
      <c r="EO34" s="60">
        <f ca="1">AVERAGE(OFFSET($EN$3,0,0,'Données projet'!$E$15+1,1))-AVERAGE(OFFSET($H$3,0,0,'Données projet'!$E$15+1,1))</f>
        <v>202.46844517174412</v>
      </c>
      <c r="EP34" s="60">
        <f t="shared" si="46"/>
        <v>185.00219255324515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8.3333333333333375</v>
      </c>
      <c r="FE34" s="13">
        <f>IF('Données projet'!$A$218&gt;35,FE33+FD34-FM33,IF(A34&lt;'Données projet'!$A$218,$FB$205^A34,IF(A34='Données projet'!$A$218,'Données projet'!$B$218,FE33+FD34-FM33)))</f>
        <v>160.25641025641025</v>
      </c>
      <c r="FF34" s="18">
        <f>FE34*VLOOKUP('Données projet'!$B$16,Paramètres!$A$1:$I$89,3,0)*VLOOKUP('Données projet'!$B$16,Paramètres!$A$1:$I$89,5,0)</f>
        <v>107.5</v>
      </c>
      <c r="FG34" s="14">
        <f t="shared" si="47"/>
        <v>28.741179291345453</v>
      </c>
      <c r="FH34" s="22">
        <f t="shared" si="22"/>
        <v>237.28672059909331</v>
      </c>
      <c r="FI34" s="60">
        <f t="shared" si="23"/>
        <v>530.62005393242657</v>
      </c>
      <c r="FJ34" s="60">
        <f ca="1">AVERAGE(OFFSET($FI$3,0,0,'Données projet'!$E$16+1,1))-AVERAGE(OFFSET($H$3,0,0,'Données projet'!$E$16+1,1))</f>
        <v>344.87493856469382</v>
      </c>
      <c r="FK34" s="60">
        <f t="shared" si="48"/>
        <v>261.91036689641402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>
        <f>FZ34*VLOOKUP('Données projet'!$B$17,Paramètres!$A$1:$I$89,3,0)*VLOOKUP('Données projet'!$B$17,Paramètres!$A$1:$I$89,5,0)</f>
        <v>0</v>
      </c>
      <c r="GB34" s="14" t="e">
        <f t="shared" si="49"/>
        <v>#NUM!</v>
      </c>
      <c r="GC34" s="22" t="e">
        <f t="shared" si="25"/>
        <v>#NUM!</v>
      </c>
      <c r="GD34" s="60" t="e">
        <f t="shared" si="26"/>
        <v>#NUM!</v>
      </c>
      <c r="GE34" s="60">
        <f ca="1">AVERAGE(OFFSET($GD$3,0,0,'Données projet'!$E$17+1,1))-AVERAGE(OFFSET($H$3,0,0,'Données projet'!$E$17+1,1))</f>
        <v>268.19959446602911</v>
      </c>
      <c r="GF34" s="60">
        <f t="shared" si="50"/>
        <v>691.2533336811855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140.92308332000238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140.92308332000238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>
        <f>VLOOKUP(A34,'Données projet'!$A$269:$I$289,2,0)</f>
        <v>155</v>
      </c>
      <c r="GS34" s="13">
        <f>VLOOKUP(A34,'Données projet'!$A$269:$I$289,9,0)</f>
        <v>11.5</v>
      </c>
      <c r="GT34" s="13">
        <f t="array" ref="GT34">INDEX(GS:GS,MIN(IF(ISNUMBER(GS34:GS230),ROW(GS34:GS230),"")))</f>
        <v>11.5</v>
      </c>
      <c r="GU34" s="13">
        <f>IF('Données projet'!$A$270&gt;35,GU33+GT34-HC33,IF(A34&lt;'Données projet'!$A$270,$GR$205^A34,IF(A34='Données projet'!$A$270,'Données projet'!$B$270,GU33+GT34-HC33)))</f>
        <v>154.99999999999997</v>
      </c>
      <c r="GV34" s="18">
        <f>GU34*VLOOKUP('Données projet'!$B$18,Paramètres!$A$1:$I$89,3,0)*VLOOKUP('Données projet'!$B$18,Paramètres!$A$1:$I$89,5,0)</f>
        <v>120.89999999999998</v>
      </c>
      <c r="GW34" s="14">
        <f t="shared" si="51"/>
        <v>31.884818143351602</v>
      </c>
      <c r="GX34" s="22">
        <f t="shared" si="28"/>
        <v>266.10022493300397</v>
      </c>
      <c r="GY34" s="60">
        <f t="shared" si="29"/>
        <v>559.43355826633729</v>
      </c>
      <c r="GZ34" s="60">
        <f ca="1">AVERAGE(OFFSET($GY$3,0,0,'Données projet'!$E$18+1,1))-AVERAGE(OFFSET($H$3,0,0,'Données projet'!$E$18+1,1))</f>
        <v>292.57482726862594</v>
      </c>
      <c r="HA34" s="60">
        <f t="shared" si="52"/>
        <v>283.48738729114024</v>
      </c>
      <c r="HB34" s="16">
        <f>IF(ISNA(VLOOKUP(A34,'Données projet'!$A$269:$I$289,3,0)),0,VLOOKUP(A34,'Données projet'!$A$269:$I$289,3,0))</f>
        <v>2</v>
      </c>
      <c r="HC34" s="16">
        <f>IF(ISNA(VLOOKUP(A34,'Données projet'!$A$269:$I$289,4,0)),0,VLOOKUP(A34,'Données projet'!$A$269:$I$289,4,0))</f>
        <v>36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150.19999999999996</v>
      </c>
      <c r="O35" s="14">
        <f>N35*VLOOKUP('Données projet'!$B$9,Paramètres!$A$1:$I$89,3,0)*VLOOKUP('Données projet'!$B$9,Paramètres!$A$1:$I$89,5,0)</f>
        <v>70.293599999999984</v>
      </c>
      <c r="P35" s="14">
        <f t="shared" si="33"/>
        <v>19.746351028689723</v>
      </c>
      <c r="Q35" s="22">
        <f t="shared" ref="Q35:Q66" si="53">(O35+P35)*0.475*44/12</f>
        <v>156.8195813749679</v>
      </c>
      <c r="R35" s="60">
        <f t="shared" si="0"/>
        <v>450.15291470830118</v>
      </c>
      <c r="S35" s="60">
        <f ca="1">AVERAGE(OFFSET($R$3,0,0,'Données projet'!$E$9+1,1))-AVERAGE(OFFSET($H$3,0,0,'Données projet'!$E$9+1,1))</f>
        <v>399.92909819003523</v>
      </c>
      <c r="T35" s="60">
        <f t="shared" si="34"/>
        <v>163.7053537268381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12.2</v>
      </c>
      <c r="AI35" s="14">
        <f>IF('Données projet'!$A$62&gt;35,AI34+AH35-AQ34,IF(A35&lt;'Données projet'!$A$62,$AF$205^A35,IF(A35='Données projet'!$A$62,'Données projet'!$B$62,AI34+AH35-AQ34)))</f>
        <v>205.40000000000003</v>
      </c>
      <c r="AJ35" s="14">
        <f>AI35*VLOOKUP('Données projet'!$B$10,Paramètres!$A$1:$I$89,3,0)*VLOOKUP('Données projet'!$B$10,Paramètres!$A$1:$I$89,5,0)</f>
        <v>122.82920000000003</v>
      </c>
      <c r="AK35" s="14">
        <f t="shared" si="35"/>
        <v>32.333966138845746</v>
      </c>
      <c r="AL35" s="22">
        <f t="shared" si="4"/>
        <v>270.2425143584897</v>
      </c>
      <c r="AM35" s="60">
        <f t="shared" si="5"/>
        <v>563.57584769182301</v>
      </c>
      <c r="AN35" s="60">
        <f ca="1">AVERAGE(OFFSET($AM$3,0,0,'Données projet'!$E$10+1,1))-AVERAGE(OFFSET($H$3,0,0,'Données projet'!$E$10+1,1))</f>
        <v>455.43477166687273</v>
      </c>
      <c r="AO35" s="60">
        <f t="shared" si="36"/>
        <v>312.81310692672895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113</v>
      </c>
      <c r="BE35" s="14">
        <f>BD35*VLOOKUP('Données projet'!$B$11,Paramètres!$A$1:$I$89,3,0)*VLOOKUP('Données projet'!$B$11,Paramètres!$A$1:$I$89,5,0)</f>
        <v>102.24239999999999</v>
      </c>
      <c r="BF35" s="14">
        <f t="shared" si="37"/>
        <v>27.495526976991481</v>
      </c>
      <c r="BG35" s="22">
        <f t="shared" si="7"/>
        <v>225.96022281826015</v>
      </c>
      <c r="BH35" s="60">
        <f t="shared" si="8"/>
        <v>519.29355615159352</v>
      </c>
      <c r="BI35" s="60">
        <f ca="1">AVERAGE(OFFSET($BH$3,0,0,'Données projet'!$E$11+1,1))-AVERAGE(OFFSET($H$3,0,0,'Données projet'!$E$11+1,1))</f>
        <v>430.11660085503223</v>
      </c>
      <c r="BJ35" s="60">
        <f t="shared" si="38"/>
        <v>231.36959598460686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113</v>
      </c>
      <c r="BZ35" s="14">
        <f>BY35*VLOOKUP('Données projet'!$B$12,Paramètres!$A$1:$I$89,3,0)*VLOOKUP('Données projet'!$B$12,Paramètres!$A$1:$I$89,5,0)</f>
        <v>114.58200000000001</v>
      </c>
      <c r="CA35" s="14">
        <f t="shared" si="39"/>
        <v>30.407962048850919</v>
      </c>
      <c r="CB35" s="22">
        <f t="shared" si="10"/>
        <v>252.52418390174873</v>
      </c>
      <c r="CC35" s="60">
        <f t="shared" si="11"/>
        <v>545.85751723508201</v>
      </c>
      <c r="CD35" s="60">
        <f ca="1">AVERAGE(OFFSET($CC$3,0,0,'Données projet'!$E$12+1,1))-AVERAGE(OFFSET($H$3,0,0,'Données projet'!$E$12+1,1))</f>
        <v>476.8965664931755</v>
      </c>
      <c r="CE35" s="60">
        <f t="shared" si="40"/>
        <v>254.25036207346591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113</v>
      </c>
      <c r="CU35" s="18">
        <f>CT35*VLOOKUP('Données projet'!$B$13,Paramètres!$A$1:$I$89,3,0)*VLOOKUP('Données projet'!$B$13,Paramètres!$A$1:$I$89,5,0)</f>
        <v>109.29360000000001</v>
      </c>
      <c r="CV35" s="14">
        <f t="shared" si="41"/>
        <v>29.16448886924675</v>
      </c>
      <c r="CW35" s="22">
        <f t="shared" si="13"/>
        <v>241.14783811393806</v>
      </c>
      <c r="CX35" s="60">
        <f t="shared" si="14"/>
        <v>534.48117144727144</v>
      </c>
      <c r="CY35" s="60">
        <f ca="1">AVERAGE(OFFSET($CX$3,0,0,'Données projet'!$E$13+1,1))-AVERAGE(OFFSET($H$3,0,0,'Données projet'!$E$13+1,1))</f>
        <v>456.86147223520601</v>
      </c>
      <c r="CZ35" s="60">
        <f t="shared" si="42"/>
        <v>244.45149244446094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5.1282051282051269</v>
      </c>
      <c r="DO35" s="13">
        <f>IF('Données projet'!$A$166&gt;35,DO34+DN35-DW34,IF(A35&lt;'Données projet'!$A$166,$DL$205^A35,IF(A35='Données projet'!$A$166,'Données projet'!$B$166,DO34+DN35-DW34)))</f>
        <v>76.282051282051256</v>
      </c>
      <c r="DP35" s="18">
        <f>DO35*VLOOKUP('Données projet'!$B$14,Paramètres!$A$1:$I$89,3,0)*VLOOKUP('Données projet'!$B$14,Paramètres!$A$1:$I$89,5,0)</f>
        <v>72.589999999999975</v>
      </c>
      <c r="DQ35" s="14">
        <f t="shared" si="43"/>
        <v>20.315279518407518</v>
      </c>
      <c r="DR35" s="22">
        <f t="shared" si="16"/>
        <v>161.81002849455973</v>
      </c>
      <c r="DS35" s="60">
        <f t="shared" si="17"/>
        <v>455.14336182789305</v>
      </c>
      <c r="DT35" s="60">
        <f ca="1">AVERAGE(OFFSET($DS$3,0,0,'Données projet'!$E$14+1,1))-AVERAGE(OFFSET($H$3,0,0,'Données projet'!$E$14+1,1))</f>
        <v>300.36889324671682</v>
      </c>
      <c r="DU35" s="60">
        <f t="shared" si="44"/>
        <v>214.36051699039683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6.6</v>
      </c>
      <c r="EJ35" s="13">
        <f>IF('Données projet'!$A$192&gt;35,EJ34+EI35-ER34,IF(A35&lt;'Données projet'!$A$192,$EG$205^A35,IF(A35='Données projet'!$A$192,'Données projet'!$B$192,EJ34+EI35-ER34)))</f>
        <v>89.2</v>
      </c>
      <c r="EK35" s="18">
        <f>EJ35*VLOOKUP('Données projet'!$B$15,Paramètres!$A$1:$I$89,3,0)*VLOOKUP('Données projet'!$B$15,Paramètres!$A$1:$I$89,5,0)</f>
        <v>77.925120000000007</v>
      </c>
      <c r="EL35" s="14">
        <f t="shared" si="45"/>
        <v>21.629091902424182</v>
      </c>
      <c r="EM35" s="22">
        <f t="shared" si="19"/>
        <v>173.3902523967221</v>
      </c>
      <c r="EN35" s="60">
        <f t="shared" si="20"/>
        <v>466.72358573005545</v>
      </c>
      <c r="EO35" s="60">
        <f ca="1">AVERAGE(OFFSET($EN$3,0,0,'Données projet'!$E$15+1,1))-AVERAGE(OFFSET($H$3,0,0,'Données projet'!$E$15+1,1))</f>
        <v>202.46844517174412</v>
      </c>
      <c r="EP35" s="60">
        <f t="shared" si="46"/>
        <v>185.00219255324515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8.3333333333333375</v>
      </c>
      <c r="FE35" s="13">
        <f>IF('Données projet'!$A$218&gt;35,FE34+FD35-FM34,IF(A35&lt;'Données projet'!$A$218,$FB$205^A35,IF(A35='Données projet'!$A$218,'Données projet'!$B$218,FE34+FD35-FM34)))</f>
        <v>168.58974358974359</v>
      </c>
      <c r="FF35" s="18">
        <f>FE35*VLOOKUP('Données projet'!$B$16,Paramètres!$A$1:$I$89,3,0)*VLOOKUP('Données projet'!$B$16,Paramètres!$A$1:$I$89,5,0)</f>
        <v>113.08999999999999</v>
      </c>
      <c r="FG35" s="14">
        <f t="shared" si="47"/>
        <v>30.057834687710393</v>
      </c>
      <c r="FH35" s="22">
        <f t="shared" si="22"/>
        <v>249.31581208109557</v>
      </c>
      <c r="FI35" s="60">
        <f t="shared" si="23"/>
        <v>542.64914541442886</v>
      </c>
      <c r="FJ35" s="60">
        <f ca="1">AVERAGE(OFFSET($FI$3,0,0,'Données projet'!$E$16+1,1))-AVERAGE(OFFSET($H$3,0,0,'Données projet'!$E$16+1,1))</f>
        <v>344.87493856469382</v>
      </c>
      <c r="FK35" s="60">
        <f t="shared" si="48"/>
        <v>261.91036689641402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>
        <f>FZ35*VLOOKUP('Données projet'!$B$17,Paramètres!$A$1:$I$89,3,0)*VLOOKUP('Données projet'!$B$17,Paramètres!$A$1:$I$89,5,0)</f>
        <v>0</v>
      </c>
      <c r="GB35" s="14" t="e">
        <f t="shared" si="49"/>
        <v>#NUM!</v>
      </c>
      <c r="GC35" s="22" t="e">
        <f t="shared" si="25"/>
        <v>#NUM!</v>
      </c>
      <c r="GD35" s="60" t="e">
        <f t="shared" si="26"/>
        <v>#NUM!</v>
      </c>
      <c r="GE35" s="60">
        <f ca="1">AVERAGE(OFFSET($GD$3,0,0,'Données projet'!$E$17+1,1))-AVERAGE(OFFSET($H$3,0,0,'Données projet'!$E$17+1,1))</f>
        <v>268.19959446602911</v>
      </c>
      <c r="GF35" s="60">
        <f t="shared" si="50"/>
        <v>691.2533336811855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138.15966761069063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138.15966761069063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11.5</v>
      </c>
      <c r="GU35" s="13">
        <f>IF('Données projet'!$A$270&gt;35,GU34+GT35-HC34,IF(A35&lt;'Données projet'!$A$270,$GR$205^A35,IF(A35='Données projet'!$A$270,'Données projet'!$B$270,GU34+GT35-HC34)))</f>
        <v>130.49999999999997</v>
      </c>
      <c r="GV35" s="18">
        <f>GU35*VLOOKUP('Données projet'!$B$18,Paramètres!$A$1:$I$89,3,0)*VLOOKUP('Données projet'!$B$18,Paramètres!$A$1:$I$89,5,0)</f>
        <v>101.78999999999998</v>
      </c>
      <c r="GW35" s="14">
        <f t="shared" si="51"/>
        <v>27.38799903683508</v>
      </c>
      <c r="GX35" s="22">
        <f t="shared" si="28"/>
        <v>224.98501498915437</v>
      </c>
      <c r="GY35" s="60">
        <f t="shared" si="29"/>
        <v>518.31834832248774</v>
      </c>
      <c r="GZ35" s="60">
        <f ca="1">AVERAGE(OFFSET($GY$3,0,0,'Données projet'!$E$18+1,1))-AVERAGE(OFFSET($H$3,0,0,'Données projet'!$E$18+1,1))</f>
        <v>292.57482726862594</v>
      </c>
      <c r="HA35" s="60">
        <f t="shared" si="52"/>
        <v>283.48738729114024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164.79999999999995</v>
      </c>
      <c r="O36" s="14">
        <f>N36*VLOOKUP('Données projet'!$B$9,Paramètres!$A$1:$I$89,3,0)*VLOOKUP('Données projet'!$B$9,Paramètres!$A$1:$I$89,5,0)</f>
        <v>77.126399999999975</v>
      </c>
      <c r="P36" s="14">
        <f t="shared" si="33"/>
        <v>21.43308513655586</v>
      </c>
      <c r="Q36" s="22">
        <f t="shared" si="53"/>
        <v>171.65776994616806</v>
      </c>
      <c r="R36" s="60">
        <f t="shared" si="0"/>
        <v>464.99110327950137</v>
      </c>
      <c r="S36" s="60">
        <f ca="1">AVERAGE(OFFSET($R$3,0,0,'Données projet'!$E$9+1,1))-AVERAGE(OFFSET($H$3,0,0,'Données projet'!$E$9+1,1))</f>
        <v>399.92909819003523</v>
      </c>
      <c r="T36" s="60">
        <f t="shared" si="34"/>
        <v>163.7053537268381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12.2</v>
      </c>
      <c r="AI36" s="14">
        <f>IF('Données projet'!$A$62&gt;35,AI35+AH36-AQ35,IF(A36&lt;'Données projet'!$A$62,$AF$205^A36,IF(A36='Données projet'!$A$62,'Données projet'!$B$62,AI35+AH36-AQ35)))</f>
        <v>217.60000000000002</v>
      </c>
      <c r="AJ36" s="14">
        <f>AI36*VLOOKUP('Données projet'!$B$10,Paramètres!$A$1:$I$89,3,0)*VLOOKUP('Données projet'!$B$10,Paramètres!$A$1:$I$89,5,0)</f>
        <v>130.12480000000002</v>
      </c>
      <c r="AK36" s="14">
        <f t="shared" si="35"/>
        <v>34.025195337491652</v>
      </c>
      <c r="AL36" s="22">
        <f t="shared" si="4"/>
        <v>285.89457521279797</v>
      </c>
      <c r="AM36" s="60">
        <f t="shared" si="5"/>
        <v>579.22790854613129</v>
      </c>
      <c r="AN36" s="60">
        <f ca="1">AVERAGE(OFFSET($AM$3,0,0,'Données projet'!$E$10+1,1))-AVERAGE(OFFSET($H$3,0,0,'Données projet'!$E$10+1,1))</f>
        <v>455.43477166687273</v>
      </c>
      <c r="AO36" s="60">
        <f t="shared" si="36"/>
        <v>312.81310692672895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121</v>
      </c>
      <c r="BE36" s="14">
        <f>BD36*VLOOKUP('Données projet'!$B$11,Paramètres!$A$1:$I$89,3,0)*VLOOKUP('Données projet'!$B$11,Paramètres!$A$1:$I$89,5,0)</f>
        <v>109.48079999999999</v>
      </c>
      <c r="BF36" s="14">
        <f t="shared" si="37"/>
        <v>29.208623339903898</v>
      </c>
      <c r="BG36" s="22">
        <f t="shared" si="7"/>
        <v>241.5507456503326</v>
      </c>
      <c r="BH36" s="60">
        <f t="shared" si="8"/>
        <v>534.88407898366586</v>
      </c>
      <c r="BI36" s="60">
        <f ca="1">AVERAGE(OFFSET($BH$3,0,0,'Données projet'!$E$11+1,1))-AVERAGE(OFFSET($H$3,0,0,'Données projet'!$E$11+1,1))</f>
        <v>430.11660085503223</v>
      </c>
      <c r="BJ36" s="60">
        <f t="shared" si="38"/>
        <v>231.36959598460686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121</v>
      </c>
      <c r="BZ36" s="14">
        <f>BY36*VLOOKUP('Données projet'!$B$12,Paramètres!$A$1:$I$89,3,0)*VLOOKUP('Données projet'!$B$12,Paramètres!$A$1:$I$89,5,0)</f>
        <v>122.69400000000002</v>
      </c>
      <c r="CA36" s="14">
        <f t="shared" si="39"/>
        <v>32.302516360650685</v>
      </c>
      <c r="CB36" s="22">
        <f t="shared" si="10"/>
        <v>269.95226599479992</v>
      </c>
      <c r="CC36" s="60">
        <f t="shared" si="11"/>
        <v>563.28559932813323</v>
      </c>
      <c r="CD36" s="60">
        <f ca="1">AVERAGE(OFFSET($CC$3,0,0,'Données projet'!$E$12+1,1))-AVERAGE(OFFSET($H$3,0,0,'Données projet'!$E$12+1,1))</f>
        <v>476.8965664931755</v>
      </c>
      <c r="CE36" s="60">
        <f t="shared" si="40"/>
        <v>254.25036207346591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121</v>
      </c>
      <c r="CU36" s="18">
        <f>CT36*VLOOKUP('Données projet'!$B$13,Paramètres!$A$1:$I$89,3,0)*VLOOKUP('Données projet'!$B$13,Paramètres!$A$1:$I$89,5,0)</f>
        <v>117.0312</v>
      </c>
      <c r="CV36" s="14">
        <f t="shared" si="41"/>
        <v>30.981569147428527</v>
      </c>
      <c r="CW36" s="22">
        <f t="shared" si="13"/>
        <v>257.78890626510469</v>
      </c>
      <c r="CX36" s="60">
        <f t="shared" si="14"/>
        <v>551.122239598438</v>
      </c>
      <c r="CY36" s="60">
        <f ca="1">AVERAGE(OFFSET($CX$3,0,0,'Données projet'!$E$13+1,1))-AVERAGE(OFFSET($H$3,0,0,'Données projet'!$E$13+1,1))</f>
        <v>456.86147223520601</v>
      </c>
      <c r="CZ36" s="60">
        <f t="shared" si="42"/>
        <v>244.45149244446094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5.1282051282051269</v>
      </c>
      <c r="DO36" s="13">
        <f>IF('Données projet'!$A$166&gt;35,DO35+DN36-DW35,IF(A36&lt;'Données projet'!$A$166,$DL$205^A36,IF(A36='Données projet'!$A$166,'Données projet'!$B$166,DO35+DN36-DW35)))</f>
        <v>81.41025641025638</v>
      </c>
      <c r="DP36" s="18">
        <f>DO36*VLOOKUP('Données projet'!$B$14,Paramètres!$A$1:$I$89,3,0)*VLOOKUP('Données projet'!$B$14,Paramètres!$A$1:$I$89,5,0)</f>
        <v>77.46999999999997</v>
      </c>
      <c r="DQ36" s="14">
        <f t="shared" si="43"/>
        <v>21.51743377134088</v>
      </c>
      <c r="DR36" s="22">
        <f t="shared" si="16"/>
        <v>172.40311381841866</v>
      </c>
      <c r="DS36" s="60">
        <f t="shared" si="17"/>
        <v>465.73644715175197</v>
      </c>
      <c r="DT36" s="60">
        <f ca="1">AVERAGE(OFFSET($DS$3,0,0,'Données projet'!$E$14+1,1))-AVERAGE(OFFSET($H$3,0,0,'Données projet'!$E$14+1,1))</f>
        <v>300.36889324671682</v>
      </c>
      <c r="DU36" s="60">
        <f t="shared" si="44"/>
        <v>214.36051699039683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6.6</v>
      </c>
      <c r="EJ36" s="13">
        <f>IF('Données projet'!$A$192&gt;35,EJ35+EI36-ER35,IF(A36&lt;'Données projet'!$A$192,$EG$205^A36,IF(A36='Données projet'!$A$192,'Données projet'!$B$192,EJ35+EI36-ER35)))</f>
        <v>95.8</v>
      </c>
      <c r="EK36" s="18">
        <f>EJ36*VLOOKUP('Données projet'!$B$15,Paramètres!$A$1:$I$89,3,0)*VLOOKUP('Données projet'!$B$15,Paramètres!$A$1:$I$89,5,0)</f>
        <v>83.690880000000007</v>
      </c>
      <c r="EL36" s="14">
        <f t="shared" si="45"/>
        <v>23.037240938104041</v>
      </c>
      <c r="EM36" s="22">
        <f t="shared" si="19"/>
        <v>185.88481063386453</v>
      </c>
      <c r="EN36" s="60">
        <f t="shared" si="20"/>
        <v>479.21814396719788</v>
      </c>
      <c r="EO36" s="60">
        <f ca="1">AVERAGE(OFFSET($EN$3,0,0,'Données projet'!$E$15+1,1))-AVERAGE(OFFSET($H$3,0,0,'Données projet'!$E$15+1,1))</f>
        <v>202.46844517174412</v>
      </c>
      <c r="EP36" s="60">
        <f t="shared" si="46"/>
        <v>185.00219255324515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8.3333333333333375</v>
      </c>
      <c r="FE36" s="13">
        <f>IF('Données projet'!$A$218&gt;35,FE35+FD36-FM35,IF(A36&lt;'Données projet'!$A$218,$FB$205^A36,IF(A36='Données projet'!$A$218,'Données projet'!$B$218,FE35+FD36-FM35)))</f>
        <v>176.92307692307693</v>
      </c>
      <c r="FF36" s="18">
        <f>FE36*VLOOKUP('Données projet'!$B$16,Paramètres!$A$1:$I$89,3,0)*VLOOKUP('Données projet'!$B$16,Paramètres!$A$1:$I$89,5,0)</f>
        <v>118.68</v>
      </c>
      <c r="FG36" s="14">
        <f t="shared" si="47"/>
        <v>31.366933062144053</v>
      </c>
      <c r="FH36" s="22">
        <f t="shared" si="22"/>
        <v>261.33174174990091</v>
      </c>
      <c r="FI36" s="60">
        <f t="shared" si="23"/>
        <v>554.66507508323423</v>
      </c>
      <c r="FJ36" s="60">
        <f ca="1">AVERAGE(OFFSET($FI$3,0,0,'Données projet'!$E$16+1,1))-AVERAGE(OFFSET($H$3,0,0,'Données projet'!$E$16+1,1))</f>
        <v>344.87493856469382</v>
      </c>
      <c r="FK36" s="60">
        <f t="shared" si="48"/>
        <v>261.91036689641402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>
        <f>FZ36*VLOOKUP('Données projet'!$B$17,Paramètres!$A$1:$I$89,3,0)*VLOOKUP('Données projet'!$B$17,Paramètres!$A$1:$I$89,5,0)</f>
        <v>0</v>
      </c>
      <c r="GB36" s="14" t="e">
        <f t="shared" si="49"/>
        <v>#NUM!</v>
      </c>
      <c r="GC36" s="22" t="e">
        <f t="shared" si="25"/>
        <v>#NUM!</v>
      </c>
      <c r="GD36" s="60" t="e">
        <f t="shared" si="26"/>
        <v>#NUM!</v>
      </c>
      <c r="GE36" s="60">
        <f ca="1">AVERAGE(OFFSET($GD$3,0,0,'Données projet'!$E$17+1,1))-AVERAGE(OFFSET($H$3,0,0,'Données projet'!$E$17+1,1))</f>
        <v>268.19959446602911</v>
      </c>
      <c r="GF36" s="60">
        <f t="shared" si="50"/>
        <v>691.2533336811855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135.45044079792135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135.45044079792135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11.5</v>
      </c>
      <c r="GU36" s="13">
        <f>IF('Données projet'!$A$270&gt;35,GU35+GT36-HC35,IF(A36&lt;'Données projet'!$A$270,$GR$205^A36,IF(A36='Données projet'!$A$270,'Données projet'!$B$270,GU35+GT36-HC35)))</f>
        <v>141.99999999999997</v>
      </c>
      <c r="GV36" s="18">
        <f>GU36*VLOOKUP('Données projet'!$B$18,Paramètres!$A$1:$I$89,3,0)*VLOOKUP('Données projet'!$B$18,Paramètres!$A$1:$I$89,5,0)</f>
        <v>110.75999999999998</v>
      </c>
      <c r="GW36" s="14">
        <f t="shared" si="51"/>
        <v>29.509974682362923</v>
      </c>
      <c r="GX36" s="22">
        <f t="shared" si="28"/>
        <v>244.30353923844871</v>
      </c>
      <c r="GY36" s="60">
        <f t="shared" si="29"/>
        <v>537.63687257178208</v>
      </c>
      <c r="GZ36" s="60">
        <f ca="1">AVERAGE(OFFSET($GY$3,0,0,'Données projet'!$E$18+1,1))-AVERAGE(OFFSET($H$3,0,0,'Données projet'!$E$18+1,1))</f>
        <v>292.57482726862594</v>
      </c>
      <c r="HA36" s="60">
        <f t="shared" si="52"/>
        <v>283.48738729114024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179.39999999999995</v>
      </c>
      <c r="O37" s="14">
        <f>N37*VLOOKUP('Données projet'!$B$9,Paramètres!$A$1:$I$89,3,0)*VLOOKUP('Données projet'!$B$9,Paramètres!$A$1:$I$89,5,0)</f>
        <v>83.959199999999967</v>
      </c>
      <c r="P37" s="14">
        <f t="shared" si="33"/>
        <v>23.10249088081062</v>
      </c>
      <c r="Q37" s="22">
        <f t="shared" si="53"/>
        <v>186.46577828407843</v>
      </c>
      <c r="R37" s="60">
        <f t="shared" si="0"/>
        <v>479.79911161741177</v>
      </c>
      <c r="S37" s="60">
        <f ca="1">AVERAGE(OFFSET($R$3,0,0,'Données projet'!$E$9+1,1))-AVERAGE(OFFSET($H$3,0,0,'Données projet'!$E$9+1,1))</f>
        <v>399.92909819003523</v>
      </c>
      <c r="T37" s="60">
        <f t="shared" si="34"/>
        <v>163.7053537268381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12.2</v>
      </c>
      <c r="AI37" s="14">
        <f>IF('Données projet'!$A$62&gt;35,AI36+AH37-AQ36,IF(A37&lt;'Données projet'!$A$62,$AF$205^A37,IF(A37='Données projet'!$A$62,'Données projet'!$B$62,AI36+AH37-AQ36)))</f>
        <v>229.8</v>
      </c>
      <c r="AJ37" s="14">
        <f>AI37*VLOOKUP('Données projet'!$B$10,Paramètres!$A$1:$I$89,3,0)*VLOOKUP('Données projet'!$B$10,Paramètres!$A$1:$I$89,5,0)</f>
        <v>137.42040000000003</v>
      </c>
      <c r="AK37" s="14">
        <f t="shared" si="35"/>
        <v>35.705417249692559</v>
      </c>
      <c r="AL37" s="22">
        <f t="shared" si="4"/>
        <v>301.52746504321459</v>
      </c>
      <c r="AM37" s="60">
        <f t="shared" si="5"/>
        <v>594.8607983765479</v>
      </c>
      <c r="AN37" s="60">
        <f ca="1">AVERAGE(OFFSET($AM$3,0,0,'Données projet'!$E$10+1,1))-AVERAGE(OFFSET($H$3,0,0,'Données projet'!$E$10+1,1))</f>
        <v>455.43477166687273</v>
      </c>
      <c r="AO37" s="60">
        <f t="shared" si="36"/>
        <v>312.81310692672895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129</v>
      </c>
      <c r="BE37" s="14">
        <f>BD37*VLOOKUP('Données projet'!$B$11,Paramètres!$A$1:$I$89,3,0)*VLOOKUP('Données projet'!$B$11,Paramètres!$A$1:$I$89,5,0)</f>
        <v>116.71919999999999</v>
      </c>
      <c r="BF37" s="14">
        <f t="shared" si="37"/>
        <v>30.908576435525887</v>
      </c>
      <c r="BG37" s="22">
        <f t="shared" si="7"/>
        <v>257.1183772918742</v>
      </c>
      <c r="BH37" s="60">
        <f t="shared" si="8"/>
        <v>550.45171062520751</v>
      </c>
      <c r="BI37" s="60">
        <f ca="1">AVERAGE(OFFSET($BH$3,0,0,'Données projet'!$E$11+1,1))-AVERAGE(OFFSET($H$3,0,0,'Données projet'!$E$11+1,1))</f>
        <v>430.11660085503223</v>
      </c>
      <c r="BJ37" s="60">
        <f t="shared" si="38"/>
        <v>231.36959598460686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129</v>
      </c>
      <c r="BZ37" s="14">
        <f>BY37*VLOOKUP('Données projet'!$B$12,Paramètres!$A$1:$I$89,3,0)*VLOOKUP('Données projet'!$B$12,Paramètres!$A$1:$I$89,5,0)</f>
        <v>130.80600000000001</v>
      </c>
      <c r="CA37" s="14">
        <f t="shared" si="39"/>
        <v>34.182535218254564</v>
      </c>
      <c r="CB37" s="22">
        <f t="shared" si="10"/>
        <v>287.35503217179337</v>
      </c>
      <c r="CC37" s="60">
        <f t="shared" si="11"/>
        <v>580.68836550512674</v>
      </c>
      <c r="CD37" s="60">
        <f ca="1">AVERAGE(OFFSET($CC$3,0,0,'Données projet'!$E$12+1,1))-AVERAGE(OFFSET($H$3,0,0,'Données projet'!$E$12+1,1))</f>
        <v>476.8965664931755</v>
      </c>
      <c r="CE37" s="60">
        <f t="shared" si="40"/>
        <v>254.25036207346591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129</v>
      </c>
      <c r="CU37" s="18">
        <f>CT37*VLOOKUP('Données projet'!$B$13,Paramètres!$A$1:$I$89,3,0)*VLOOKUP('Données projet'!$B$13,Paramètres!$A$1:$I$89,5,0)</f>
        <v>124.76880000000001</v>
      </c>
      <c r="CV37" s="14">
        <f t="shared" si="41"/>
        <v>32.784708369928126</v>
      </c>
      <c r="CW37" s="22">
        <f t="shared" si="13"/>
        <v>274.40569374429145</v>
      </c>
      <c r="CX37" s="60">
        <f t="shared" si="14"/>
        <v>567.73902707762477</v>
      </c>
      <c r="CY37" s="60">
        <f ca="1">AVERAGE(OFFSET($CX$3,0,0,'Données projet'!$E$13+1,1))-AVERAGE(OFFSET($H$3,0,0,'Données projet'!$E$13+1,1))</f>
        <v>456.86147223520601</v>
      </c>
      <c r="CZ37" s="60">
        <f t="shared" si="42"/>
        <v>244.45149244446094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5.1282051282051269</v>
      </c>
      <c r="DO37" s="13">
        <f>IF('Données projet'!$A$166&gt;35,DO36+DN37-DW36,IF(A37&lt;'Données projet'!$A$166,$DL$205^A37,IF(A37='Données projet'!$A$166,'Données projet'!$B$166,DO36+DN37-DW36)))</f>
        <v>86.538461538461505</v>
      </c>
      <c r="DP37" s="18">
        <f>DO37*VLOOKUP('Données projet'!$B$14,Paramètres!$A$1:$I$89,3,0)*VLOOKUP('Données projet'!$B$14,Paramètres!$A$1:$I$89,5,0)</f>
        <v>82.349999999999966</v>
      </c>
      <c r="DQ37" s="14">
        <f t="shared" si="43"/>
        <v>22.710799591280338</v>
      </c>
      <c r="DR37" s="22">
        <f t="shared" si="16"/>
        <v>182.98089262147982</v>
      </c>
      <c r="DS37" s="60">
        <f t="shared" si="17"/>
        <v>476.31422595481314</v>
      </c>
      <c r="DT37" s="60">
        <f ca="1">AVERAGE(OFFSET($DS$3,0,0,'Données projet'!$E$14+1,1))-AVERAGE(OFFSET($H$3,0,0,'Données projet'!$E$14+1,1))</f>
        <v>300.36889324671682</v>
      </c>
      <c r="DU37" s="60">
        <f t="shared" si="44"/>
        <v>214.36051699039683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6.6</v>
      </c>
      <c r="EJ37" s="13">
        <f>IF('Données projet'!$A$192&gt;35,EJ36+EI37-ER36,IF(A37&lt;'Données projet'!$A$192,$EG$205^A37,IF(A37='Données projet'!$A$192,'Données projet'!$B$192,EJ36+EI37-ER36)))</f>
        <v>102.39999999999999</v>
      </c>
      <c r="EK37" s="18">
        <f>EJ37*VLOOKUP('Données projet'!$B$15,Paramètres!$A$1:$I$89,3,0)*VLOOKUP('Données projet'!$B$15,Paramètres!$A$1:$I$89,5,0)</f>
        <v>89.456640000000007</v>
      </c>
      <c r="EL37" s="14">
        <f t="shared" si="45"/>
        <v>24.434133496437113</v>
      </c>
      <c r="EM37" s="22">
        <f t="shared" si="19"/>
        <v>198.35976383962796</v>
      </c>
      <c r="EN37" s="60">
        <f t="shared" si="20"/>
        <v>491.6930971729613</v>
      </c>
      <c r="EO37" s="60">
        <f ca="1">AVERAGE(OFFSET($EN$3,0,0,'Données projet'!$E$15+1,1))-AVERAGE(OFFSET($H$3,0,0,'Données projet'!$E$15+1,1))</f>
        <v>202.46844517174412</v>
      </c>
      <c r="EP37" s="60">
        <f t="shared" si="46"/>
        <v>185.00219255324515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8.3333333333333375</v>
      </c>
      <c r="FE37" s="13">
        <f>IF('Données projet'!$A$218&gt;35,FE36+FD37-FM36,IF(A37&lt;'Données projet'!$A$218,$FB$205^A37,IF(A37='Données projet'!$A$218,'Données projet'!$B$218,FE36+FD37-FM36)))</f>
        <v>185.25641025641028</v>
      </c>
      <c r="FF37" s="18">
        <f>FE37*VLOOKUP('Données projet'!$B$16,Paramètres!$A$1:$I$89,3,0)*VLOOKUP('Données projet'!$B$16,Paramètres!$A$1:$I$89,5,0)</f>
        <v>124.27000000000002</v>
      </c>
      <c r="FG37" s="14">
        <f t="shared" si="47"/>
        <v>32.668871006084437</v>
      </c>
      <c r="FH37" s="22">
        <f t="shared" si="22"/>
        <v>273.33520033559711</v>
      </c>
      <c r="FI37" s="60">
        <f t="shared" si="23"/>
        <v>566.66853366893042</v>
      </c>
      <c r="FJ37" s="60">
        <f ca="1">AVERAGE(OFFSET($FI$3,0,0,'Données projet'!$E$16+1,1))-AVERAGE(OFFSET($H$3,0,0,'Données projet'!$E$16+1,1))</f>
        <v>344.87493856469382</v>
      </c>
      <c r="FK37" s="60">
        <f t="shared" si="48"/>
        <v>261.91036689641402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>
        <f>FZ37*VLOOKUP('Données projet'!$B$17,Paramètres!$A$1:$I$89,3,0)*VLOOKUP('Données projet'!$B$17,Paramètres!$A$1:$I$89,5,0)</f>
        <v>0</v>
      </c>
      <c r="GB37" s="14" t="e">
        <f t="shared" si="49"/>
        <v>#NUM!</v>
      </c>
      <c r="GC37" s="22" t="e">
        <f t="shared" si="25"/>
        <v>#NUM!</v>
      </c>
      <c r="GD37" s="60" t="e">
        <f t="shared" si="26"/>
        <v>#NUM!</v>
      </c>
      <c r="GE37" s="60">
        <f ca="1">AVERAGE(OFFSET($GD$3,0,0,'Données projet'!$E$17+1,1))-AVERAGE(OFFSET($H$3,0,0,'Données projet'!$E$17+1,1))</f>
        <v>268.19959446602911</v>
      </c>
      <c r="GF37" s="60">
        <f t="shared" si="50"/>
        <v>691.2533336811855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132.79434027048529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132.79434027048529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11.5</v>
      </c>
      <c r="GU37" s="13">
        <f>IF('Données projet'!$A$270&gt;35,GU36+GT37-HC36,IF(A37&lt;'Données projet'!$A$270,$GR$205^A37,IF(A37='Données projet'!$A$270,'Données projet'!$B$270,GU36+GT37-HC36)))</f>
        <v>153.49999999999997</v>
      </c>
      <c r="GV37" s="18">
        <f>GU37*VLOOKUP('Données projet'!$B$18,Paramètres!$A$1:$I$89,3,0)*VLOOKUP('Données projet'!$B$18,Paramètres!$A$1:$I$89,5,0)</f>
        <v>119.72999999999998</v>
      </c>
      <c r="GW37" s="14">
        <f t="shared" si="51"/>
        <v>31.612017974790529</v>
      </c>
      <c r="GX37" s="22">
        <f t="shared" si="28"/>
        <v>263.58734797276014</v>
      </c>
      <c r="GY37" s="60">
        <f t="shared" si="29"/>
        <v>556.92068130609346</v>
      </c>
      <c r="GZ37" s="60">
        <f ca="1">AVERAGE(OFFSET($GY$3,0,0,'Données projet'!$E$18+1,1))-AVERAGE(OFFSET($H$3,0,0,'Données projet'!$E$18+1,1))</f>
        <v>292.57482726862594</v>
      </c>
      <c r="HA37" s="60">
        <f t="shared" si="52"/>
        <v>283.48738729114024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193.99999999999994</v>
      </c>
      <c r="O38" s="14">
        <f>N38*VLOOKUP('Données projet'!$B$9,Paramètres!$A$1:$I$89,3,0)*VLOOKUP('Données projet'!$B$9,Paramètres!$A$1:$I$89,5,0)</f>
        <v>90.791999999999973</v>
      </c>
      <c r="P38" s="14">
        <f t="shared" si="33"/>
        <v>24.756138813110173</v>
      </c>
      <c r="Q38" s="22">
        <f t="shared" si="53"/>
        <v>201.24634176616681</v>
      </c>
      <c r="R38" s="60">
        <f t="shared" si="0"/>
        <v>494.57967509950015</v>
      </c>
      <c r="S38" s="60">
        <f ca="1">AVERAGE(OFFSET($R$3,0,0,'Données projet'!$E$9+1,1))-AVERAGE(OFFSET($H$3,0,0,'Données projet'!$E$9+1,1))</f>
        <v>399.92909819003523</v>
      </c>
      <c r="T38" s="60">
        <f t="shared" si="34"/>
        <v>163.7053537268381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12.2</v>
      </c>
      <c r="AI38" s="14">
        <f>IF('Données projet'!$A$62&gt;35,AI37+AH38-AQ37,IF(A38&lt;'Données projet'!$A$62,$AF$205^A38,IF(A38='Données projet'!$A$62,'Données projet'!$B$62,AI37+AH38-AQ37)))</f>
        <v>242</v>
      </c>
      <c r="AJ38" s="14">
        <f>AI38*VLOOKUP('Données projet'!$B$10,Paramètres!$A$1:$I$89,3,0)*VLOOKUP('Données projet'!$B$10,Paramètres!$A$1:$I$89,5,0)</f>
        <v>144.71600000000001</v>
      </c>
      <c r="AK38" s="14">
        <f t="shared" si="35"/>
        <v>37.375282885096105</v>
      </c>
      <c r="AL38" s="22">
        <f t="shared" si="4"/>
        <v>317.14231769154236</v>
      </c>
      <c r="AM38" s="60">
        <f t="shared" si="5"/>
        <v>610.47565102487567</v>
      </c>
      <c r="AN38" s="60">
        <f ca="1">AVERAGE(OFFSET($AM$3,0,0,'Données projet'!$E$10+1,1))-AVERAGE(OFFSET($H$3,0,0,'Données projet'!$E$10+1,1))</f>
        <v>455.43477166687273</v>
      </c>
      <c r="AO38" s="60">
        <f t="shared" si="36"/>
        <v>312.81310692672895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137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137</v>
      </c>
      <c r="BE38" s="14">
        <f>BD38*VLOOKUP('Données projet'!$B$11,Paramètres!$A$1:$I$89,3,0)*VLOOKUP('Données projet'!$B$11,Paramètres!$A$1:$I$89,5,0)</f>
        <v>123.9576</v>
      </c>
      <c r="BF38" s="14">
        <f t="shared" si="37"/>
        <v>32.59629414926458</v>
      </c>
      <c r="BG38" s="22">
        <f t="shared" si="7"/>
        <v>272.6646989766358</v>
      </c>
      <c r="BH38" s="60">
        <f t="shared" si="8"/>
        <v>565.99803230996918</v>
      </c>
      <c r="BI38" s="60">
        <f ca="1">AVERAGE(OFFSET($BH$3,0,0,'Données projet'!$E$11+1,1))-AVERAGE(OFFSET($H$3,0,0,'Données projet'!$E$11+1,1))</f>
        <v>430.11660085503223</v>
      </c>
      <c r="BJ38" s="60">
        <f t="shared" si="38"/>
        <v>231.36959598460686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137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137</v>
      </c>
      <c r="BZ38" s="14">
        <f>BY38*VLOOKUP('Données projet'!$B$12,Paramètres!$A$1:$I$89,3,0)*VLOOKUP('Données projet'!$B$12,Paramètres!$A$1:$I$89,5,0)</f>
        <v>138.91800000000001</v>
      </c>
      <c r="CA38" s="14">
        <f t="shared" si="39"/>
        <v>36.049022673886341</v>
      </c>
      <c r="CB38" s="22">
        <f t="shared" si="10"/>
        <v>304.73423115701871</v>
      </c>
      <c r="CC38" s="60">
        <f t="shared" si="11"/>
        <v>598.06756449035197</v>
      </c>
      <c r="CD38" s="60">
        <f ca="1">AVERAGE(OFFSET($CC$3,0,0,'Données projet'!$E$12+1,1))-AVERAGE(OFFSET($H$3,0,0,'Données projet'!$E$12+1,1))</f>
        <v>476.8965664931755</v>
      </c>
      <c r="CE38" s="60">
        <f t="shared" si="40"/>
        <v>254.25036207346591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137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137</v>
      </c>
      <c r="CU38" s="18">
        <f>CT38*VLOOKUP('Données projet'!$B$13,Paramètres!$A$1:$I$89,3,0)*VLOOKUP('Données projet'!$B$13,Paramètres!$A$1:$I$89,5,0)</f>
        <v>132.50640000000001</v>
      </c>
      <c r="CV38" s="14">
        <f t="shared" si="41"/>
        <v>34.574869530248939</v>
      </c>
      <c r="CW38" s="22">
        <f t="shared" si="13"/>
        <v>290.99987776518356</v>
      </c>
      <c r="CX38" s="60">
        <f t="shared" si="14"/>
        <v>584.33321109851681</v>
      </c>
      <c r="CY38" s="60">
        <f ca="1">AVERAGE(OFFSET($CX$3,0,0,'Données projet'!$E$13+1,1))-AVERAGE(OFFSET($H$3,0,0,'Données projet'!$E$13+1,1))</f>
        <v>456.86147223520601</v>
      </c>
      <c r="CZ38" s="60">
        <f t="shared" si="42"/>
        <v>244.45149244446094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91.666666666666657</v>
      </c>
      <c r="DM38" s="13">
        <f>VLOOKUP(A38,'Données projet'!$A$165:$I$185,9,0)</f>
        <v>5.1282051282051269</v>
      </c>
      <c r="DN38" s="13">
        <f t="array" ref="DN38">INDEX(DM:DM,MIN(IF(ISNUMBER(DM38:DM234),ROW(DM38:DM234),"")))</f>
        <v>5.1282051282051269</v>
      </c>
      <c r="DO38" s="13">
        <f>IF('Données projet'!$A$166&gt;35,DO37+DN38-DW37,IF(A38&lt;'Données projet'!$A$166,$DL$205^A38,IF(A38='Données projet'!$A$166,'Données projet'!$B$166,DO37+DN38-DW37)))</f>
        <v>91.666666666666629</v>
      </c>
      <c r="DP38" s="18">
        <f>DO38*VLOOKUP('Données projet'!$B$14,Paramètres!$A$1:$I$89,3,0)*VLOOKUP('Données projet'!$B$14,Paramètres!$A$1:$I$89,5,0)</f>
        <v>87.229999999999961</v>
      </c>
      <c r="DQ38" s="14">
        <f t="shared" si="43"/>
        <v>23.895957093057305</v>
      </c>
      <c r="DR38" s="22">
        <f t="shared" si="16"/>
        <v>193.54437527040807</v>
      </c>
      <c r="DS38" s="60">
        <f t="shared" si="17"/>
        <v>486.87770860374138</v>
      </c>
      <c r="DT38" s="60">
        <f ca="1">AVERAGE(OFFSET($DS$3,0,0,'Données projet'!$E$14+1,1))-AVERAGE(OFFSET($H$3,0,0,'Données projet'!$E$14+1,1))</f>
        <v>300.36889324671682</v>
      </c>
      <c r="DU38" s="60">
        <f t="shared" si="44"/>
        <v>214.36051699039683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109</v>
      </c>
      <c r="EH38" s="13">
        <f>VLOOKUP(A38,'Données projet'!$A$191:$I$211,9,0)</f>
        <v>6.6</v>
      </c>
      <c r="EI38" s="13">
        <f t="array" ref="EI38">INDEX(EH:EH,MIN(IF(ISNUMBER(EH38:EH234),ROW(EH38:EH234),"")))</f>
        <v>6.6</v>
      </c>
      <c r="EJ38" s="13">
        <f>IF('Données projet'!$A$192&gt;35,EJ37+EI38-ER37,IF(A38&lt;'Données projet'!$A$192,$EG$205^A38,IF(A38='Données projet'!$A$192,'Données projet'!$B$192,EJ37+EI38-ER37)))</f>
        <v>108.99999999999999</v>
      </c>
      <c r="EK38" s="18">
        <f>EJ38*VLOOKUP('Données projet'!$B$15,Paramètres!$A$1:$I$89,3,0)*VLOOKUP('Données projet'!$B$15,Paramètres!$A$1:$I$89,5,0)</f>
        <v>95.222400000000007</v>
      </c>
      <c r="EL38" s="14">
        <f t="shared" si="45"/>
        <v>25.82057766648499</v>
      </c>
      <c r="EM38" s="22">
        <f t="shared" si="19"/>
        <v>210.8165194357947</v>
      </c>
      <c r="EN38" s="60">
        <f t="shared" si="20"/>
        <v>504.14985276912802</v>
      </c>
      <c r="EO38" s="60">
        <f ca="1">AVERAGE(OFFSET($EN$3,0,0,'Données projet'!$E$15+1,1))-AVERAGE(OFFSET($H$3,0,0,'Données projet'!$E$15+1,1))</f>
        <v>202.46844517174412</v>
      </c>
      <c r="EP38" s="60">
        <f t="shared" si="46"/>
        <v>185.00219255324515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193.58974358974359</v>
      </c>
      <c r="FC38" s="13">
        <f>VLOOKUP(A38,'Données projet'!$A$217:$I$237,9,0)</f>
        <v>8.3333333333333375</v>
      </c>
      <c r="FD38" s="13">
        <f t="array" ref="FD38">INDEX(FC:FC,MIN(IF(ISNUMBER(FC38:FC234),ROW(FC38:FC234),"")))</f>
        <v>8.3333333333333375</v>
      </c>
      <c r="FE38" s="13">
        <f>IF('Données projet'!$A$218&gt;35,FE37+FD38-FM37,IF(A38&lt;'Données projet'!$A$218,$FB$205^A38,IF(A38='Données projet'!$A$218,'Données projet'!$B$218,FE37+FD38-FM37)))</f>
        <v>193.58974358974362</v>
      </c>
      <c r="FF38" s="18">
        <f>FE38*VLOOKUP('Données projet'!$B$16,Paramètres!$A$1:$I$89,3,0)*VLOOKUP('Données projet'!$B$16,Paramètres!$A$1:$I$89,5,0)</f>
        <v>129.86000000000001</v>
      </c>
      <c r="FG38" s="14">
        <f t="shared" si="47"/>
        <v>33.964007414446357</v>
      </c>
      <c r="FH38" s="22">
        <f t="shared" si="22"/>
        <v>285.32681291349411</v>
      </c>
      <c r="FI38" s="60">
        <f t="shared" si="23"/>
        <v>578.66014624682748</v>
      </c>
      <c r="FJ38" s="60">
        <f ca="1">AVERAGE(OFFSET($FI$3,0,0,'Données projet'!$E$16+1,1))-AVERAGE(OFFSET($H$3,0,0,'Données projet'!$E$16+1,1))</f>
        <v>344.87493856469382</v>
      </c>
      <c r="FK38" s="60">
        <f t="shared" si="48"/>
        <v>261.91036689641402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37.179487179487175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>
        <f>FZ38*VLOOKUP('Données projet'!$B$17,Paramètres!$A$1:$I$89,3,0)*VLOOKUP('Données projet'!$B$17,Paramètres!$A$1:$I$89,5,0)</f>
        <v>0</v>
      </c>
      <c r="GB38" s="14" t="e">
        <f t="shared" si="49"/>
        <v>#NUM!</v>
      </c>
      <c r="GC38" s="22" t="e">
        <f t="shared" si="25"/>
        <v>#NUM!</v>
      </c>
      <c r="GD38" s="60" t="e">
        <f t="shared" si="26"/>
        <v>#NUM!</v>
      </c>
      <c r="GE38" s="60">
        <f ca="1">AVERAGE(OFFSET($GD$3,0,0,'Données projet'!$E$17+1,1))-AVERAGE(OFFSET($H$3,0,0,'Données projet'!$E$17+1,1))</f>
        <v>268.19959446602911</v>
      </c>
      <c r="GF38" s="60">
        <f t="shared" si="50"/>
        <v>691.2533336811855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130.1903242543309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130.1903242543309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11.5</v>
      </c>
      <c r="GU38" s="13">
        <f>IF('Données projet'!$A$270&gt;35,GU37+GT38-HC37,IF(A38&lt;'Données projet'!$A$270,$GR$205^A38,IF(A38='Données projet'!$A$270,'Données projet'!$B$270,GU37+GT38-HC37)))</f>
        <v>164.99999999999997</v>
      </c>
      <c r="GV38" s="18">
        <f>GU38*VLOOKUP('Données projet'!$B$18,Paramètres!$A$1:$I$89,3,0)*VLOOKUP('Données projet'!$B$18,Paramètres!$A$1:$I$89,5,0)</f>
        <v>128.69999999999999</v>
      </c>
      <c r="GW38" s="14">
        <f t="shared" si="51"/>
        <v>33.695792019186115</v>
      </c>
      <c r="GX38" s="22">
        <f t="shared" si="28"/>
        <v>282.83933776674911</v>
      </c>
      <c r="GY38" s="60">
        <f t="shared" si="29"/>
        <v>576.17267110008243</v>
      </c>
      <c r="GZ38" s="60">
        <f ca="1">AVERAGE(OFFSET($GY$3,0,0,'Données projet'!$E$18+1,1))-AVERAGE(OFFSET($H$3,0,0,'Données projet'!$E$18+1,1))</f>
        <v>292.57482726862594</v>
      </c>
      <c r="HA38" s="60">
        <f t="shared" si="52"/>
        <v>283.48738729114024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14.6</v>
      </c>
      <c r="N39" s="14">
        <f>IF('Données projet'!$A$36&gt;35,N38+M39-V38,IF(A39&lt;'Données projet'!$A$36,$K$205^A39,IF(A39='Données projet'!$A$36,'Données projet'!$B$36,N38+M39-V38)))</f>
        <v>208.59999999999994</v>
      </c>
      <c r="O39" s="14">
        <f>N39*VLOOKUP('Données projet'!$B$9,Paramètres!$A$1:$I$89,3,0)*VLOOKUP('Données projet'!$B$9,Paramètres!$A$1:$I$89,5,0)</f>
        <v>97.624799999999965</v>
      </c>
      <c r="P39" s="14">
        <f t="shared" si="33"/>
        <v>26.395349675372152</v>
      </c>
      <c r="Q39" s="22">
        <f t="shared" si="53"/>
        <v>216.00176068460644</v>
      </c>
      <c r="R39" s="60">
        <f t="shared" si="0"/>
        <v>509.33509401793975</v>
      </c>
      <c r="S39" s="60">
        <f ca="1">AVERAGE(OFFSET($R$3,0,0,'Données projet'!$E$9+1,1))-AVERAGE(OFFSET($H$3,0,0,'Données projet'!$E$9+1,1))</f>
        <v>399.92909819003523</v>
      </c>
      <c r="T39" s="60">
        <f t="shared" si="34"/>
        <v>163.7053537268381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12.2</v>
      </c>
      <c r="AI39" s="14">
        <f>IF('Données projet'!$A$62&gt;35,AI38+AH39-AQ38,IF(A39&lt;'Données projet'!$A$62,$AF$205^A39,IF(A39='Données projet'!$A$62,'Données projet'!$B$62,AI38+AH39-AQ38)))</f>
        <v>254.2</v>
      </c>
      <c r="AJ39" s="14">
        <f>AI39*VLOOKUP('Données projet'!$B$10,Paramètres!$A$1:$I$89,3,0)*VLOOKUP('Données projet'!$B$10,Paramètres!$A$1:$I$89,5,0)</f>
        <v>152.01160000000002</v>
      </c>
      <c r="AK39" s="14">
        <f t="shared" si="35"/>
        <v>39.03537390658488</v>
      </c>
      <c r="AL39" s="22">
        <f t="shared" si="4"/>
        <v>332.74014622063538</v>
      </c>
      <c r="AM39" s="60">
        <f t="shared" si="5"/>
        <v>626.0734795539687</v>
      </c>
      <c r="AN39" s="60">
        <f ca="1">AVERAGE(OFFSET($AM$3,0,0,'Données projet'!$E$10+1,1))-AVERAGE(OFFSET($H$3,0,0,'Données projet'!$E$10+1,1))</f>
        <v>455.43477166687273</v>
      </c>
      <c r="AO39" s="60">
        <f t="shared" si="36"/>
        <v>312.81310692672895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0">
        <f t="shared" si="8"/>
        <v>500.55213023987449</v>
      </c>
      <c r="BI39" s="60">
        <f ca="1">AVERAGE(OFFSET($BH$3,0,0,'Données projet'!$E$11+1,1))-AVERAGE(OFFSET($H$3,0,0,'Données projet'!$E$11+1,1))</f>
        <v>430.11660085503223</v>
      </c>
      <c r="BJ39" s="60">
        <f t="shared" si="38"/>
        <v>231.36959598460686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projet'!$B$12,Paramètres!$A$1:$I$89,3,0)*VLOOKUP('Données projet'!$B$12,Paramètres!$A$1:$I$89,5,0)</f>
        <v>104.84760000000001</v>
      </c>
      <c r="CA39" s="14">
        <f t="shared" si="39"/>
        <v>28.113670466115643</v>
      </c>
      <c r="CB39" s="22">
        <f t="shared" si="10"/>
        <v>231.57421272848475</v>
      </c>
      <c r="CC39" s="60">
        <f t="shared" si="11"/>
        <v>524.90754606181804</v>
      </c>
      <c r="CD39" s="60">
        <f ca="1">AVERAGE(OFFSET($CC$3,0,0,'Données projet'!$E$12+1,1))-AVERAGE(OFFSET($H$3,0,0,'Données projet'!$E$12+1,1))</f>
        <v>476.8965664931755</v>
      </c>
      <c r="CE39" s="60">
        <f t="shared" si="40"/>
        <v>254.25036207346591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103.4</v>
      </c>
      <c r="CU39" s="18">
        <f>CT39*VLOOKUP('Données projet'!$B$13,Paramètres!$A$1:$I$89,3,0)*VLOOKUP('Données projet'!$B$13,Paramètres!$A$1:$I$89,5,0)</f>
        <v>100.00848000000001</v>
      </c>
      <c r="CV39" s="14">
        <f t="shared" si="41"/>
        <v>26.964017781444337</v>
      </c>
      <c r="CW39" s="22">
        <f t="shared" si="13"/>
        <v>221.14376696934889</v>
      </c>
      <c r="CX39" s="60">
        <f t="shared" si="14"/>
        <v>514.47710030268217</v>
      </c>
      <c r="CY39" s="60">
        <f ca="1">AVERAGE(OFFSET($CX$3,0,0,'Données projet'!$E$13+1,1))-AVERAGE(OFFSET($H$3,0,0,'Données projet'!$E$13+1,1))</f>
        <v>456.86147223520601</v>
      </c>
      <c r="CZ39" s="60">
        <f t="shared" si="42"/>
        <v>244.45149244446094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4.8717948717948731</v>
      </c>
      <c r="DO39" s="13">
        <f>IF('Données projet'!$A$166&gt;35,DO38+DN39-DW38,IF(A39&lt;'Données projet'!$A$166,$DL$205^A39,IF(A39='Données projet'!$A$166,'Données projet'!$B$166,DO38+DN39-DW38)))</f>
        <v>96.538461538461505</v>
      </c>
      <c r="DP39" s="18">
        <f>DO39*VLOOKUP('Données projet'!$B$14,Paramètres!$A$1:$I$89,3,0)*VLOOKUP('Données projet'!$B$14,Paramètres!$A$1:$I$89,5,0)</f>
        <v>91.865999999999957</v>
      </c>
      <c r="DQ39" s="14">
        <f t="shared" si="43"/>
        <v>25.014720357915152</v>
      </c>
      <c r="DR39" s="22">
        <f t="shared" si="16"/>
        <v>203.56725462336883</v>
      </c>
      <c r="DS39" s="60">
        <f t="shared" si="17"/>
        <v>496.90058795670211</v>
      </c>
      <c r="DT39" s="60">
        <f ca="1">AVERAGE(OFFSET($DS$3,0,0,'Données projet'!$E$14+1,1))-AVERAGE(OFFSET($H$3,0,0,'Données projet'!$E$14+1,1))</f>
        <v>300.36889324671682</v>
      </c>
      <c r="DU39" s="60">
        <f t="shared" si="44"/>
        <v>214.36051699039683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5.6</v>
      </c>
      <c r="EJ39" s="13">
        <f>IF('Données projet'!$A$192&gt;35,EJ38+EI39-ER38,IF(A39&lt;'Données projet'!$A$192,$EG$205^A39,IF(A39='Données projet'!$A$192,'Données projet'!$B$192,EJ38+EI39-ER38)))</f>
        <v>86.59999999999998</v>
      </c>
      <c r="EK39" s="18">
        <f>EJ39*VLOOKUP('Données projet'!$B$15,Paramètres!$A$1:$I$89,3,0)*VLOOKUP('Données projet'!$B$15,Paramètres!$A$1:$I$89,5,0)</f>
        <v>75.653759999999991</v>
      </c>
      <c r="EL39" s="14">
        <f t="shared" si="45"/>
        <v>21.071075829664714</v>
      </c>
      <c r="EM39" s="22">
        <f t="shared" si="19"/>
        <v>168.46242240333265</v>
      </c>
      <c r="EN39" s="60">
        <f t="shared" si="20"/>
        <v>461.79575573666597</v>
      </c>
      <c r="EO39" s="60">
        <f ca="1">AVERAGE(OFFSET($EN$3,0,0,'Données projet'!$E$15+1,1))-AVERAGE(OFFSET($H$3,0,0,'Données projet'!$E$15+1,1))</f>
        <v>202.46844517174412</v>
      </c>
      <c r="EP39" s="60">
        <f t="shared" si="46"/>
        <v>185.00219255324515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7.5641025641025639</v>
      </c>
      <c r="FE39" s="13">
        <f>IF('Données projet'!$A$218&gt;35,FE38+FD39-FM38,IF(A39&lt;'Données projet'!$A$218,$FB$205^A39,IF(A39='Données projet'!$A$218,'Données projet'!$B$218,FE38+FD39-FM38)))</f>
        <v>163.97435897435901</v>
      </c>
      <c r="FF39" s="18">
        <f>FE39*VLOOKUP('Données projet'!$B$16,Paramètres!$A$1:$I$89,3,0)*VLOOKUP('Données projet'!$B$16,Paramètres!$A$1:$I$89,5,0)</f>
        <v>109.99400000000003</v>
      </c>
      <c r="FG39" s="14">
        <f t="shared" si="47"/>
        <v>29.329570921273</v>
      </c>
      <c r="FH39" s="22">
        <f t="shared" si="22"/>
        <v>242.6552193545505</v>
      </c>
      <c r="FI39" s="60">
        <f t="shared" si="23"/>
        <v>535.98855268788384</v>
      </c>
      <c r="FJ39" s="60">
        <f ca="1">AVERAGE(OFFSET($FI$3,0,0,'Données projet'!$E$16+1,1))-AVERAGE(OFFSET($H$3,0,0,'Données projet'!$E$16+1,1))</f>
        <v>344.87493856469382</v>
      </c>
      <c r="FK39" s="60">
        <f t="shared" si="48"/>
        <v>261.91036689641402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>
        <f>FZ39*VLOOKUP('Données projet'!$B$17,Paramètres!$A$1:$I$89,3,0)*VLOOKUP('Données projet'!$B$17,Paramètres!$A$1:$I$89,5,0)</f>
        <v>0</v>
      </c>
      <c r="GB39" s="14" t="e">
        <f t="shared" si="49"/>
        <v>#NUM!</v>
      </c>
      <c r="GC39" s="22" t="e">
        <f t="shared" si="25"/>
        <v>#NUM!</v>
      </c>
      <c r="GD39" s="60" t="e">
        <f t="shared" si="26"/>
        <v>#NUM!</v>
      </c>
      <c r="GE39" s="60">
        <f ca="1">AVERAGE(OFFSET($GD$3,0,0,'Données projet'!$E$17+1,1))-AVERAGE(OFFSET($H$3,0,0,'Données projet'!$E$17+1,1))</f>
        <v>268.19959446602911</v>
      </c>
      <c r="GF39" s="60">
        <f t="shared" si="50"/>
        <v>691.2533336811855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127.63737140396036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127.63737140396036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11.5</v>
      </c>
      <c r="GU39" s="13">
        <f>IF('Données projet'!$A$270&gt;35,GU38+GT39-HC38,IF(A39&lt;'Données projet'!$A$270,$GR$205^A39,IF(A39='Données projet'!$A$270,'Données projet'!$B$270,GU38+GT39-HC38)))</f>
        <v>176.49999999999997</v>
      </c>
      <c r="GV39" s="18">
        <f>GU39*VLOOKUP('Données projet'!$B$18,Paramètres!$A$1:$I$89,3,0)*VLOOKUP('Données projet'!$B$18,Paramètres!$A$1:$I$89,5,0)</f>
        <v>137.66999999999999</v>
      </c>
      <c r="GW39" s="14">
        <f t="shared" si="51"/>
        <v>35.762714965854656</v>
      </c>
      <c r="GX39" s="22">
        <f t="shared" si="28"/>
        <v>302.06197856553018</v>
      </c>
      <c r="GY39" s="60">
        <f t="shared" si="29"/>
        <v>595.3953118988635</v>
      </c>
      <c r="GZ39" s="60">
        <f ca="1">AVERAGE(OFFSET($GY$3,0,0,'Données projet'!$E$18+1,1))-AVERAGE(OFFSET($H$3,0,0,'Données projet'!$E$18+1,1))</f>
        <v>292.57482726862594</v>
      </c>
      <c r="HA39" s="60">
        <f t="shared" si="52"/>
        <v>283.48738729114024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14.6</v>
      </c>
      <c r="N40" s="14">
        <f>IF('Données projet'!$A$36&gt;35,N39+M40-V39,IF(A40&lt;'Données projet'!$A$36,$K$205^A40,IF(A40='Données projet'!$A$36,'Données projet'!$B$36,N39+M40-V39)))</f>
        <v>223.19999999999993</v>
      </c>
      <c r="O40" s="14">
        <f>N40*VLOOKUP('Données projet'!$B$9,Paramètres!$A$1:$I$89,3,0)*VLOOKUP('Données projet'!$B$9,Paramètres!$A$1:$I$89,5,0)</f>
        <v>104.45759999999997</v>
      </c>
      <c r="P40" s="14">
        <f t="shared" si="33"/>
        <v>28.021248860498247</v>
      </c>
      <c r="Q40" s="22">
        <f t="shared" si="53"/>
        <v>230.73399509870103</v>
      </c>
      <c r="R40" s="60">
        <f t="shared" si="0"/>
        <v>524.0673284320344</v>
      </c>
      <c r="S40" s="60">
        <f ca="1">AVERAGE(OFFSET($R$3,0,0,'Données projet'!$E$9+1,1))-AVERAGE(OFFSET($H$3,0,0,'Données projet'!$E$9+1,1))</f>
        <v>399.92909819003523</v>
      </c>
      <c r="T40" s="60">
        <f t="shared" si="34"/>
        <v>163.7053537268381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12.2</v>
      </c>
      <c r="AI40" s="14">
        <f>IF('Données projet'!$A$62&gt;35,AI39+AH40-AQ39,IF(A40&lt;'Données projet'!$A$62,$AF$205^A40,IF(A40='Données projet'!$A$62,'Données projet'!$B$62,AI39+AH40-AQ39)))</f>
        <v>266.39999999999998</v>
      </c>
      <c r="AJ40" s="14">
        <f>AI40*VLOOKUP('Données projet'!$B$10,Paramètres!$A$1:$I$89,3,0)*VLOOKUP('Données projet'!$B$10,Paramètres!$A$1:$I$89,5,0)</f>
        <v>159.30719999999999</v>
      </c>
      <c r="AK40" s="14">
        <f t="shared" si="35"/>
        <v>40.686212990054052</v>
      </c>
      <c r="AL40" s="22">
        <f t="shared" si="4"/>
        <v>348.32186095767747</v>
      </c>
      <c r="AM40" s="60">
        <f t="shared" si="5"/>
        <v>641.65519429101073</v>
      </c>
      <c r="AN40" s="60">
        <f ca="1">AVERAGE(OFFSET($AM$3,0,0,'Données projet'!$E$10+1,1))-AVERAGE(OFFSET($H$3,0,0,'Données projet'!$E$10+1,1))</f>
        <v>455.43477166687273</v>
      </c>
      <c r="AO40" s="60">
        <f t="shared" si="36"/>
        <v>312.81310692672895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101.15664000000001</v>
      </c>
      <c r="BF40" s="14">
        <f t="shared" si="37"/>
        <v>27.237366379381644</v>
      </c>
      <c r="BG40" s="22">
        <f t="shared" si="7"/>
        <v>223.61956111075639</v>
      </c>
      <c r="BH40" s="60">
        <f t="shared" si="8"/>
        <v>516.95289444408968</v>
      </c>
      <c r="BI40" s="60">
        <f ca="1">AVERAGE(OFFSET($BH$3,0,0,'Données projet'!$E$11+1,1))-AVERAGE(OFFSET($H$3,0,0,'Données projet'!$E$11+1,1))</f>
        <v>430.11660085503223</v>
      </c>
      <c r="BJ40" s="60">
        <f t="shared" si="38"/>
        <v>231.36959598460686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projet'!$B$12,Paramètres!$A$1:$I$89,3,0)*VLOOKUP('Données projet'!$B$12,Paramètres!$A$1:$I$89,5,0)</f>
        <v>113.36520000000003</v>
      </c>
      <c r="CA40" s="14">
        <f t="shared" si="39"/>
        <v>30.122456058687614</v>
      </c>
      <c r="CB40" s="22">
        <f t="shared" si="10"/>
        <v>249.9076676355476</v>
      </c>
      <c r="CC40" s="60">
        <f t="shared" si="11"/>
        <v>543.24100096888094</v>
      </c>
      <c r="CD40" s="60">
        <f ca="1">AVERAGE(OFFSET($CC$3,0,0,'Données projet'!$E$12+1,1))-AVERAGE(OFFSET($H$3,0,0,'Données projet'!$E$12+1,1))</f>
        <v>476.8965664931755</v>
      </c>
      <c r="CE40" s="60">
        <f t="shared" si="40"/>
        <v>254.25036207346591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111.80000000000001</v>
      </c>
      <c r="CU40" s="18">
        <f>CT40*VLOOKUP('Données projet'!$B$13,Paramètres!$A$1:$I$89,3,0)*VLOOKUP('Données projet'!$B$13,Paramètres!$A$1:$I$89,5,0)</f>
        <v>108.13296000000001</v>
      </c>
      <c r="CV40" s="14">
        <f t="shared" si="41"/>
        <v>28.890658079177882</v>
      </c>
      <c r="CW40" s="22">
        <f t="shared" si="13"/>
        <v>238.64946815456815</v>
      </c>
      <c r="CX40" s="60">
        <f t="shared" si="14"/>
        <v>531.9828014879015</v>
      </c>
      <c r="CY40" s="60">
        <f ca="1">AVERAGE(OFFSET($CX$3,0,0,'Données projet'!$E$13+1,1))-AVERAGE(OFFSET($H$3,0,0,'Données projet'!$E$13+1,1))</f>
        <v>456.86147223520601</v>
      </c>
      <c r="CZ40" s="60">
        <f t="shared" si="42"/>
        <v>244.45149244446094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4.8717948717948731</v>
      </c>
      <c r="DO40" s="13">
        <f>IF('Données projet'!$A$166&gt;35,DO39+DN40-DW39,IF(A40&lt;'Données projet'!$A$166,$DL$205^A40,IF(A40='Données projet'!$A$166,'Données projet'!$B$166,DO39+DN40-DW39)))</f>
        <v>101.41025641025638</v>
      </c>
      <c r="DP40" s="18">
        <f>DO40*VLOOKUP('Données projet'!$B$14,Paramètres!$A$1:$I$89,3,0)*VLOOKUP('Données projet'!$B$14,Paramètres!$A$1:$I$89,5,0)</f>
        <v>96.501999999999967</v>
      </c>
      <c r="DQ40" s="14">
        <f t="shared" si="43"/>
        <v>26.126928217693919</v>
      </c>
      <c r="DR40" s="22">
        <f t="shared" si="16"/>
        <v>213.57871664581683</v>
      </c>
      <c r="DS40" s="60">
        <f t="shared" si="17"/>
        <v>506.91204997915014</v>
      </c>
      <c r="DT40" s="60">
        <f ca="1">AVERAGE(OFFSET($DS$3,0,0,'Données projet'!$E$14+1,1))-AVERAGE(OFFSET($H$3,0,0,'Données projet'!$E$14+1,1))</f>
        <v>300.36889324671682</v>
      </c>
      <c r="DU40" s="60">
        <f t="shared" si="44"/>
        <v>214.36051699039683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5.6</v>
      </c>
      <c r="EJ40" s="13">
        <f>IF('Données projet'!$A$192&gt;35,EJ39+EI40-ER39,IF(A40&lt;'Données projet'!$A$192,$EG$205^A40,IF(A40='Données projet'!$A$192,'Données projet'!$B$192,EJ39+EI40-ER39)))</f>
        <v>92.199999999999974</v>
      </c>
      <c r="EK40" s="18">
        <f>EJ40*VLOOKUP('Données projet'!$B$15,Paramètres!$A$1:$I$89,3,0)*VLOOKUP('Données projet'!$B$15,Paramètres!$A$1:$I$89,5,0)</f>
        <v>80.545919999999995</v>
      </c>
      <c r="EL40" s="14">
        <f t="shared" si="45"/>
        <v>22.270611528274312</v>
      </c>
      <c r="EM40" s="22">
        <f t="shared" si="19"/>
        <v>179.07212574507776</v>
      </c>
      <c r="EN40" s="60">
        <f t="shared" si="20"/>
        <v>472.40545907841107</v>
      </c>
      <c r="EO40" s="60">
        <f ca="1">AVERAGE(OFFSET($EN$3,0,0,'Données projet'!$E$15+1,1))-AVERAGE(OFFSET($H$3,0,0,'Données projet'!$E$15+1,1))</f>
        <v>202.46844517174412</v>
      </c>
      <c r="EP40" s="60">
        <f t="shared" si="46"/>
        <v>185.00219255324515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7.5641025641025639</v>
      </c>
      <c r="FE40" s="13">
        <f>IF('Données projet'!$A$218&gt;35,FE39+FD40-FM39,IF(A40&lt;'Données projet'!$A$218,$FB$205^A40,IF(A40='Données projet'!$A$218,'Données projet'!$B$218,FE39+FD40-FM39)))</f>
        <v>171.53846153846158</v>
      </c>
      <c r="FF40" s="18">
        <f>FE40*VLOOKUP('Données projet'!$B$16,Paramètres!$A$1:$I$89,3,0)*VLOOKUP('Données projet'!$B$16,Paramètres!$A$1:$I$89,5,0)</f>
        <v>115.06800000000003</v>
      </c>
      <c r="FG40" s="14">
        <f t="shared" si="47"/>
        <v>30.521896703482735</v>
      </c>
      <c r="FH40" s="22">
        <f t="shared" si="22"/>
        <v>253.56907009189914</v>
      </c>
      <c r="FI40" s="60">
        <f t="shared" si="23"/>
        <v>546.90240342523248</v>
      </c>
      <c r="FJ40" s="60">
        <f ca="1">AVERAGE(OFFSET($FI$3,0,0,'Données projet'!$E$16+1,1))-AVERAGE(OFFSET($H$3,0,0,'Données projet'!$E$16+1,1))</f>
        <v>344.87493856469382</v>
      </c>
      <c r="FK40" s="60">
        <f t="shared" si="48"/>
        <v>261.91036689641402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>
        <f>FZ40*VLOOKUP('Données projet'!$B$17,Paramètres!$A$1:$I$89,3,0)*VLOOKUP('Données projet'!$B$17,Paramètres!$A$1:$I$89,5,0)</f>
        <v>0</v>
      </c>
      <c r="GB40" s="14" t="e">
        <f t="shared" si="49"/>
        <v>#NUM!</v>
      </c>
      <c r="GC40" s="22" t="e">
        <f t="shared" si="25"/>
        <v>#NUM!</v>
      </c>
      <c r="GD40" s="60" t="e">
        <f t="shared" si="26"/>
        <v>#NUM!</v>
      </c>
      <c r="GE40" s="60">
        <f ca="1">AVERAGE(OFFSET($GD$3,0,0,'Données projet'!$E$17+1,1))-AVERAGE(OFFSET($H$3,0,0,'Données projet'!$E$17+1,1))</f>
        <v>268.19959446602911</v>
      </c>
      <c r="GF40" s="60">
        <f t="shared" si="50"/>
        <v>691.2533336811855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125.13448040183809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125.13448040183809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>
        <f>VLOOKUP(A40,'Données projet'!$A$269:$I$289,2,0)</f>
        <v>188</v>
      </c>
      <c r="GS40" s="13">
        <f>VLOOKUP(A40,'Données projet'!$A$269:$I$289,9,0)</f>
        <v>11.5</v>
      </c>
      <c r="GT40" s="13">
        <f t="array" ref="GT40">INDEX(GS:GS,MIN(IF(ISNUMBER(GS40:GS236),ROW(GS40:GS236),"")))</f>
        <v>11.5</v>
      </c>
      <c r="GU40" s="13">
        <f>IF('Données projet'!$A$270&gt;35,GU39+GT40-HC39,IF(A40&lt;'Données projet'!$A$270,$GR$205^A40,IF(A40='Données projet'!$A$270,'Données projet'!$B$270,GU39+GT40-HC39)))</f>
        <v>187.99999999999997</v>
      </c>
      <c r="GV40" s="18">
        <f>GU40*VLOOKUP('Données projet'!$B$18,Paramètres!$A$1:$I$89,3,0)*VLOOKUP('Données projet'!$B$18,Paramètres!$A$1:$I$89,5,0)</f>
        <v>146.63999999999999</v>
      </c>
      <c r="GW40" s="14">
        <f t="shared" si="51"/>
        <v>37.814009712703026</v>
      </c>
      <c r="GX40" s="22">
        <f t="shared" si="28"/>
        <v>321.25740024962437</v>
      </c>
      <c r="GY40" s="60">
        <f t="shared" si="29"/>
        <v>614.59073358295768</v>
      </c>
      <c r="GZ40" s="60">
        <f ca="1">AVERAGE(OFFSET($GY$3,0,0,'Données projet'!$E$18+1,1))-AVERAGE(OFFSET($H$3,0,0,'Données projet'!$E$18+1,1))</f>
        <v>292.57482726862594</v>
      </c>
      <c r="HA40" s="60">
        <f t="shared" si="52"/>
        <v>283.48738729114024</v>
      </c>
      <c r="HB40" s="16">
        <f>IF(ISNA(VLOOKUP(A40,'Données projet'!$A$269:$I$289,3,0)),0,VLOOKUP(A40,'Données projet'!$A$269:$I$289,3,0))</f>
        <v>3</v>
      </c>
      <c r="HC40" s="16">
        <f>IF(ISNA(VLOOKUP(A40,'Données projet'!$A$269:$I$289,4,0)),0,VLOOKUP(A40,'Données projet'!$A$269:$I$289,4,0))</f>
        <v>36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14.6</v>
      </c>
      <c r="N41" s="14">
        <f>IF('Données projet'!$A$36&gt;35,N40+M41-V40,IF(A41&lt;'Données projet'!$A$36,$K$205^A41,IF(A41='Données projet'!$A$36,'Données projet'!$B$36,N40+M41-V40)))</f>
        <v>237.79999999999993</v>
      </c>
      <c r="O41" s="14">
        <f>N41*VLOOKUP('Données projet'!$B$9,Paramètres!$A$1:$I$89,3,0)*VLOOKUP('Données projet'!$B$9,Paramètres!$A$1:$I$89,5,0)</f>
        <v>111.29039999999998</v>
      </c>
      <c r="P41" s="14">
        <f t="shared" si="33"/>
        <v>29.634806205918217</v>
      </c>
      <c r="Q41" s="22">
        <f t="shared" si="53"/>
        <v>245.44473414197418</v>
      </c>
      <c r="R41" s="60">
        <f t="shared" si="0"/>
        <v>538.77806747530747</v>
      </c>
      <c r="S41" s="60">
        <f ca="1">AVERAGE(OFFSET($R$3,0,0,'Données projet'!$E$9+1,1))-AVERAGE(OFFSET($H$3,0,0,'Données projet'!$E$9+1,1))</f>
        <v>399.92909819003523</v>
      </c>
      <c r="T41" s="60">
        <f t="shared" si="34"/>
        <v>163.7053537268381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12.2</v>
      </c>
      <c r="AI41" s="14">
        <f>IF('Données projet'!$A$62&gt;35,AI40+AH41-AQ40,IF(A41&lt;'Données projet'!$A$62,$AF$205^A41,IF(A41='Données projet'!$A$62,'Données projet'!$B$62,AI40+AH41-AQ40)))</f>
        <v>278.59999999999997</v>
      </c>
      <c r="AJ41" s="14">
        <f>AI41*VLOOKUP('Données projet'!$B$10,Paramètres!$A$1:$I$89,3,0)*VLOOKUP('Données projet'!$B$10,Paramètres!$A$1:$I$89,5,0)</f>
        <v>166.60279999999997</v>
      </c>
      <c r="AK41" s="14">
        <f t="shared" si="35"/>
        <v>42.328272232789288</v>
      </c>
      <c r="AL41" s="22">
        <f t="shared" si="4"/>
        <v>363.88828413877462</v>
      </c>
      <c r="AM41" s="60">
        <f t="shared" si="5"/>
        <v>657.22161747210794</v>
      </c>
      <c r="AN41" s="60">
        <f ca="1">AVERAGE(OFFSET($AM$3,0,0,'Données projet'!$E$10+1,1))-AVERAGE(OFFSET($H$3,0,0,'Données projet'!$E$10+1,1))</f>
        <v>455.43477166687273</v>
      </c>
      <c r="AO41" s="60">
        <f t="shared" si="36"/>
        <v>312.81310692672895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108.75696000000002</v>
      </c>
      <c r="BF41" s="14">
        <f t="shared" si="37"/>
        <v>29.037921223305609</v>
      </c>
      <c r="BG41" s="22">
        <f t="shared" si="7"/>
        <v>239.99275146392395</v>
      </c>
      <c r="BH41" s="60">
        <f t="shared" si="8"/>
        <v>533.32608479725729</v>
      </c>
      <c r="BI41" s="60">
        <f ca="1">AVERAGE(OFFSET($BH$3,0,0,'Données projet'!$E$11+1,1))-AVERAGE(OFFSET($H$3,0,0,'Données projet'!$E$11+1,1))</f>
        <v>430.11660085503223</v>
      </c>
      <c r="BJ41" s="60">
        <f t="shared" si="38"/>
        <v>231.36959598460686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projet'!$B$12,Paramètres!$A$1:$I$89,3,0)*VLOOKUP('Données projet'!$B$12,Paramètres!$A$1:$I$89,5,0)</f>
        <v>121.88280000000002</v>
      </c>
      <c r="CA41" s="14">
        <f t="shared" si="39"/>
        <v>32.113732800054677</v>
      </c>
      <c r="CB41" s="22">
        <f t="shared" si="10"/>
        <v>268.21062796009522</v>
      </c>
      <c r="CC41" s="60">
        <f t="shared" si="11"/>
        <v>561.54396129342854</v>
      </c>
      <c r="CD41" s="60">
        <f ca="1">AVERAGE(OFFSET($CC$3,0,0,'Données projet'!$E$12+1,1))-AVERAGE(OFFSET($H$3,0,0,'Données projet'!$E$12+1,1))</f>
        <v>476.8965664931755</v>
      </c>
      <c r="CE41" s="60">
        <f t="shared" si="40"/>
        <v>254.25036207346591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120.20000000000002</v>
      </c>
      <c r="CU41" s="18">
        <f>CT41*VLOOKUP('Données projet'!$B$13,Paramètres!$A$1:$I$89,3,0)*VLOOKUP('Données projet'!$B$13,Paramètres!$A$1:$I$89,5,0)</f>
        <v>116.25744000000003</v>
      </c>
      <c r="CV41" s="14">
        <f t="shared" si="41"/>
        <v>30.800505515381992</v>
      </c>
      <c r="CW41" s="22">
        <f t="shared" si="13"/>
        <v>256.12592177262371</v>
      </c>
      <c r="CX41" s="60">
        <f t="shared" si="14"/>
        <v>549.45925510595703</v>
      </c>
      <c r="CY41" s="60">
        <f ca="1">AVERAGE(OFFSET($CX$3,0,0,'Données projet'!$E$13+1,1))-AVERAGE(OFFSET($H$3,0,0,'Données projet'!$E$13+1,1))</f>
        <v>456.86147223520601</v>
      </c>
      <c r="CZ41" s="60">
        <f t="shared" si="42"/>
        <v>244.45149244446094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4.8717948717948731</v>
      </c>
      <c r="DO41" s="13">
        <f>IF('Données projet'!$A$166&gt;35,DO40+DN41-DW40,IF(A41&lt;'Données projet'!$A$166,$DL$205^A41,IF(A41='Données projet'!$A$166,'Données projet'!$B$166,DO40+DN41-DW40)))</f>
        <v>106.28205128205126</v>
      </c>
      <c r="DP41" s="18">
        <f>DO41*VLOOKUP('Données projet'!$B$14,Paramètres!$A$1:$I$89,3,0)*VLOOKUP('Données projet'!$B$14,Paramètres!$A$1:$I$89,5,0)</f>
        <v>101.13799999999998</v>
      </c>
      <c r="DQ41" s="14">
        <f t="shared" si="43"/>
        <v>27.232931549242739</v>
      </c>
      <c r="DR41" s="22">
        <f t="shared" si="16"/>
        <v>223.57937244826439</v>
      </c>
      <c r="DS41" s="60">
        <f t="shared" si="17"/>
        <v>516.91270578159765</v>
      </c>
      <c r="DT41" s="60">
        <f ca="1">AVERAGE(OFFSET($DS$3,0,0,'Données projet'!$E$14+1,1))-AVERAGE(OFFSET($H$3,0,0,'Données projet'!$E$14+1,1))</f>
        <v>300.36889324671682</v>
      </c>
      <c r="DU41" s="60">
        <f t="shared" si="44"/>
        <v>214.36051699039683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5.6</v>
      </c>
      <c r="EJ41" s="13">
        <f>IF('Données projet'!$A$192&gt;35,EJ40+EI41-ER40,IF(A41&lt;'Données projet'!$A$192,$EG$205^A41,IF(A41='Données projet'!$A$192,'Données projet'!$B$192,EJ40+EI41-ER40)))</f>
        <v>97.799999999999969</v>
      </c>
      <c r="EK41" s="18">
        <f>EJ41*VLOOKUP('Données projet'!$B$15,Paramètres!$A$1:$I$89,3,0)*VLOOKUP('Données projet'!$B$15,Paramètres!$A$1:$I$89,5,0)</f>
        <v>85.438079999999985</v>
      </c>
      <c r="EL41" s="14">
        <f t="shared" si="45"/>
        <v>23.46169111191827</v>
      </c>
      <c r="EM41" s="22">
        <f t="shared" si="19"/>
        <v>189.66710135325764</v>
      </c>
      <c r="EN41" s="60">
        <f t="shared" si="20"/>
        <v>483.00043468659095</v>
      </c>
      <c r="EO41" s="60">
        <f ca="1">AVERAGE(OFFSET($EN$3,0,0,'Données projet'!$E$15+1,1))-AVERAGE(OFFSET($H$3,0,0,'Données projet'!$E$15+1,1))</f>
        <v>202.46844517174412</v>
      </c>
      <c r="EP41" s="60">
        <f t="shared" si="46"/>
        <v>185.00219255324515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7.5641025641025639</v>
      </c>
      <c r="FE41" s="13">
        <f>IF('Données projet'!$A$218&gt;35,FE40+FD41-FM40,IF(A41&lt;'Données projet'!$A$218,$FB$205^A41,IF(A41='Données projet'!$A$218,'Données projet'!$B$218,FE40+FD41-FM40)))</f>
        <v>179.10256410256414</v>
      </c>
      <c r="FF41" s="18">
        <f>FE41*VLOOKUP('Données projet'!$B$16,Paramètres!$A$1:$I$89,3,0)*VLOOKUP('Données projet'!$B$16,Paramètres!$A$1:$I$89,5,0)</f>
        <v>120.14200000000004</v>
      </c>
      <c r="FG41" s="14">
        <f t="shared" si="47"/>
        <v>31.708116182305016</v>
      </c>
      <c r="FH41" s="22">
        <f t="shared" si="22"/>
        <v>264.47228568418126</v>
      </c>
      <c r="FI41" s="60">
        <f t="shared" si="23"/>
        <v>557.80561901751457</v>
      </c>
      <c r="FJ41" s="60">
        <f ca="1">AVERAGE(OFFSET($FI$3,0,0,'Données projet'!$E$16+1,1))-AVERAGE(OFFSET($H$3,0,0,'Données projet'!$E$16+1,1))</f>
        <v>344.87493856469382</v>
      </c>
      <c r="FK41" s="60">
        <f t="shared" si="48"/>
        <v>261.91036689641402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>
        <f>FZ41*VLOOKUP('Données projet'!$B$17,Paramètres!$A$1:$I$89,3,0)*VLOOKUP('Données projet'!$B$17,Paramètres!$A$1:$I$89,5,0)</f>
        <v>0</v>
      </c>
      <c r="GB41" s="14" t="e">
        <f t="shared" si="49"/>
        <v>#NUM!</v>
      </c>
      <c r="GC41" s="22" t="e">
        <f t="shared" si="25"/>
        <v>#NUM!</v>
      </c>
      <c r="GD41" s="60" t="e">
        <f t="shared" si="26"/>
        <v>#NUM!</v>
      </c>
      <c r="GE41" s="60">
        <f ca="1">AVERAGE(OFFSET($GD$3,0,0,'Données projet'!$E$17+1,1))-AVERAGE(OFFSET($H$3,0,0,'Données projet'!$E$17+1,1))</f>
        <v>268.19959446602911</v>
      </c>
      <c r="GF41" s="60">
        <f t="shared" si="50"/>
        <v>691.2533336811855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122.68066956565467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122.68066956565467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11.142857142857142</v>
      </c>
      <c r="GU41" s="13">
        <f>IF('Données projet'!$A$270&gt;35,GU40+GT41-HC40,IF(A41&lt;'Données projet'!$A$270,$GR$205^A41,IF(A41='Données projet'!$A$270,'Données projet'!$B$270,GU40+GT41-HC40)))</f>
        <v>163.14285714285711</v>
      </c>
      <c r="GV41" s="18">
        <f>GU41*VLOOKUP('Données projet'!$B$18,Paramètres!$A$1:$I$89,3,0)*VLOOKUP('Données projet'!$B$18,Paramètres!$A$1:$I$89,5,0)</f>
        <v>127.25142857142855</v>
      </c>
      <c r="GW41" s="14">
        <f t="shared" si="51"/>
        <v>33.360457439554281</v>
      </c>
      <c r="GX41" s="22">
        <f t="shared" si="28"/>
        <v>279.73236813579507</v>
      </c>
      <c r="GY41" s="60">
        <f t="shared" si="29"/>
        <v>573.06570146912838</v>
      </c>
      <c r="GZ41" s="60">
        <f ca="1">AVERAGE(OFFSET($GY$3,0,0,'Données projet'!$E$18+1,1))-AVERAGE(OFFSET($H$3,0,0,'Données projet'!$E$18+1,1))</f>
        <v>292.57482726862594</v>
      </c>
      <c r="HA41" s="60">
        <f t="shared" si="52"/>
        <v>283.48738729114024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14.6</v>
      </c>
      <c r="N42" s="14">
        <f>IF('Données projet'!$A$36&gt;35,N41+M42-V41,IF(A42&lt;'Données projet'!$A$36,$K$205^A42,IF(A42='Données projet'!$A$36,'Données projet'!$B$36,N41+M42-V41)))</f>
        <v>252.39999999999992</v>
      </c>
      <c r="O42" s="14">
        <f>N42*VLOOKUP('Données projet'!$B$9,Paramètres!$A$1:$I$89,3,0)*VLOOKUP('Données projet'!$B$9,Paramètres!$A$1:$I$89,5,0)</f>
        <v>118.12319999999995</v>
      </c>
      <c r="P42" s="14">
        <f t="shared" si="33"/>
        <v>31.236865730893584</v>
      </c>
      <c r="Q42" s="22">
        <f t="shared" si="53"/>
        <v>260.13544781463958</v>
      </c>
      <c r="R42" s="60">
        <f t="shared" si="0"/>
        <v>553.46878114797289</v>
      </c>
      <c r="S42" s="60">
        <f ca="1">AVERAGE(OFFSET($R$3,0,0,'Données projet'!$E$9+1,1))-AVERAGE(OFFSET($H$3,0,0,'Données projet'!$E$9+1,1))</f>
        <v>399.92909819003523</v>
      </c>
      <c r="T42" s="60">
        <f t="shared" si="34"/>
        <v>163.7053537268381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12.2</v>
      </c>
      <c r="AI42" s="14">
        <f>IF('Données projet'!$A$62&gt;35,AI41+AH42-AQ41,IF(A42&lt;'Données projet'!$A$62,$AF$205^A42,IF(A42='Données projet'!$A$62,'Données projet'!$B$62,AI41+AH42-AQ41)))</f>
        <v>290.79999999999995</v>
      </c>
      <c r="AJ42" s="14">
        <f>AI42*VLOOKUP('Données projet'!$B$10,Paramètres!$A$1:$I$89,3,0)*VLOOKUP('Données projet'!$B$10,Paramètres!$A$1:$I$89,5,0)</f>
        <v>173.89839999999998</v>
      </c>
      <c r="AK42" s="14">
        <f t="shared" si="35"/>
        <v>43.961980047450531</v>
      </c>
      <c r="AL42" s="22">
        <f t="shared" si="4"/>
        <v>379.44016191597626</v>
      </c>
      <c r="AM42" s="60">
        <f t="shared" si="5"/>
        <v>672.77349524930958</v>
      </c>
      <c r="AN42" s="60">
        <f ca="1">AVERAGE(OFFSET($AM$3,0,0,'Données projet'!$E$10+1,1))-AVERAGE(OFFSET($H$3,0,0,'Données projet'!$E$10+1,1))</f>
        <v>455.43477166687273</v>
      </c>
      <c r="AO42" s="60">
        <f t="shared" si="36"/>
        <v>312.81310692672895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116.35728000000002</v>
      </c>
      <c r="BF42" s="14">
        <f t="shared" si="37"/>
        <v>30.823876427820704</v>
      </c>
      <c r="BG42" s="22">
        <f t="shared" si="7"/>
        <v>256.34051411178774</v>
      </c>
      <c r="BH42" s="60">
        <f t="shared" si="8"/>
        <v>549.67384744512105</v>
      </c>
      <c r="BI42" s="60">
        <f ca="1">AVERAGE(OFFSET($BH$3,0,0,'Données projet'!$E$11+1,1))-AVERAGE(OFFSET($H$3,0,0,'Données projet'!$E$11+1,1))</f>
        <v>430.11660085503223</v>
      </c>
      <c r="BJ42" s="60">
        <f t="shared" si="38"/>
        <v>231.36959598460686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projet'!$B$12,Paramètres!$A$1:$I$89,3,0)*VLOOKUP('Données projet'!$B$12,Paramètres!$A$1:$I$89,5,0)</f>
        <v>130.40040000000002</v>
      </c>
      <c r="CA42" s="14">
        <f t="shared" si="39"/>
        <v>34.088863450406919</v>
      </c>
      <c r="CB42" s="22">
        <f t="shared" si="10"/>
        <v>286.48546717612544</v>
      </c>
      <c r="CC42" s="60">
        <f t="shared" si="11"/>
        <v>579.8188005094587</v>
      </c>
      <c r="CD42" s="60">
        <f ca="1">AVERAGE(OFFSET($CC$3,0,0,'Données projet'!$E$12+1,1))-AVERAGE(OFFSET($H$3,0,0,'Données projet'!$E$12+1,1))</f>
        <v>476.8965664931755</v>
      </c>
      <c r="CE42" s="60">
        <f t="shared" si="40"/>
        <v>254.25036207346591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128.60000000000002</v>
      </c>
      <c r="CU42" s="18">
        <f>CT42*VLOOKUP('Données projet'!$B$13,Paramètres!$A$1:$I$89,3,0)*VLOOKUP('Données projet'!$B$13,Paramètres!$A$1:$I$89,5,0)</f>
        <v>124.38192000000002</v>
      </c>
      <c r="CV42" s="14">
        <f t="shared" si="41"/>
        <v>32.694867122876893</v>
      </c>
      <c r="CW42" s="22">
        <f t="shared" si="13"/>
        <v>273.5754042390106</v>
      </c>
      <c r="CX42" s="60">
        <f t="shared" si="14"/>
        <v>566.90873757234385</v>
      </c>
      <c r="CY42" s="60">
        <f ca="1">AVERAGE(OFFSET($CX$3,0,0,'Données projet'!$E$13+1,1))-AVERAGE(OFFSET($H$3,0,0,'Données projet'!$E$13+1,1))</f>
        <v>456.86147223520601</v>
      </c>
      <c r="CZ42" s="60">
        <f t="shared" si="42"/>
        <v>244.45149244446094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4.8717948717948731</v>
      </c>
      <c r="DO42" s="13">
        <f>IF('Données projet'!$A$166&gt;35,DO41+DN42-DW41,IF(A42&lt;'Données projet'!$A$166,$DL$205^A42,IF(A42='Données projet'!$A$166,'Données projet'!$B$166,DO41+DN42-DW41)))</f>
        <v>111.15384615384613</v>
      </c>
      <c r="DP42" s="18">
        <f>DO42*VLOOKUP('Données projet'!$B$14,Paramètres!$A$1:$I$89,3,0)*VLOOKUP('Données projet'!$B$14,Paramètres!$A$1:$I$89,5,0)</f>
        <v>105.77399999999997</v>
      </c>
      <c r="DQ42" s="14">
        <f t="shared" si="43"/>
        <v>28.333047244009499</v>
      </c>
      <c r="DR42" s="22">
        <f t="shared" si="16"/>
        <v>233.5697739499831</v>
      </c>
      <c r="DS42" s="60">
        <f t="shared" si="17"/>
        <v>526.90310728331644</v>
      </c>
      <c r="DT42" s="60">
        <f ca="1">AVERAGE(OFFSET($DS$3,0,0,'Données projet'!$E$14+1,1))-AVERAGE(OFFSET($H$3,0,0,'Données projet'!$E$14+1,1))</f>
        <v>300.36889324671682</v>
      </c>
      <c r="DU42" s="60">
        <f t="shared" si="44"/>
        <v>214.36051699039683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5.6</v>
      </c>
      <c r="EJ42" s="13">
        <f>IF('Données projet'!$A$192&gt;35,EJ41+EI42-ER41,IF(A42&lt;'Données projet'!$A$192,$EG$205^A42,IF(A42='Données projet'!$A$192,'Données projet'!$B$192,EJ41+EI42-ER41)))</f>
        <v>103.39999999999996</v>
      </c>
      <c r="EK42" s="18">
        <f>EJ42*VLOOKUP('Données projet'!$B$15,Paramètres!$A$1:$I$89,3,0)*VLOOKUP('Données projet'!$B$15,Paramètres!$A$1:$I$89,5,0)</f>
        <v>90.330239999999975</v>
      </c>
      <c r="EL42" s="14">
        <f t="shared" si="45"/>
        <v>24.644853944123636</v>
      </c>
      <c r="EM42" s="22">
        <f t="shared" si="19"/>
        <v>200.24828861934861</v>
      </c>
      <c r="EN42" s="60">
        <f t="shared" si="20"/>
        <v>493.58162195268193</v>
      </c>
      <c r="EO42" s="60">
        <f ca="1">AVERAGE(OFFSET($EN$3,0,0,'Données projet'!$E$15+1,1))-AVERAGE(OFFSET($H$3,0,0,'Données projet'!$E$15+1,1))</f>
        <v>202.46844517174412</v>
      </c>
      <c r="EP42" s="60">
        <f t="shared" si="46"/>
        <v>185.00219255324515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7.5641025641025639</v>
      </c>
      <c r="FE42" s="13">
        <f>IF('Données projet'!$A$218&gt;35,FE41+FD42-FM41,IF(A42&lt;'Données projet'!$A$218,$FB$205^A42,IF(A42='Données projet'!$A$218,'Données projet'!$B$218,FE41+FD42-FM41)))</f>
        <v>186.66666666666671</v>
      </c>
      <c r="FF42" s="18">
        <f>FE42*VLOOKUP('Données projet'!$B$16,Paramètres!$A$1:$I$89,3,0)*VLOOKUP('Données projet'!$B$16,Paramètres!$A$1:$I$89,5,0)</f>
        <v>125.21600000000002</v>
      </c>
      <c r="FG42" s="14">
        <f t="shared" si="47"/>
        <v>32.888516733565645</v>
      </c>
      <c r="FH42" s="22">
        <f t="shared" si="22"/>
        <v>275.36536664429354</v>
      </c>
      <c r="FI42" s="60">
        <f t="shared" si="23"/>
        <v>568.6986999776268</v>
      </c>
      <c r="FJ42" s="60">
        <f ca="1">AVERAGE(OFFSET($FI$3,0,0,'Données projet'!$E$16+1,1))-AVERAGE(OFFSET($H$3,0,0,'Données projet'!$E$16+1,1))</f>
        <v>344.87493856469382</v>
      </c>
      <c r="FK42" s="60">
        <f t="shared" si="48"/>
        <v>261.91036689641402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>
        <f>FZ42*VLOOKUP('Données projet'!$B$17,Paramètres!$A$1:$I$89,3,0)*VLOOKUP('Données projet'!$B$17,Paramètres!$A$1:$I$89,5,0)</f>
        <v>0</v>
      </c>
      <c r="GB42" s="14" t="e">
        <f t="shared" si="49"/>
        <v>#NUM!</v>
      </c>
      <c r="GC42" s="22" t="e">
        <f t="shared" si="25"/>
        <v>#NUM!</v>
      </c>
      <c r="GD42" s="60" t="e">
        <f t="shared" si="26"/>
        <v>#NUM!</v>
      </c>
      <c r="GE42" s="60">
        <f ca="1">AVERAGE(OFFSET($GD$3,0,0,'Données projet'!$E$17+1,1))-AVERAGE(OFFSET($H$3,0,0,'Données projet'!$E$17+1,1))</f>
        <v>268.19959446602911</v>
      </c>
      <c r="GF42" s="60">
        <f t="shared" si="50"/>
        <v>691.2533336811855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120.27497646329198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120.27497646329198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11.142857142857142</v>
      </c>
      <c r="GU42" s="13">
        <f>IF('Données projet'!$A$270&gt;35,GU41+GT42-HC41,IF(A42&lt;'Données projet'!$A$270,$GR$205^A42,IF(A42='Données projet'!$A$270,'Données projet'!$B$270,GU41+GT42-HC41)))</f>
        <v>174.28571428571425</v>
      </c>
      <c r="GV42" s="18">
        <f>GU42*VLOOKUP('Données projet'!$B$18,Paramètres!$A$1:$I$89,3,0)*VLOOKUP('Données projet'!$B$18,Paramètres!$A$1:$I$89,5,0)</f>
        <v>135.94285714285712</v>
      </c>
      <c r="GW42" s="14">
        <f t="shared" si="51"/>
        <v>35.365986273808367</v>
      </c>
      <c r="GX42" s="22">
        <f t="shared" si="28"/>
        <v>298.36290228402572</v>
      </c>
      <c r="GY42" s="60">
        <f t="shared" si="29"/>
        <v>591.69623561735898</v>
      </c>
      <c r="GZ42" s="60">
        <f ca="1">AVERAGE(OFFSET($GY$3,0,0,'Données projet'!$E$18+1,1))-AVERAGE(OFFSET($H$3,0,0,'Données projet'!$E$18+1,1))</f>
        <v>292.57482726862594</v>
      </c>
      <c r="HA42" s="60">
        <f t="shared" si="52"/>
        <v>283.48738729114024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267</v>
      </c>
      <c r="L43" s="13">
        <f>VLOOKUP(A43,'Données projet'!$A$35:$I$55,9,0)</f>
        <v>14.6</v>
      </c>
      <c r="M43" s="13">
        <f t="array" ref="M43">INDEX(L:L,MIN(IF(ISNUMBER(L43:L239),ROW(L43:L239),"")))</f>
        <v>14.6</v>
      </c>
      <c r="N43" s="14">
        <f>IF('Données projet'!$A$36&gt;35,N42+M43-V42,IF(A43&lt;'Données projet'!$A$36,$K$205^A43,IF(A43='Données projet'!$A$36,'Données projet'!$B$36,N42+M43-V42)))</f>
        <v>266.99999999999994</v>
      </c>
      <c r="O43" s="14">
        <f>N43*VLOOKUP('Données projet'!$B$9,Paramètres!$A$1:$I$89,3,0)*VLOOKUP('Données projet'!$B$9,Paramètres!$A$1:$I$89,5,0)</f>
        <v>124.95599999999997</v>
      </c>
      <c r="P43" s="14">
        <f t="shared" si="33"/>
        <v>32.828168295117194</v>
      </c>
      <c r="Q43" s="22">
        <f t="shared" si="53"/>
        <v>274.80742644732908</v>
      </c>
      <c r="R43" s="60">
        <f t="shared" si="0"/>
        <v>568.14075978066239</v>
      </c>
      <c r="S43" s="60">
        <f ca="1">AVERAGE(OFFSET($R$3,0,0,'Données projet'!$E$9+1,1))-AVERAGE(OFFSET($H$3,0,0,'Données projet'!$E$9+1,1))</f>
        <v>399.92909819003523</v>
      </c>
      <c r="T43" s="60">
        <f t="shared" si="34"/>
        <v>163.7053537268381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91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303</v>
      </c>
      <c r="AG43" s="13">
        <f>VLOOKUP(A43,'Données projet'!$A$61:$I$81,9,0)</f>
        <v>12.2</v>
      </c>
      <c r="AH43" s="13">
        <f t="array" ref="AH43">INDEX(AG:AG,MIN(IF(ISNUMBER(AG43:AG239),ROW(AG43:AG239),"")))</f>
        <v>12.2</v>
      </c>
      <c r="AI43" s="14">
        <f>IF('Données projet'!$A$62&gt;35,AI42+AH43-AQ42,IF(A43&lt;'Données projet'!$A$62,$AF$205^A43,IF(A43='Données projet'!$A$62,'Données projet'!$B$62,AI42+AH43-AQ42)))</f>
        <v>302.99999999999994</v>
      </c>
      <c r="AJ43" s="14">
        <f>AI43*VLOOKUP('Données projet'!$B$10,Paramètres!$A$1:$I$89,3,0)*VLOOKUP('Données projet'!$B$10,Paramètres!$A$1:$I$89,5,0)</f>
        <v>181.19399999999996</v>
      </c>
      <c r="AK43" s="14">
        <f t="shared" si="35"/>
        <v>45.587726866550426</v>
      </c>
      <c r="AL43" s="22">
        <f t="shared" si="4"/>
        <v>394.97817429257526</v>
      </c>
      <c r="AM43" s="60">
        <f t="shared" si="5"/>
        <v>688.31150762590858</v>
      </c>
      <c r="AN43" s="60">
        <f ca="1">AVERAGE(OFFSET($AM$3,0,0,'Données projet'!$E$10+1,1))-AVERAGE(OFFSET($H$3,0,0,'Données projet'!$E$10+1,1))</f>
        <v>455.43477166687273</v>
      </c>
      <c r="AO43" s="60">
        <f t="shared" si="36"/>
        <v>312.81310692672895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123.95760000000001</v>
      </c>
      <c r="BF43" s="14">
        <f t="shared" si="37"/>
        <v>32.59629414926458</v>
      </c>
      <c r="BG43" s="22">
        <f t="shared" si="7"/>
        <v>272.6646989766358</v>
      </c>
      <c r="BH43" s="60">
        <f t="shared" si="8"/>
        <v>565.99803230996918</v>
      </c>
      <c r="BI43" s="60">
        <f ca="1">AVERAGE(OFFSET($BH$3,0,0,'Données projet'!$E$11+1,1))-AVERAGE(OFFSET($H$3,0,0,'Données projet'!$E$11+1,1))</f>
        <v>430.11660085503223</v>
      </c>
      <c r="BJ43" s="60">
        <f t="shared" si="38"/>
        <v>231.36959598460686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projet'!$B$12,Paramètres!$A$1:$I$89,3,0)*VLOOKUP('Données projet'!$B$12,Paramètres!$A$1:$I$89,5,0)</f>
        <v>138.91800000000003</v>
      </c>
      <c r="CA43" s="14">
        <f t="shared" si="39"/>
        <v>36.049022673886341</v>
      </c>
      <c r="CB43" s="22">
        <f t="shared" si="10"/>
        <v>304.73423115701877</v>
      </c>
      <c r="CC43" s="60">
        <f t="shared" si="11"/>
        <v>598.06756449035208</v>
      </c>
      <c r="CD43" s="60">
        <f ca="1">AVERAGE(OFFSET($CC$3,0,0,'Données projet'!$E$12+1,1))-AVERAGE(OFFSET($H$3,0,0,'Données projet'!$E$12+1,1))</f>
        <v>476.8965664931755</v>
      </c>
      <c r="CE43" s="60">
        <f t="shared" si="40"/>
        <v>254.25036207346591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137.00000000000003</v>
      </c>
      <c r="CU43" s="18">
        <f>CT43*VLOOKUP('Données projet'!$B$13,Paramètres!$A$1:$I$89,3,0)*VLOOKUP('Données projet'!$B$13,Paramètres!$A$1:$I$89,5,0)</f>
        <v>132.50640000000001</v>
      </c>
      <c r="CV43" s="14">
        <f t="shared" si="41"/>
        <v>34.574869530248939</v>
      </c>
      <c r="CW43" s="22">
        <f t="shared" si="13"/>
        <v>290.99987776518356</v>
      </c>
      <c r="CX43" s="60">
        <f t="shared" si="14"/>
        <v>584.33321109851681</v>
      </c>
      <c r="CY43" s="60">
        <f ca="1">AVERAGE(OFFSET($CX$3,0,0,'Données projet'!$E$13+1,1))-AVERAGE(OFFSET($H$3,0,0,'Données projet'!$E$13+1,1))</f>
        <v>456.86147223520601</v>
      </c>
      <c r="CZ43" s="60">
        <f t="shared" si="42"/>
        <v>244.45149244446094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116.02564102564102</v>
      </c>
      <c r="DM43" s="13">
        <f>VLOOKUP(A43,'Données projet'!$A$165:$I$185,9,0)</f>
        <v>4.8717948717948731</v>
      </c>
      <c r="DN43" s="13">
        <f t="array" ref="DN43">INDEX(DM:DM,MIN(IF(ISNUMBER(DM43:DM239),ROW(DM43:DM239),"")))</f>
        <v>4.8717948717948731</v>
      </c>
      <c r="DO43" s="13">
        <f>IF('Données projet'!$A$166&gt;35,DO42+DN43-DW42,IF(A43&lt;'Données projet'!$A$166,$DL$205^A43,IF(A43='Données projet'!$A$166,'Données projet'!$B$166,DO42+DN43-DW42)))</f>
        <v>116.02564102564101</v>
      </c>
      <c r="DP43" s="18">
        <f>DO43*VLOOKUP('Données projet'!$B$14,Paramètres!$A$1:$I$89,3,0)*VLOOKUP('Données projet'!$B$14,Paramètres!$A$1:$I$89,5,0)</f>
        <v>110.40999999999998</v>
      </c>
      <c r="DQ43" s="14">
        <f t="shared" si="43"/>
        <v>29.427562844448662</v>
      </c>
      <c r="DR43" s="22">
        <f t="shared" si="16"/>
        <v>243.55042195408137</v>
      </c>
      <c r="DS43" s="60">
        <f t="shared" si="17"/>
        <v>536.88375528741471</v>
      </c>
      <c r="DT43" s="60">
        <f ca="1">AVERAGE(OFFSET($DS$3,0,0,'Données projet'!$E$14+1,1))-AVERAGE(OFFSET($H$3,0,0,'Données projet'!$E$14+1,1))</f>
        <v>300.36889324671682</v>
      </c>
      <c r="DU43" s="60">
        <f t="shared" si="44"/>
        <v>214.36051699039683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21.153846153846153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109</v>
      </c>
      <c r="EH43" s="13">
        <f>VLOOKUP(A43,'Données projet'!$A$191:$I$211,9,0)</f>
        <v>5.6</v>
      </c>
      <c r="EI43" s="13">
        <f t="array" ref="EI43">INDEX(EH:EH,MIN(IF(ISNUMBER(EH43:EH239),ROW(EH43:EH239),"")))</f>
        <v>5.6</v>
      </c>
      <c r="EJ43" s="13">
        <f>IF('Données projet'!$A$192&gt;35,EJ42+EI43-ER42,IF(A43&lt;'Données projet'!$A$192,$EG$205^A43,IF(A43='Données projet'!$A$192,'Données projet'!$B$192,EJ42+EI43-ER42)))</f>
        <v>108.99999999999996</v>
      </c>
      <c r="EK43" s="18">
        <f>EJ43*VLOOKUP('Données projet'!$B$15,Paramètres!$A$1:$I$89,3,0)*VLOOKUP('Données projet'!$B$15,Paramètres!$A$1:$I$89,5,0)</f>
        <v>95.222399999999979</v>
      </c>
      <c r="EL43" s="14">
        <f t="shared" si="45"/>
        <v>25.820577666484969</v>
      </c>
      <c r="EM43" s="22">
        <f t="shared" si="19"/>
        <v>210.81651943579459</v>
      </c>
      <c r="EN43" s="60">
        <f t="shared" si="20"/>
        <v>504.1498527691279</v>
      </c>
      <c r="EO43" s="60">
        <f ca="1">AVERAGE(OFFSET($EN$3,0,0,'Données projet'!$E$15+1,1))-AVERAGE(OFFSET($H$3,0,0,'Données projet'!$E$15+1,1))</f>
        <v>202.46844517174412</v>
      </c>
      <c r="EP43" s="60">
        <f t="shared" si="46"/>
        <v>185.00219255324515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194.23076923076923</v>
      </c>
      <c r="FC43" s="13">
        <f>VLOOKUP(A43,'Données projet'!$A$217:$I$237,9,0)</f>
        <v>7.5641025641025639</v>
      </c>
      <c r="FD43" s="13">
        <f t="array" ref="FD43">INDEX(FC:FC,MIN(IF(ISNUMBER(FC43:FC239),ROW(FC43:FC239),"")))</f>
        <v>7.5641025641025639</v>
      </c>
      <c r="FE43" s="13">
        <f>IF('Données projet'!$A$218&gt;35,FE42+FD43-FM42,IF(A43&lt;'Données projet'!$A$218,$FB$205^A43,IF(A43='Données projet'!$A$218,'Données projet'!$B$218,FE42+FD43-FM42)))</f>
        <v>194.23076923076928</v>
      </c>
      <c r="FF43" s="18">
        <f>FE43*VLOOKUP('Données projet'!$B$16,Paramètres!$A$1:$I$89,3,0)*VLOOKUP('Données projet'!$B$16,Paramètres!$A$1:$I$89,5,0)</f>
        <v>130.29000000000002</v>
      </c>
      <c r="FG43" s="14">
        <f t="shared" si="47"/>
        <v>34.063361124931106</v>
      </c>
      <c r="FH43" s="22">
        <f t="shared" si="22"/>
        <v>286.24877062592168</v>
      </c>
      <c r="FI43" s="60">
        <f t="shared" si="23"/>
        <v>579.58210395925494</v>
      </c>
      <c r="FJ43" s="60">
        <f ca="1">AVERAGE(OFFSET($FI$3,0,0,'Données projet'!$E$16+1,1))-AVERAGE(OFFSET($H$3,0,0,'Données projet'!$E$16+1,1))</f>
        <v>344.87493856469382</v>
      </c>
      <c r="FK43" s="60">
        <f t="shared" si="48"/>
        <v>261.91036689641402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>
        <f>FZ43*VLOOKUP('Données projet'!$B$17,Paramètres!$A$1:$I$89,3,0)*VLOOKUP('Données projet'!$B$17,Paramètres!$A$1:$I$89,5,0)</f>
        <v>0</v>
      </c>
      <c r="GB43" s="14" t="e">
        <f t="shared" si="49"/>
        <v>#NUM!</v>
      </c>
      <c r="GC43" s="22" t="e">
        <f t="shared" si="25"/>
        <v>#NUM!</v>
      </c>
      <c r="GD43" s="60" t="e">
        <f t="shared" si="26"/>
        <v>#NUM!</v>
      </c>
      <c r="GE43" s="60">
        <f ca="1">AVERAGE(OFFSET($GD$3,0,0,'Données projet'!$E$17+1,1))-AVERAGE(OFFSET($H$3,0,0,'Données projet'!$E$17+1,1))</f>
        <v>268.19959446602911</v>
      </c>
      <c r="GF43" s="60">
        <f t="shared" si="50"/>
        <v>691.2533336811855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117.91645753533872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117.91645753533872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11.142857142857142</v>
      </c>
      <c r="GU43" s="13">
        <f>IF('Données projet'!$A$270&gt;35,GU42+GT43-HC42,IF(A43&lt;'Données projet'!$A$270,$GR$205^A43,IF(A43='Données projet'!$A$270,'Données projet'!$B$270,GU42+GT43-HC42)))</f>
        <v>185.42857142857139</v>
      </c>
      <c r="GV43" s="18">
        <f>GU43*VLOOKUP('Données projet'!$B$18,Paramètres!$A$1:$I$89,3,0)*VLOOKUP('Données projet'!$B$18,Paramètres!$A$1:$I$89,5,0)</f>
        <v>144.63428571428568</v>
      </c>
      <c r="GW43" s="14">
        <f t="shared" si="51"/>
        <v>37.356634728420524</v>
      </c>
      <c r="GX43" s="22">
        <f t="shared" si="28"/>
        <v>316.96751977104663</v>
      </c>
      <c r="GY43" s="60">
        <f t="shared" si="29"/>
        <v>610.30085310437994</v>
      </c>
      <c r="GZ43" s="60">
        <f ca="1">AVERAGE(OFFSET($GY$3,0,0,'Données projet'!$E$18+1,1))-AVERAGE(OFFSET($H$3,0,0,'Données projet'!$E$18+1,1))</f>
        <v>292.57482726862594</v>
      </c>
      <c r="HA43" s="60">
        <f t="shared" si="52"/>
        <v>283.48738729114024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20.399999999999999</v>
      </c>
      <c r="N44" s="14">
        <f>IF('Données projet'!$A$36&gt;35,N43+M44-V43,IF(A44&lt;'Données projet'!$A$36,$K$205^A44,IF(A44='Données projet'!$A$36,'Données projet'!$B$36,N43+M44-V43)))</f>
        <v>196.39999999999992</v>
      </c>
      <c r="O44" s="14">
        <f>N44*VLOOKUP('Données projet'!$B$9,Paramètres!$A$1:$I$89,3,0)*VLOOKUP('Données projet'!$B$9,Paramètres!$A$1:$I$89,5,0)</f>
        <v>91.915199999999956</v>
      </c>
      <c r="P44" s="14">
        <f t="shared" si="33"/>
        <v>25.026557534351902</v>
      </c>
      <c r="Q44" s="22">
        <f t="shared" si="53"/>
        <v>203.67356103899616</v>
      </c>
      <c r="R44" s="60">
        <f t="shared" si="0"/>
        <v>497.0068943723295</v>
      </c>
      <c r="S44" s="60">
        <f ca="1">AVERAGE(OFFSET($R$3,0,0,'Données projet'!$E$9+1,1))-AVERAGE(OFFSET($H$3,0,0,'Données projet'!$E$9+1,1))</f>
        <v>399.92909819003523</v>
      </c>
      <c r="T44" s="60">
        <f t="shared" si="34"/>
        <v>163.7053537268381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314.39999999999992</v>
      </c>
      <c r="AJ44" s="14">
        <f>AI44*VLOOKUP('Données projet'!$B$10,Paramètres!$A$1:$I$89,3,0)*VLOOKUP('Données projet'!$B$10,Paramètres!$A$1:$I$89,5,0)</f>
        <v>188.01119999999997</v>
      </c>
      <c r="AK44" s="14">
        <f t="shared" si="35"/>
        <v>47.099988496590989</v>
      </c>
      <c r="AL44" s="22">
        <f t="shared" si="4"/>
        <v>409.48531996489595</v>
      </c>
      <c r="AM44" s="60">
        <f t="shared" si="5"/>
        <v>702.81865329822926</v>
      </c>
      <c r="AN44" s="60">
        <f ca="1">AVERAGE(OFFSET($AM$3,0,0,'Données projet'!$E$10+1,1))-AVERAGE(OFFSET($H$3,0,0,'Données projet'!$E$10+1,1))</f>
        <v>455.43477166687273</v>
      </c>
      <c r="AO44" s="60">
        <f t="shared" si="36"/>
        <v>312.81310692672895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145.40000000000003</v>
      </c>
      <c r="BE44" s="14">
        <f>BD44*VLOOKUP('Données projet'!$B$11,Paramètres!$A$1:$I$89,3,0)*VLOOKUP('Données projet'!$B$11,Paramètres!$A$1:$I$89,5,0)</f>
        <v>131.55792000000002</v>
      </c>
      <c r="BF44" s="14">
        <f t="shared" si="37"/>
        <v>34.3560989338864</v>
      </c>
      <c r="BG44" s="22">
        <f t="shared" si="7"/>
        <v>288.96691630985219</v>
      </c>
      <c r="BH44" s="60">
        <f t="shared" si="8"/>
        <v>582.30024964318545</v>
      </c>
      <c r="BI44" s="60">
        <f ca="1">AVERAGE(OFFSET($BH$3,0,0,'Données projet'!$E$11+1,1))-AVERAGE(OFFSET($H$3,0,0,'Données projet'!$E$11+1,1))</f>
        <v>430.11660085503223</v>
      </c>
      <c r="BJ44" s="60">
        <f t="shared" si="38"/>
        <v>231.36959598460686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145.40000000000003</v>
      </c>
      <c r="BZ44" s="14">
        <f>BY44*VLOOKUP('Données projet'!$B$12,Paramètres!$A$1:$I$89,3,0)*VLOOKUP('Données projet'!$B$12,Paramètres!$A$1:$I$89,5,0)</f>
        <v>147.43560000000002</v>
      </c>
      <c r="CA44" s="14">
        <f t="shared" si="39"/>
        <v>37.99523294834102</v>
      </c>
      <c r="CB44" s="22">
        <f t="shared" si="10"/>
        <v>322.95870071836066</v>
      </c>
      <c r="CC44" s="60">
        <f t="shared" si="11"/>
        <v>616.29203405169392</v>
      </c>
      <c r="CD44" s="60">
        <f ca="1">AVERAGE(OFFSET($CC$3,0,0,'Données projet'!$E$12+1,1))-AVERAGE(OFFSET($H$3,0,0,'Données projet'!$E$12+1,1))</f>
        <v>476.8965664931755</v>
      </c>
      <c r="CE44" s="60">
        <f t="shared" si="40"/>
        <v>254.25036207346591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145.40000000000003</v>
      </c>
      <c r="CU44" s="18">
        <f>CT44*VLOOKUP('Données projet'!$B$13,Paramètres!$A$1:$I$89,3,0)*VLOOKUP('Données projet'!$B$13,Paramètres!$A$1:$I$89,5,0)</f>
        <v>140.63088000000005</v>
      </c>
      <c r="CV44" s="14">
        <f t="shared" si="41"/>
        <v>36.441493403146445</v>
      </c>
      <c r="CW44" s="22">
        <f t="shared" si="13"/>
        <v>308.40105034381344</v>
      </c>
      <c r="CX44" s="60">
        <f t="shared" si="14"/>
        <v>601.73438367714675</v>
      </c>
      <c r="CY44" s="60">
        <f ca="1">AVERAGE(OFFSET($CX$3,0,0,'Données projet'!$E$13+1,1))-AVERAGE(OFFSET($H$3,0,0,'Données projet'!$E$13+1,1))</f>
        <v>456.86147223520601</v>
      </c>
      <c r="CZ44" s="60">
        <f t="shared" si="42"/>
        <v>244.45149244446094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4.6153846153846159</v>
      </c>
      <c r="DO44" s="13">
        <f>IF('Données projet'!$A$166&gt;35,DO43+DN44-DW43,IF(A44&lt;'Données projet'!$A$166,$DL$205^A44,IF(A44='Données projet'!$A$166,'Données projet'!$B$166,DO43+DN44-DW43)))</f>
        <v>99.487179487179475</v>
      </c>
      <c r="DP44" s="18">
        <f>DO44*VLOOKUP('Données projet'!$B$14,Paramètres!$A$1:$I$89,3,0)*VLOOKUP('Données projet'!$B$14,Paramètres!$A$1:$I$89,5,0)</f>
        <v>94.671999999999983</v>
      </c>
      <c r="DQ44" s="14">
        <f t="shared" si="43"/>
        <v>25.688658665830566</v>
      </c>
      <c r="DR44" s="22">
        <f t="shared" si="16"/>
        <v>209.62814717632156</v>
      </c>
      <c r="DS44" s="60">
        <f t="shared" si="17"/>
        <v>502.96148050965485</v>
      </c>
      <c r="DT44" s="60">
        <f ca="1">AVERAGE(OFFSET($DS$3,0,0,'Données projet'!$E$14+1,1))-AVERAGE(OFFSET($H$3,0,0,'Données projet'!$E$14+1,1))</f>
        <v>300.36889324671682</v>
      </c>
      <c r="DU44" s="60">
        <f t="shared" si="44"/>
        <v>214.36051699039683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</v>
      </c>
      <c r="EJ44" s="13">
        <f>IF('Données projet'!$A$192&gt;35,EJ43+EI44-ER43,IF(A44&lt;'Données projet'!$A$192,$EG$205^A44,IF(A44='Données projet'!$A$192,'Données projet'!$B$192,EJ43+EI44-ER43)))</f>
        <v>113.99999999999996</v>
      </c>
      <c r="EK44" s="18">
        <f>EJ44*VLOOKUP('Données projet'!$B$15,Paramètres!$A$1:$I$89,3,0)*VLOOKUP('Données projet'!$B$15,Paramètres!$A$1:$I$89,5,0)</f>
        <v>99.590399999999974</v>
      </c>
      <c r="EL44" s="14">
        <f t="shared" si="45"/>
        <v>26.864392698869324</v>
      </c>
      <c r="EM44" s="22">
        <f t="shared" si="19"/>
        <v>220.24209728386401</v>
      </c>
      <c r="EN44" s="60">
        <f t="shared" si="20"/>
        <v>513.5754306171973</v>
      </c>
      <c r="EO44" s="60">
        <f ca="1">AVERAGE(OFFSET($EN$3,0,0,'Données projet'!$E$15+1,1))-AVERAGE(OFFSET($H$3,0,0,'Données projet'!$E$15+1,1))</f>
        <v>202.46844517174412</v>
      </c>
      <c r="EP44" s="60">
        <f t="shared" si="46"/>
        <v>185.00219255324515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7.1794871794871771</v>
      </c>
      <c r="FE44" s="13">
        <f>IF('Données projet'!$A$218&gt;35,FE43+FD44-FM43,IF(A44&lt;'Données projet'!$A$218,$FB$205^A44,IF(A44='Données projet'!$A$218,'Données projet'!$B$218,FE43+FD44-FM43)))</f>
        <v>201.41025641025647</v>
      </c>
      <c r="FF44" s="18">
        <f>FE44*VLOOKUP('Données projet'!$B$16,Paramètres!$A$1:$I$89,3,0)*VLOOKUP('Données projet'!$B$16,Paramètres!$A$1:$I$89,5,0)</f>
        <v>135.10600000000005</v>
      </c>
      <c r="FG44" s="14">
        <f t="shared" si="47"/>
        <v>35.173547605806888</v>
      </c>
      <c r="FH44" s="22">
        <f t="shared" si="22"/>
        <v>296.57021208011378</v>
      </c>
      <c r="FI44" s="60">
        <f t="shared" si="23"/>
        <v>589.90354541344709</v>
      </c>
      <c r="FJ44" s="60">
        <f ca="1">AVERAGE(OFFSET($FI$3,0,0,'Données projet'!$E$16+1,1))-AVERAGE(OFFSET($H$3,0,0,'Données projet'!$E$16+1,1))</f>
        <v>344.87493856469382</v>
      </c>
      <c r="FK44" s="60">
        <f t="shared" si="48"/>
        <v>261.91036689641402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>
        <f>FZ44*VLOOKUP('Données projet'!$B$17,Paramètres!$A$1:$I$89,3,0)*VLOOKUP('Données projet'!$B$17,Paramètres!$A$1:$I$89,5,0)</f>
        <v>0</v>
      </c>
      <c r="GB44" s="14" t="e">
        <f t="shared" si="49"/>
        <v>#NUM!</v>
      </c>
      <c r="GC44" s="22" t="e">
        <f t="shared" si="25"/>
        <v>#NUM!</v>
      </c>
      <c r="GD44" s="60" t="e">
        <f t="shared" si="26"/>
        <v>#NUM!</v>
      </c>
      <c r="GE44" s="60">
        <f ca="1">AVERAGE(OFFSET($GD$3,0,0,'Données projet'!$E$17+1,1))-AVERAGE(OFFSET($H$3,0,0,'Données projet'!$E$17+1,1))</f>
        <v>268.19959446602911</v>
      </c>
      <c r="GF44" s="60">
        <f t="shared" si="50"/>
        <v>691.2533336811855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115.60418772500813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115.60418772500813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11.142857142857142</v>
      </c>
      <c r="GU44" s="13">
        <f>IF('Données projet'!$A$270&gt;35,GU43+GT44-HC43,IF(A44&lt;'Données projet'!$A$270,$GR$205^A44,IF(A44='Données projet'!$A$270,'Données projet'!$B$270,GU43+GT44-HC43)))</f>
        <v>196.57142857142853</v>
      </c>
      <c r="GV44" s="18">
        <f>GU44*VLOOKUP('Données projet'!$B$18,Paramètres!$A$1:$I$89,3,0)*VLOOKUP('Données projet'!$B$18,Paramètres!$A$1:$I$89,5,0)</f>
        <v>153.32571428571427</v>
      </c>
      <c r="GW44" s="14">
        <f t="shared" si="51"/>
        <v>39.33339883761419</v>
      </c>
      <c r="GX44" s="22">
        <f t="shared" si="28"/>
        <v>335.54795535646372</v>
      </c>
      <c r="GY44" s="60">
        <f t="shared" si="29"/>
        <v>628.88128868979697</v>
      </c>
      <c r="GZ44" s="60">
        <f ca="1">AVERAGE(OFFSET($GY$3,0,0,'Données projet'!$E$18+1,1))-AVERAGE(OFFSET($H$3,0,0,'Données projet'!$E$18+1,1))</f>
        <v>292.57482726862594</v>
      </c>
      <c r="HA44" s="60">
        <f t="shared" si="52"/>
        <v>283.48738729114024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20.399999999999999</v>
      </c>
      <c r="N45" s="14">
        <f>IF('Données projet'!$A$36&gt;35,N44+M45-V44,IF(A45&lt;'Données projet'!$A$36,$K$205^A45,IF(A45='Données projet'!$A$36,'Données projet'!$B$36,N44+M45-V44)))</f>
        <v>216.79999999999993</v>
      </c>
      <c r="O45" s="14">
        <f>N45*VLOOKUP('Données projet'!$B$9,Paramètres!$A$1:$I$89,3,0)*VLOOKUP('Données projet'!$B$9,Paramètres!$A$1:$I$89,5,0)</f>
        <v>101.46239999999997</v>
      </c>
      <c r="P45" s="14">
        <f t="shared" si="33"/>
        <v>27.310099257465147</v>
      </c>
      <c r="Q45" s="22">
        <f t="shared" si="53"/>
        <v>224.27876954008505</v>
      </c>
      <c r="R45" s="60">
        <f t="shared" si="0"/>
        <v>517.61210287341839</v>
      </c>
      <c r="S45" s="60">
        <f ca="1">AVERAGE(OFFSET($R$3,0,0,'Données projet'!$E$9+1,1))-AVERAGE(OFFSET($H$3,0,0,'Données projet'!$E$9+1,1))</f>
        <v>399.92909819003523</v>
      </c>
      <c r="T45" s="60">
        <f t="shared" si="34"/>
        <v>163.7053537268381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325.7999999999999</v>
      </c>
      <c r="AJ45" s="14">
        <f>AI45*VLOOKUP('Données projet'!$B$10,Paramètres!$A$1:$I$89,3,0)*VLOOKUP('Données projet'!$B$10,Paramètres!$A$1:$I$89,5,0)</f>
        <v>194.82839999999996</v>
      </c>
      <c r="AK45" s="14">
        <f t="shared" si="35"/>
        <v>48.605879434898533</v>
      </c>
      <c r="AL45" s="22">
        <f t="shared" si="4"/>
        <v>423.98137001578152</v>
      </c>
      <c r="AM45" s="60">
        <f t="shared" si="5"/>
        <v>717.31470334911478</v>
      </c>
      <c r="AN45" s="60">
        <f ca="1">AVERAGE(OFFSET($AM$3,0,0,'Données projet'!$E$10+1,1))-AVERAGE(OFFSET($H$3,0,0,'Données projet'!$E$10+1,1))</f>
        <v>455.43477166687273</v>
      </c>
      <c r="AO45" s="60">
        <f t="shared" si="36"/>
        <v>312.81310692672895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153.80000000000004</v>
      </c>
      <c r="BE45" s="14">
        <f>BD45*VLOOKUP('Données projet'!$B$11,Paramètres!$A$1:$I$89,3,0)*VLOOKUP('Données projet'!$B$11,Paramètres!$A$1:$I$89,5,0)</f>
        <v>139.15824000000003</v>
      </c>
      <c r="BF45" s="14">
        <f t="shared" si="37"/>
        <v>36.104102468715482</v>
      </c>
      <c r="BG45" s="22">
        <f t="shared" si="7"/>
        <v>305.24857979967953</v>
      </c>
      <c r="BH45" s="60">
        <f t="shared" si="8"/>
        <v>598.5819131330129</v>
      </c>
      <c r="BI45" s="60">
        <f ca="1">AVERAGE(OFFSET($BH$3,0,0,'Données projet'!$E$11+1,1))-AVERAGE(OFFSET($H$3,0,0,'Données projet'!$E$11+1,1))</f>
        <v>430.11660085503223</v>
      </c>
      <c r="BJ45" s="60">
        <f t="shared" si="38"/>
        <v>231.36959598460686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153.80000000000004</v>
      </c>
      <c r="BZ45" s="14">
        <f>BY45*VLOOKUP('Données projet'!$B$12,Paramètres!$A$1:$I$89,3,0)*VLOOKUP('Données projet'!$B$12,Paramètres!$A$1:$I$89,5,0)</f>
        <v>155.95320000000004</v>
      </c>
      <c r="CA45" s="14">
        <f t="shared" si="39"/>
        <v>39.928391937903875</v>
      </c>
      <c r="CB45" s="22">
        <f t="shared" si="10"/>
        <v>341.16043929184929</v>
      </c>
      <c r="CC45" s="60">
        <f t="shared" si="11"/>
        <v>634.4937726251826</v>
      </c>
      <c r="CD45" s="60">
        <f ca="1">AVERAGE(OFFSET($CC$3,0,0,'Données projet'!$E$12+1,1))-AVERAGE(OFFSET($H$3,0,0,'Données projet'!$E$12+1,1))</f>
        <v>476.8965664931755</v>
      </c>
      <c r="CE45" s="60">
        <f t="shared" si="40"/>
        <v>254.25036207346591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153.80000000000004</v>
      </c>
      <c r="CU45" s="18">
        <f>CT45*VLOOKUP('Données projet'!$B$13,Paramètres!$A$1:$I$89,3,0)*VLOOKUP('Données projet'!$B$13,Paramètres!$A$1:$I$89,5,0)</f>
        <v>148.75536000000005</v>
      </c>
      <c r="CV45" s="14">
        <f t="shared" si="41"/>
        <v>38.295599697511591</v>
      </c>
      <c r="CW45" s="22">
        <f t="shared" si="13"/>
        <v>325.78042147316609</v>
      </c>
      <c r="CX45" s="60">
        <f t="shared" si="14"/>
        <v>619.1137548064994</v>
      </c>
      <c r="CY45" s="60">
        <f ca="1">AVERAGE(OFFSET($CX$3,0,0,'Données projet'!$E$13+1,1))-AVERAGE(OFFSET($H$3,0,0,'Données projet'!$E$13+1,1))</f>
        <v>456.86147223520601</v>
      </c>
      <c r="CZ45" s="60">
        <f t="shared" si="42"/>
        <v>244.45149244446094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4.6153846153846159</v>
      </c>
      <c r="DO45" s="13">
        <f>IF('Données projet'!$A$166&gt;35,DO44+DN45-DW44,IF(A45&lt;'Données projet'!$A$166,$DL$205^A45,IF(A45='Données projet'!$A$166,'Données projet'!$B$166,DO44+DN45-DW44)))</f>
        <v>104.10256410256409</v>
      </c>
      <c r="DP45" s="18">
        <f>DO45*VLOOKUP('Données projet'!$B$14,Paramètres!$A$1:$I$89,3,0)*VLOOKUP('Données projet'!$B$14,Paramètres!$A$1:$I$89,5,0)</f>
        <v>99.063999999999993</v>
      </c>
      <c r="DQ45" s="14">
        <f t="shared" si="43"/>
        <v>26.738886556499789</v>
      </c>
      <c r="DR45" s="22">
        <f t="shared" si="16"/>
        <v>219.1066940859038</v>
      </c>
      <c r="DS45" s="60">
        <f t="shared" si="17"/>
        <v>512.44002741923714</v>
      </c>
      <c r="DT45" s="60">
        <f ca="1">AVERAGE(OFFSET($DS$3,0,0,'Données projet'!$E$14+1,1))-AVERAGE(OFFSET($H$3,0,0,'Données projet'!$E$14+1,1))</f>
        <v>300.36889324671682</v>
      </c>
      <c r="DU45" s="60">
        <f t="shared" si="44"/>
        <v>214.36051699039683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</v>
      </c>
      <c r="EJ45" s="13">
        <f>IF('Données projet'!$A$192&gt;35,EJ44+EI45-ER44,IF(A45&lt;'Données projet'!$A$192,$EG$205^A45,IF(A45='Données projet'!$A$192,'Données projet'!$B$192,EJ44+EI45-ER44)))</f>
        <v>118.99999999999996</v>
      </c>
      <c r="EK45" s="18">
        <f>EJ45*VLOOKUP('Données projet'!$B$15,Paramètres!$A$1:$I$89,3,0)*VLOOKUP('Données projet'!$B$15,Paramètres!$A$1:$I$89,5,0)</f>
        <v>103.95839999999998</v>
      </c>
      <c r="EL45" s="14">
        <f t="shared" si="45"/>
        <v>27.902890560352166</v>
      </c>
      <c r="EM45" s="22">
        <f t="shared" si="19"/>
        <v>229.65841439261331</v>
      </c>
      <c r="EN45" s="60">
        <f t="shared" si="20"/>
        <v>522.99174772594665</v>
      </c>
      <c r="EO45" s="60">
        <f ca="1">AVERAGE(OFFSET($EN$3,0,0,'Données projet'!$E$15+1,1))-AVERAGE(OFFSET($H$3,0,0,'Données projet'!$E$15+1,1))</f>
        <v>202.46844517174412</v>
      </c>
      <c r="EP45" s="60">
        <f t="shared" si="46"/>
        <v>185.00219255324515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7.1794871794871771</v>
      </c>
      <c r="FE45" s="13">
        <f>IF('Données projet'!$A$218&gt;35,FE44+FD45-FM44,IF(A45&lt;'Données projet'!$A$218,$FB$205^A45,IF(A45='Données projet'!$A$218,'Données projet'!$B$218,FE44+FD45-FM44)))</f>
        <v>208.58974358974365</v>
      </c>
      <c r="FF45" s="18">
        <f>FE45*VLOOKUP('Données projet'!$B$16,Paramètres!$A$1:$I$89,3,0)*VLOOKUP('Données projet'!$B$16,Paramètres!$A$1:$I$89,5,0)</f>
        <v>139.92200000000005</v>
      </c>
      <c r="FG45" s="14">
        <f t="shared" si="47"/>
        <v>36.279136210794348</v>
      </c>
      <c r="FH45" s="22">
        <f t="shared" si="22"/>
        <v>306.88364556713356</v>
      </c>
      <c r="FI45" s="60">
        <f t="shared" si="23"/>
        <v>600.21697890046687</v>
      </c>
      <c r="FJ45" s="60">
        <f ca="1">AVERAGE(OFFSET($FI$3,0,0,'Données projet'!$E$16+1,1))-AVERAGE(OFFSET($H$3,0,0,'Données projet'!$E$16+1,1))</f>
        <v>344.87493856469382</v>
      </c>
      <c r="FK45" s="60">
        <f t="shared" si="48"/>
        <v>261.91036689641402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>
        <f>FZ45*VLOOKUP('Données projet'!$B$17,Paramètres!$A$1:$I$89,3,0)*VLOOKUP('Données projet'!$B$17,Paramètres!$A$1:$I$89,5,0)</f>
        <v>0</v>
      </c>
      <c r="GB45" s="14" t="e">
        <f t="shared" si="49"/>
        <v>#NUM!</v>
      </c>
      <c r="GC45" s="22" t="e">
        <f t="shared" si="25"/>
        <v>#NUM!</v>
      </c>
      <c r="GD45" s="60" t="e">
        <f t="shared" si="26"/>
        <v>#NUM!</v>
      </c>
      <c r="GE45" s="60">
        <f ca="1">AVERAGE(OFFSET($GD$3,0,0,'Données projet'!$E$17+1,1))-AVERAGE(OFFSET($H$3,0,0,'Données projet'!$E$17+1,1))</f>
        <v>268.19959446602911</v>
      </c>
      <c r="GF45" s="60">
        <f t="shared" si="50"/>
        <v>691.2533336811855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113.33726011531279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113.33726011531279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11.142857142857142</v>
      </c>
      <c r="GU45" s="13">
        <f>IF('Données projet'!$A$270&gt;35,GU44+GT45-HC44,IF(A45&lt;'Données projet'!$A$270,$GR$205^A45,IF(A45='Données projet'!$A$270,'Données projet'!$B$270,GU44+GT45-HC44)))</f>
        <v>207.71428571428567</v>
      </c>
      <c r="GV45" s="18">
        <f>GU45*VLOOKUP('Données projet'!$B$18,Paramètres!$A$1:$I$89,3,0)*VLOOKUP('Données projet'!$B$18,Paramètres!$A$1:$I$89,5,0)</f>
        <v>162.01714285714283</v>
      </c>
      <c r="GW45" s="14">
        <f t="shared" si="51"/>
        <v>41.297155335096676</v>
      </c>
      <c r="GX45" s="22">
        <f t="shared" si="28"/>
        <v>354.10573601815048</v>
      </c>
      <c r="GY45" s="60">
        <f t="shared" si="29"/>
        <v>647.43906935148379</v>
      </c>
      <c r="GZ45" s="60">
        <f ca="1">AVERAGE(OFFSET($GY$3,0,0,'Données projet'!$E$18+1,1))-AVERAGE(OFFSET($H$3,0,0,'Données projet'!$E$18+1,1))</f>
        <v>292.57482726862594</v>
      </c>
      <c r="HA45" s="60">
        <f t="shared" si="52"/>
        <v>283.48738729114024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20.399999999999999</v>
      </c>
      <c r="N46" s="14">
        <f>IF('Données projet'!$A$36&gt;35,N45+M46-V45,IF(A46&lt;'Données projet'!$A$36,$K$205^A46,IF(A46='Données projet'!$A$36,'Données projet'!$B$36,N45+M46-V45)))</f>
        <v>237.19999999999993</v>
      </c>
      <c r="O46" s="14">
        <f>N46*VLOOKUP('Données projet'!$B$9,Paramètres!$A$1:$I$89,3,0)*VLOOKUP('Données projet'!$B$9,Paramètres!$A$1:$I$89,5,0)</f>
        <v>111.00959999999996</v>
      </c>
      <c r="P46" s="14">
        <f t="shared" si="33"/>
        <v>29.568727576170897</v>
      </c>
      <c r="Q46" s="22">
        <f t="shared" si="53"/>
        <v>244.8405871951642</v>
      </c>
      <c r="R46" s="60">
        <f t="shared" si="0"/>
        <v>538.17392052849755</v>
      </c>
      <c r="S46" s="60">
        <f ca="1">AVERAGE(OFFSET($R$3,0,0,'Données projet'!$E$9+1,1))-AVERAGE(OFFSET($H$3,0,0,'Données projet'!$E$9+1,1))</f>
        <v>399.92909819003523</v>
      </c>
      <c r="T46" s="60">
        <f t="shared" si="34"/>
        <v>163.7053537268381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337.19999999999987</v>
      </c>
      <c r="AJ46" s="14">
        <f>AI46*VLOOKUP('Données projet'!$B$10,Paramètres!$A$1:$I$89,3,0)*VLOOKUP('Données projet'!$B$10,Paramètres!$A$1:$I$89,5,0)</f>
        <v>201.64559999999992</v>
      </c>
      <c r="AK46" s="14">
        <f t="shared" si="35"/>
        <v>50.105648141343046</v>
      </c>
      <c r="AL46" s="22">
        <f t="shared" si="4"/>
        <v>438.46675717950558</v>
      </c>
      <c r="AM46" s="60">
        <f t="shared" si="5"/>
        <v>731.80009051283889</v>
      </c>
      <c r="AN46" s="60">
        <f ca="1">AVERAGE(OFFSET($AM$3,0,0,'Données projet'!$E$10+1,1))-AVERAGE(OFFSET($H$3,0,0,'Données projet'!$E$10+1,1))</f>
        <v>455.43477166687273</v>
      </c>
      <c r="AO46" s="60">
        <f t="shared" si="36"/>
        <v>312.81310692672895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162.20000000000005</v>
      </c>
      <c r="BE46" s="14">
        <f>BD46*VLOOKUP('Données projet'!$B$11,Paramètres!$A$1:$I$89,3,0)*VLOOKUP('Données projet'!$B$11,Paramètres!$A$1:$I$89,5,0)</f>
        <v>146.75856000000005</v>
      </c>
      <c r="BF46" s="14">
        <f t="shared" si="37"/>
        <v>37.841022770456242</v>
      </c>
      <c r="BG46" s="22">
        <f t="shared" si="7"/>
        <v>321.51093999187805</v>
      </c>
      <c r="BH46" s="60">
        <f t="shared" si="8"/>
        <v>614.84427332521136</v>
      </c>
      <c r="BI46" s="60">
        <f ca="1">AVERAGE(OFFSET($BH$3,0,0,'Données projet'!$E$11+1,1))-AVERAGE(OFFSET($H$3,0,0,'Données projet'!$E$11+1,1))</f>
        <v>430.11660085503223</v>
      </c>
      <c r="BJ46" s="60">
        <f t="shared" si="38"/>
        <v>231.36959598460686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162.20000000000005</v>
      </c>
      <c r="BZ46" s="14">
        <f>BY46*VLOOKUP('Données projet'!$B$12,Paramètres!$A$1:$I$89,3,0)*VLOOKUP('Données projet'!$B$12,Paramètres!$A$1:$I$89,5,0)</f>
        <v>164.47080000000005</v>
      </c>
      <c r="CA46" s="14">
        <f t="shared" si="39"/>
        <v>41.849293714451377</v>
      </c>
      <c r="CB46" s="22">
        <f t="shared" si="10"/>
        <v>359.34082988600289</v>
      </c>
      <c r="CC46" s="60">
        <f t="shared" si="11"/>
        <v>652.67416321933615</v>
      </c>
      <c r="CD46" s="60">
        <f ca="1">AVERAGE(OFFSET($CC$3,0,0,'Données projet'!$E$12+1,1))-AVERAGE(OFFSET($H$3,0,0,'Données projet'!$E$12+1,1))</f>
        <v>476.8965664931755</v>
      </c>
      <c r="CE46" s="60">
        <f t="shared" si="40"/>
        <v>254.25036207346591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162.20000000000005</v>
      </c>
      <c r="CU46" s="18">
        <f>CT46*VLOOKUP('Données projet'!$B$13,Paramètres!$A$1:$I$89,3,0)*VLOOKUP('Données projet'!$B$13,Paramètres!$A$1:$I$89,5,0)</f>
        <v>156.87984000000003</v>
      </c>
      <c r="CV46" s="14">
        <f t="shared" si="41"/>
        <v>40.137950013229407</v>
      </c>
      <c r="CW46" s="22">
        <f t="shared" si="13"/>
        <v>343.13931760637462</v>
      </c>
      <c r="CX46" s="60">
        <f t="shared" si="14"/>
        <v>636.47265093970793</v>
      </c>
      <c r="CY46" s="60">
        <f ca="1">AVERAGE(OFFSET($CX$3,0,0,'Données projet'!$E$13+1,1))-AVERAGE(OFFSET($H$3,0,0,'Données projet'!$E$13+1,1))</f>
        <v>456.86147223520601</v>
      </c>
      <c r="CZ46" s="60">
        <f t="shared" si="42"/>
        <v>244.45149244446094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4.6153846153846159</v>
      </c>
      <c r="DO46" s="13">
        <f>IF('Données projet'!$A$166&gt;35,DO45+DN46-DW45,IF(A46&lt;'Données projet'!$A$166,$DL$205^A46,IF(A46='Données projet'!$A$166,'Données projet'!$B$166,DO45+DN46-DW45)))</f>
        <v>108.7179487179487</v>
      </c>
      <c r="DP46" s="18">
        <f>DO46*VLOOKUP('Données projet'!$B$14,Paramètres!$A$1:$I$89,3,0)*VLOOKUP('Données projet'!$B$14,Paramètres!$A$1:$I$89,5,0)</f>
        <v>103.45599999999999</v>
      </c>
      <c r="DQ46" s="14">
        <f t="shared" si="43"/>
        <v>27.783706740361936</v>
      </c>
      <c r="DR46" s="22">
        <f t="shared" si="16"/>
        <v>228.57582257279702</v>
      </c>
      <c r="DS46" s="60">
        <f t="shared" si="17"/>
        <v>521.90915590613031</v>
      </c>
      <c r="DT46" s="60">
        <f ca="1">AVERAGE(OFFSET($DS$3,0,0,'Données projet'!$E$14+1,1))-AVERAGE(OFFSET($H$3,0,0,'Données projet'!$E$14+1,1))</f>
        <v>300.36889324671682</v>
      </c>
      <c r="DU46" s="60">
        <f t="shared" si="44"/>
        <v>214.36051699039683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</v>
      </c>
      <c r="EJ46" s="13">
        <f>IF('Données projet'!$A$192&gt;35,EJ45+EI46-ER45,IF(A46&lt;'Données projet'!$A$192,$EG$205^A46,IF(A46='Données projet'!$A$192,'Données projet'!$B$192,EJ45+EI46-ER45)))</f>
        <v>123.99999999999996</v>
      </c>
      <c r="EK46" s="18">
        <f>EJ46*VLOOKUP('Données projet'!$B$15,Paramètres!$A$1:$I$89,3,0)*VLOOKUP('Données projet'!$B$15,Paramètres!$A$1:$I$89,5,0)</f>
        <v>108.32639999999998</v>
      </c>
      <c r="EL46" s="14">
        <f t="shared" si="45"/>
        <v>28.936320206966883</v>
      </c>
      <c r="EM46" s="22">
        <f t="shared" si="19"/>
        <v>239.06590436046727</v>
      </c>
      <c r="EN46" s="60">
        <f t="shared" si="20"/>
        <v>532.39923769380061</v>
      </c>
      <c r="EO46" s="60">
        <f ca="1">AVERAGE(OFFSET($EN$3,0,0,'Données projet'!$E$15+1,1))-AVERAGE(OFFSET($H$3,0,0,'Données projet'!$E$15+1,1))</f>
        <v>202.46844517174412</v>
      </c>
      <c r="EP46" s="60">
        <f t="shared" si="46"/>
        <v>185.00219255324515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7.1794871794871771</v>
      </c>
      <c r="FE46" s="13">
        <f>IF('Données projet'!$A$218&gt;35,FE45+FD46-FM45,IF(A46&lt;'Données projet'!$A$218,$FB$205^A46,IF(A46='Données projet'!$A$218,'Données projet'!$B$218,FE45+FD46-FM45)))</f>
        <v>215.76923076923083</v>
      </c>
      <c r="FF46" s="18">
        <f>FE46*VLOOKUP('Données projet'!$B$16,Paramètres!$A$1:$I$89,3,0)*VLOOKUP('Données projet'!$B$16,Paramètres!$A$1:$I$89,5,0)</f>
        <v>144.73800000000003</v>
      </c>
      <c r="FG46" s="14">
        <f t="shared" si="47"/>
        <v>37.38030333322336</v>
      </c>
      <c r="FH46" s="22">
        <f t="shared" si="22"/>
        <v>317.18937830536407</v>
      </c>
      <c r="FI46" s="60">
        <f t="shared" si="23"/>
        <v>610.52271163869739</v>
      </c>
      <c r="FJ46" s="60">
        <f ca="1">AVERAGE(OFFSET($FI$3,0,0,'Données projet'!$E$16+1,1))-AVERAGE(OFFSET($H$3,0,0,'Données projet'!$E$16+1,1))</f>
        <v>344.87493856469382</v>
      </c>
      <c r="FK46" s="60">
        <f t="shared" si="48"/>
        <v>261.91036689641402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>
        <f>FZ46*VLOOKUP('Données projet'!$B$17,Paramètres!$A$1:$I$89,3,0)*VLOOKUP('Données projet'!$B$17,Paramètres!$A$1:$I$89,5,0)</f>
        <v>0</v>
      </c>
      <c r="GB46" s="14" t="e">
        <f t="shared" si="49"/>
        <v>#NUM!</v>
      </c>
      <c r="GC46" s="22" t="e">
        <f t="shared" si="25"/>
        <v>#NUM!</v>
      </c>
      <c r="GD46" s="60" t="e">
        <f t="shared" si="26"/>
        <v>#NUM!</v>
      </c>
      <c r="GE46" s="60">
        <f ca="1">AVERAGE(OFFSET($GD$3,0,0,'Données projet'!$E$17+1,1))-AVERAGE(OFFSET($H$3,0,0,'Données projet'!$E$17+1,1))</f>
        <v>268.19959446602911</v>
      </c>
      <c r="GF46" s="60">
        <f t="shared" si="50"/>
        <v>691.2533336811855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111.11478557335427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111.11478557335427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11.142857142857142</v>
      </c>
      <c r="GU46" s="13">
        <f>IF('Données projet'!$A$270&gt;35,GU45+GT46-HC45,IF(A46&lt;'Données projet'!$A$270,$GR$205^A46,IF(A46='Données projet'!$A$270,'Données projet'!$B$270,GU45+GT46-HC45)))</f>
        <v>218.8571428571428</v>
      </c>
      <c r="GV46" s="18">
        <f>GU46*VLOOKUP('Données projet'!$B$18,Paramètres!$A$1:$I$89,3,0)*VLOOKUP('Données projet'!$B$18,Paramètres!$A$1:$I$89,5,0)</f>
        <v>170.70857142857139</v>
      </c>
      <c r="GW46" s="14">
        <f t="shared" si="51"/>
        <v>43.248681576985412</v>
      </c>
      <c r="GX46" s="22">
        <f t="shared" si="28"/>
        <v>372.64221565134471</v>
      </c>
      <c r="GY46" s="60">
        <f t="shared" si="29"/>
        <v>665.97554898467797</v>
      </c>
      <c r="GZ46" s="60">
        <f ca="1">AVERAGE(OFFSET($GY$3,0,0,'Données projet'!$E$18+1,1))-AVERAGE(OFFSET($H$3,0,0,'Données projet'!$E$18+1,1))</f>
        <v>292.57482726862594</v>
      </c>
      <c r="HA46" s="60">
        <f t="shared" si="52"/>
        <v>283.48738729114024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20.399999999999999</v>
      </c>
      <c r="N47" s="14">
        <f>IF('Données projet'!$A$36&gt;35,N46+M47-V46,IF(A47&lt;'Données projet'!$A$36,$K$205^A47,IF(A47='Données projet'!$A$36,'Données projet'!$B$36,N46+M47-V46)))</f>
        <v>257.59999999999991</v>
      </c>
      <c r="O47" s="14">
        <f>N47*VLOOKUP('Données projet'!$B$9,Paramètres!$A$1:$I$89,3,0)*VLOOKUP('Données projet'!$B$9,Paramètres!$A$1:$I$89,5,0)</f>
        <v>120.55679999999995</v>
      </c>
      <c r="P47" s="14">
        <f t="shared" si="33"/>
        <v>31.804828741198779</v>
      </c>
      <c r="Q47" s="22">
        <f t="shared" si="53"/>
        <v>265.36317005758775</v>
      </c>
      <c r="R47" s="60">
        <f t="shared" si="0"/>
        <v>558.69650339092107</v>
      </c>
      <c r="S47" s="60">
        <f ca="1">AVERAGE(OFFSET($R$3,0,0,'Données projet'!$E$9+1,1))-AVERAGE(OFFSET($H$3,0,0,'Données projet'!$E$9+1,1))</f>
        <v>399.92909819003523</v>
      </c>
      <c r="T47" s="60">
        <f t="shared" si="34"/>
        <v>163.7053537268381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348.59999999999985</v>
      </c>
      <c r="AJ47" s="14">
        <f>AI47*VLOOKUP('Données projet'!$B$10,Paramètres!$A$1:$I$89,3,0)*VLOOKUP('Données projet'!$B$10,Paramètres!$A$1:$I$89,5,0)</f>
        <v>208.46279999999993</v>
      </c>
      <c r="AK47" s="14">
        <f t="shared" si="35"/>
        <v>51.599525322914509</v>
      </c>
      <c r="AL47" s="22">
        <f t="shared" si="4"/>
        <v>452.94188327074266</v>
      </c>
      <c r="AM47" s="60">
        <f t="shared" si="5"/>
        <v>746.27521660407592</v>
      </c>
      <c r="AN47" s="60">
        <f ca="1">AVERAGE(OFFSET($AM$3,0,0,'Données projet'!$E$10+1,1))-AVERAGE(OFFSET($H$3,0,0,'Données projet'!$E$10+1,1))</f>
        <v>455.43477166687273</v>
      </c>
      <c r="AO47" s="60">
        <f t="shared" si="36"/>
        <v>312.81310692672895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170.60000000000005</v>
      </c>
      <c r="BE47" s="14">
        <f>BD47*VLOOKUP('Données projet'!$B$11,Paramètres!$A$1:$I$89,3,0)*VLOOKUP('Données projet'!$B$11,Paramètres!$A$1:$I$89,5,0)</f>
        <v>154.35888000000003</v>
      </c>
      <c r="BF47" s="14">
        <f t="shared" si="37"/>
        <v>39.567499286120309</v>
      </c>
      <c r="BG47" s="22">
        <f t="shared" si="7"/>
        <v>337.75511058999291</v>
      </c>
      <c r="BH47" s="60">
        <f t="shared" si="8"/>
        <v>631.08844392332617</v>
      </c>
      <c r="BI47" s="60">
        <f ca="1">AVERAGE(OFFSET($BH$3,0,0,'Données projet'!$E$11+1,1))-AVERAGE(OFFSET($H$3,0,0,'Données projet'!$E$11+1,1))</f>
        <v>430.11660085503223</v>
      </c>
      <c r="BJ47" s="60">
        <f t="shared" si="38"/>
        <v>231.36959598460686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170.60000000000005</v>
      </c>
      <c r="BZ47" s="14">
        <f>BY47*VLOOKUP('Données projet'!$B$12,Paramètres!$A$1:$I$89,3,0)*VLOOKUP('Données projet'!$B$12,Paramètres!$A$1:$I$89,5,0)</f>
        <v>172.98840000000007</v>
      </c>
      <c r="CA47" s="14">
        <f t="shared" si="39"/>
        <v>43.758645457754092</v>
      </c>
      <c r="CB47" s="22">
        <f t="shared" si="10"/>
        <v>377.50110417225511</v>
      </c>
      <c r="CC47" s="60">
        <f t="shared" si="11"/>
        <v>670.83443750558843</v>
      </c>
      <c r="CD47" s="60">
        <f ca="1">AVERAGE(OFFSET($CC$3,0,0,'Données projet'!$E$12+1,1))-AVERAGE(OFFSET($H$3,0,0,'Données projet'!$E$12+1,1))</f>
        <v>476.8965664931755</v>
      </c>
      <c r="CE47" s="60">
        <f t="shared" si="40"/>
        <v>254.25036207346591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170.60000000000005</v>
      </c>
      <c r="CU47" s="18">
        <f>CT47*VLOOKUP('Données projet'!$B$13,Paramètres!$A$1:$I$89,3,0)*VLOOKUP('Données projet'!$B$13,Paramètres!$A$1:$I$89,5,0)</f>
        <v>165.00432000000006</v>
      </c>
      <c r="CV47" s="14">
        <f t="shared" si="41"/>
        <v>41.969222611359086</v>
      </c>
      <c r="CW47" s="22">
        <f t="shared" si="13"/>
        <v>360.47892004811712</v>
      </c>
      <c r="CX47" s="60">
        <f t="shared" si="14"/>
        <v>653.81225338145043</v>
      </c>
      <c r="CY47" s="60">
        <f ca="1">AVERAGE(OFFSET($CX$3,0,0,'Données projet'!$E$13+1,1))-AVERAGE(OFFSET($H$3,0,0,'Données projet'!$E$13+1,1))</f>
        <v>456.86147223520601</v>
      </c>
      <c r="CZ47" s="60">
        <f t="shared" si="42"/>
        <v>244.45149244446094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4.6153846153846159</v>
      </c>
      <c r="DO47" s="13">
        <f>IF('Données projet'!$A$166&gt;35,DO46+DN47-DW46,IF(A47&lt;'Données projet'!$A$166,$DL$205^A47,IF(A47='Données projet'!$A$166,'Données projet'!$B$166,DO46+DN47-DW46)))</f>
        <v>113.33333333333331</v>
      </c>
      <c r="DP47" s="18">
        <f>DO47*VLOOKUP('Données projet'!$B$14,Paramètres!$A$1:$I$89,3,0)*VLOOKUP('Données projet'!$B$14,Paramètres!$A$1:$I$89,5,0)</f>
        <v>107.84799999999998</v>
      </c>
      <c r="DQ47" s="14">
        <f t="shared" si="43"/>
        <v>28.823375036693946</v>
      </c>
      <c r="DR47" s="22">
        <f t="shared" si="16"/>
        <v>238.03597818890856</v>
      </c>
      <c r="DS47" s="60">
        <f t="shared" si="17"/>
        <v>531.3693115222419</v>
      </c>
      <c r="DT47" s="60">
        <f ca="1">AVERAGE(OFFSET($DS$3,0,0,'Données projet'!$E$14+1,1))-AVERAGE(OFFSET($H$3,0,0,'Données projet'!$E$14+1,1))</f>
        <v>300.36889324671682</v>
      </c>
      <c r="DU47" s="60">
        <f t="shared" si="44"/>
        <v>214.36051699039683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</v>
      </c>
      <c r="EJ47" s="13">
        <f>IF('Données projet'!$A$192&gt;35,EJ46+EI47-ER46,IF(A47&lt;'Données projet'!$A$192,$EG$205^A47,IF(A47='Données projet'!$A$192,'Données projet'!$B$192,EJ46+EI47-ER46)))</f>
        <v>128.99999999999994</v>
      </c>
      <c r="EK47" s="18">
        <f>EJ47*VLOOKUP('Données projet'!$B$15,Paramètres!$A$1:$I$89,3,0)*VLOOKUP('Données projet'!$B$15,Paramètres!$A$1:$I$89,5,0)</f>
        <v>112.69439999999997</v>
      </c>
      <c r="EL47" s="14">
        <f t="shared" si="45"/>
        <v>29.964909381330607</v>
      </c>
      <c r="EM47" s="22">
        <f t="shared" si="19"/>
        <v>248.46496383915076</v>
      </c>
      <c r="EN47" s="60">
        <f t="shared" si="20"/>
        <v>541.79829717248413</v>
      </c>
      <c r="EO47" s="60">
        <f ca="1">AVERAGE(OFFSET($EN$3,0,0,'Données projet'!$E$15+1,1))-AVERAGE(OFFSET($H$3,0,0,'Données projet'!$E$15+1,1))</f>
        <v>202.46844517174412</v>
      </c>
      <c r="EP47" s="60">
        <f t="shared" si="46"/>
        <v>185.00219255324515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7.1794871794871771</v>
      </c>
      <c r="FE47" s="13">
        <f>IF('Données projet'!$A$218&gt;35,FE46+FD47-FM46,IF(A47&lt;'Données projet'!$A$218,$FB$205^A47,IF(A47='Données projet'!$A$218,'Données projet'!$B$218,FE46+FD47-FM46)))</f>
        <v>222.94871794871801</v>
      </c>
      <c r="FF47" s="18">
        <f>FE47*VLOOKUP('Données projet'!$B$16,Paramètres!$A$1:$I$89,3,0)*VLOOKUP('Données projet'!$B$16,Paramètres!$A$1:$I$89,5,0)</f>
        <v>149.55400000000006</v>
      </c>
      <c r="FG47" s="14">
        <f t="shared" si="47"/>
        <v>38.477212961708553</v>
      </c>
      <c r="FH47" s="22">
        <f t="shared" si="22"/>
        <v>327.48769590830915</v>
      </c>
      <c r="FI47" s="60">
        <f t="shared" si="23"/>
        <v>620.82102924164246</v>
      </c>
      <c r="FJ47" s="60">
        <f ca="1">AVERAGE(OFFSET($FI$3,0,0,'Données projet'!$E$16+1,1))-AVERAGE(OFFSET($H$3,0,0,'Données projet'!$E$16+1,1))</f>
        <v>344.87493856469382</v>
      </c>
      <c r="FK47" s="60">
        <f t="shared" si="48"/>
        <v>261.91036689641402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>
        <f>FZ47*VLOOKUP('Données projet'!$B$17,Paramètres!$A$1:$I$89,3,0)*VLOOKUP('Données projet'!$B$17,Paramètres!$A$1:$I$89,5,0)</f>
        <v>0</v>
      </c>
      <c r="GB47" s="14" t="e">
        <f t="shared" si="49"/>
        <v>#NUM!</v>
      </c>
      <c r="GC47" s="22" t="e">
        <f t="shared" si="25"/>
        <v>#NUM!</v>
      </c>
      <c r="GD47" s="60" t="e">
        <f t="shared" si="26"/>
        <v>#NUM!</v>
      </c>
      <c r="GE47" s="60">
        <f ca="1">AVERAGE(OFFSET($GD$3,0,0,'Données projet'!$E$17+1,1))-AVERAGE(OFFSET($H$3,0,0,'Données projet'!$E$17+1,1))</f>
        <v>268.19959446602911</v>
      </c>
      <c r="GF47" s="60">
        <f t="shared" si="50"/>
        <v>691.2533336811855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108.93589240158794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108.93589240158794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>
        <f>VLOOKUP(A47,'Données projet'!$A$269:$I$289,2,0)</f>
        <v>230</v>
      </c>
      <c r="GS47" s="13">
        <f>VLOOKUP(A47,'Données projet'!$A$269:$I$289,9,0)</f>
        <v>11.142857142857142</v>
      </c>
      <c r="GT47" s="13">
        <f t="array" ref="GT47">INDEX(GS:GS,MIN(IF(ISNUMBER(GS47:GS243),ROW(GS47:GS243),"")))</f>
        <v>11.142857142857142</v>
      </c>
      <c r="GU47" s="13">
        <f>IF('Données projet'!$A$270&gt;35,GU46+GT47-HC46,IF(A47&lt;'Données projet'!$A$270,$GR$205^A47,IF(A47='Données projet'!$A$270,'Données projet'!$B$270,GU46+GT47-HC46)))</f>
        <v>229.99999999999994</v>
      </c>
      <c r="GV47" s="18">
        <f>GU47*VLOOKUP('Données projet'!$B$18,Paramètres!$A$1:$I$89,3,0)*VLOOKUP('Données projet'!$B$18,Paramètres!$A$1:$I$89,5,0)</f>
        <v>179.39999999999995</v>
      </c>
      <c r="GW47" s="14">
        <f t="shared" si="51"/>
        <v>45.188671291872232</v>
      </c>
      <c r="GX47" s="22">
        <f t="shared" si="28"/>
        <v>391.15860250001066</v>
      </c>
      <c r="GY47" s="60">
        <f t="shared" si="29"/>
        <v>684.49193583334397</v>
      </c>
      <c r="GZ47" s="60">
        <f ca="1">AVERAGE(OFFSET($GY$3,0,0,'Données projet'!$E$18+1,1))-AVERAGE(OFFSET($H$3,0,0,'Données projet'!$E$18+1,1))</f>
        <v>292.57482726862594</v>
      </c>
      <c r="HA47" s="60">
        <f t="shared" si="52"/>
        <v>283.48738729114024</v>
      </c>
      <c r="HB47" s="16">
        <f>IF(ISNA(VLOOKUP(A47,'Données projet'!$A$269:$I$289,3,0)),0,VLOOKUP(A47,'Données projet'!$A$269:$I$289,3,0))</f>
        <v>4</v>
      </c>
      <c r="HC47" s="16">
        <f>IF(ISNA(VLOOKUP(A47,'Données projet'!$A$269:$I$289,4,0)),0,VLOOKUP(A47,'Données projet'!$A$269:$I$289,4,0))</f>
        <v>43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20.399999999999999</v>
      </c>
      <c r="N48" s="14">
        <f>IF('Données projet'!$A$36&gt;35,N47+M48-V47,IF(A48&lt;'Données projet'!$A$36,$K$205^A48,IF(A48='Données projet'!$A$36,'Données projet'!$B$36,N47+M48-V47)))</f>
        <v>277.99999999999989</v>
      </c>
      <c r="O48" s="14">
        <f>N48*VLOOKUP('Données projet'!$B$9,Paramètres!$A$1:$I$89,3,0)*VLOOKUP('Données projet'!$B$9,Paramètres!$A$1:$I$89,5,0)</f>
        <v>130.10399999999996</v>
      </c>
      <c r="P48" s="14">
        <f t="shared" si="33"/>
        <v>34.020389560268086</v>
      </c>
      <c r="Q48" s="22">
        <f t="shared" si="53"/>
        <v>285.84997848413349</v>
      </c>
      <c r="R48" s="60">
        <f t="shared" si="0"/>
        <v>579.1833118174668</v>
      </c>
      <c r="S48" s="60">
        <f ca="1">AVERAGE(OFFSET($R$3,0,0,'Données projet'!$E$9+1,1))-AVERAGE(OFFSET($H$3,0,0,'Données projet'!$E$9+1,1))</f>
        <v>399.92909819003523</v>
      </c>
      <c r="T48" s="60">
        <f t="shared" si="34"/>
        <v>163.7053537268381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359.99999999999983</v>
      </c>
      <c r="AJ48" s="14">
        <f>AI48*VLOOKUP('Données projet'!$B$10,Paramètres!$A$1:$I$89,3,0)*VLOOKUP('Données projet'!$B$10,Paramètres!$A$1:$I$89,5,0)</f>
        <v>215.27999999999992</v>
      </c>
      <c r="AK48" s="14">
        <f t="shared" si="35"/>
        <v>53.087725740853138</v>
      </c>
      <c r="AL48" s="22">
        <f t="shared" si="4"/>
        <v>467.4071223319857</v>
      </c>
      <c r="AM48" s="60">
        <f t="shared" si="5"/>
        <v>760.74045566531902</v>
      </c>
      <c r="AN48" s="60">
        <f ca="1">AVERAGE(OFFSET($AM$3,0,0,'Données projet'!$E$10+1,1))-AVERAGE(OFFSET($H$3,0,0,'Données projet'!$E$10+1,1))</f>
        <v>455.43477166687273</v>
      </c>
      <c r="AO48" s="60">
        <f t="shared" si="36"/>
        <v>312.81310692672895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179.00000000000006</v>
      </c>
      <c r="BE48" s="14">
        <f>BD48*VLOOKUP('Données projet'!$B$11,Paramètres!$A$1:$I$89,3,0)*VLOOKUP('Données projet'!$B$11,Paramètres!$A$1:$I$89,5,0)</f>
        <v>161.95920000000004</v>
      </c>
      <c r="BF48" s="14">
        <f t="shared" si="37"/>
        <v>41.284104935125725</v>
      </c>
      <c r="BG48" s="22">
        <f t="shared" si="7"/>
        <v>353.9820894286774</v>
      </c>
      <c r="BH48" s="60">
        <f t="shared" si="8"/>
        <v>647.31542276201071</v>
      </c>
      <c r="BI48" s="60">
        <f ca="1">AVERAGE(OFFSET($BH$3,0,0,'Données projet'!$E$11+1,1))-AVERAGE(OFFSET($H$3,0,0,'Données projet'!$E$11+1,1))</f>
        <v>430.11660085503223</v>
      </c>
      <c r="BJ48" s="60">
        <f t="shared" si="38"/>
        <v>231.36959598460686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179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179.00000000000006</v>
      </c>
      <c r="BZ48" s="14">
        <f>BY48*VLOOKUP('Données projet'!$B$12,Paramètres!$A$1:$I$89,3,0)*VLOOKUP('Données projet'!$B$12,Paramètres!$A$1:$I$89,5,0)</f>
        <v>181.50600000000006</v>
      </c>
      <c r="CA48" s="14">
        <f t="shared" si="39"/>
        <v>45.657080773122978</v>
      </c>
      <c r="CB48" s="22">
        <f t="shared" si="10"/>
        <v>395.64236567985591</v>
      </c>
      <c r="CC48" s="60">
        <f t="shared" si="11"/>
        <v>688.97569901318923</v>
      </c>
      <c r="CD48" s="60">
        <f ca="1">AVERAGE(OFFSET($CC$3,0,0,'Données projet'!$E$12+1,1))-AVERAGE(OFFSET($H$3,0,0,'Données projet'!$E$12+1,1))</f>
        <v>476.8965664931755</v>
      </c>
      <c r="CE48" s="60">
        <f t="shared" si="40"/>
        <v>254.25036207346591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179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179.00000000000006</v>
      </c>
      <c r="CU48" s="18">
        <f>CT48*VLOOKUP('Données projet'!$B$13,Paramètres!$A$1:$I$89,3,0)*VLOOKUP('Données projet'!$B$13,Paramètres!$A$1:$I$89,5,0)</f>
        <v>173.12880000000007</v>
      </c>
      <c r="CV48" s="14">
        <f t="shared" si="41"/>
        <v>43.790025187181634</v>
      </c>
      <c r="CW48" s="22">
        <f t="shared" si="13"/>
        <v>377.80028720100813</v>
      </c>
      <c r="CX48" s="60">
        <f t="shared" si="14"/>
        <v>671.13362053434139</v>
      </c>
      <c r="CY48" s="60">
        <f ca="1">AVERAGE(OFFSET($CX$3,0,0,'Données projet'!$E$13+1,1))-AVERAGE(OFFSET($H$3,0,0,'Données projet'!$E$13+1,1))</f>
        <v>456.86147223520601</v>
      </c>
      <c r="CZ48" s="60">
        <f t="shared" si="42"/>
        <v>244.45149244446094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117.94871794871794</v>
      </c>
      <c r="DM48" s="13">
        <f>VLOOKUP(A48,'Données projet'!$A$165:$I$185,9,0)</f>
        <v>4.6153846153846159</v>
      </c>
      <c r="DN48" s="13">
        <f t="array" ref="DN48">INDEX(DM:DM,MIN(IF(ISNUMBER(DM48:DM244),ROW(DM48:DM244),"")))</f>
        <v>4.6153846153846159</v>
      </c>
      <c r="DO48" s="13">
        <f>IF('Données projet'!$A$166&gt;35,DO47+DN48-DW47,IF(A48&lt;'Données projet'!$A$166,$DL$205^A48,IF(A48='Données projet'!$A$166,'Données projet'!$B$166,DO47+DN48-DW47)))</f>
        <v>117.94871794871793</v>
      </c>
      <c r="DP48" s="18">
        <f>DO48*VLOOKUP('Données projet'!$B$14,Paramètres!$A$1:$I$89,3,0)*VLOOKUP('Données projet'!$B$14,Paramètres!$A$1:$I$89,5,0)</f>
        <v>112.23999999999997</v>
      </c>
      <c r="DQ48" s="14">
        <f t="shared" si="43"/>
        <v>29.858125249686793</v>
      </c>
      <c r="DR48" s="22">
        <f t="shared" si="16"/>
        <v>247.48756814320438</v>
      </c>
      <c r="DS48" s="60">
        <f t="shared" si="17"/>
        <v>540.82090147653776</v>
      </c>
      <c r="DT48" s="60">
        <f ca="1">AVERAGE(OFFSET($DS$3,0,0,'Données projet'!$E$14+1,1))-AVERAGE(OFFSET($H$3,0,0,'Données projet'!$E$14+1,1))</f>
        <v>300.36889324671682</v>
      </c>
      <c r="DU48" s="60">
        <f t="shared" si="44"/>
        <v>214.36051699039683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134</v>
      </c>
      <c r="EH48" s="13">
        <f>VLOOKUP(A48,'Données projet'!$A$191:$I$211,9,0)</f>
        <v>5</v>
      </c>
      <c r="EI48" s="13">
        <f t="array" ref="EI48">INDEX(EH:EH,MIN(IF(ISNUMBER(EH48:EH244),ROW(EH48:EH244),"")))</f>
        <v>5</v>
      </c>
      <c r="EJ48" s="13">
        <f>IF('Données projet'!$A$192&gt;35,EJ47+EI48-ER47,IF(A48&lt;'Données projet'!$A$192,$EG$205^A48,IF(A48='Données projet'!$A$192,'Données projet'!$B$192,EJ47+EI48-ER47)))</f>
        <v>133.99999999999994</v>
      </c>
      <c r="EK48" s="18">
        <f>EJ48*VLOOKUP('Données projet'!$B$15,Paramètres!$A$1:$I$89,3,0)*VLOOKUP('Données projet'!$B$15,Paramètres!$A$1:$I$89,5,0)</f>
        <v>117.06239999999997</v>
      </c>
      <c r="EL48" s="14">
        <f t="shared" si="45"/>
        <v>30.988867171899123</v>
      </c>
      <c r="EM48" s="22">
        <f t="shared" si="19"/>
        <v>257.85595699105755</v>
      </c>
      <c r="EN48" s="60">
        <f t="shared" si="20"/>
        <v>551.18929032439087</v>
      </c>
      <c r="EO48" s="60">
        <f ca="1">AVERAGE(OFFSET($EN$3,0,0,'Données projet'!$E$15+1,1))-AVERAGE(OFFSET($H$3,0,0,'Données projet'!$E$15+1,1))</f>
        <v>202.46844517174412</v>
      </c>
      <c r="EP48" s="60">
        <f t="shared" si="46"/>
        <v>185.00219255324515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230.12820512820511</v>
      </c>
      <c r="FC48" s="13">
        <f>VLOOKUP(A48,'Données projet'!$A$217:$I$237,9,0)</f>
        <v>7.1794871794871771</v>
      </c>
      <c r="FD48" s="13">
        <f t="array" ref="FD48">INDEX(FC:FC,MIN(IF(ISNUMBER(FC48:FC244),ROW(FC48:FC244),"")))</f>
        <v>7.1794871794871771</v>
      </c>
      <c r="FE48" s="13">
        <f>IF('Données projet'!$A$218&gt;35,FE47+FD48-FM47,IF(A48&lt;'Données projet'!$A$218,$FB$205^A48,IF(A48='Données projet'!$A$218,'Données projet'!$B$218,FE47+FD48-FM47)))</f>
        <v>230.1282051282052</v>
      </c>
      <c r="FF48" s="18">
        <f>FE48*VLOOKUP('Données projet'!$B$16,Paramètres!$A$1:$I$89,3,0)*VLOOKUP('Données projet'!$B$16,Paramètres!$A$1:$I$89,5,0)</f>
        <v>154.37000000000006</v>
      </c>
      <c r="FG48" s="14">
        <f t="shared" si="47"/>
        <v>39.570017923578433</v>
      </c>
      <c r="FH48" s="22">
        <f t="shared" si="22"/>
        <v>337.77886455023253</v>
      </c>
      <c r="FI48" s="60">
        <f t="shared" si="23"/>
        <v>631.11219788356584</v>
      </c>
      <c r="FJ48" s="60">
        <f ca="1">AVERAGE(OFFSET($FI$3,0,0,'Données projet'!$E$16+1,1))-AVERAGE(OFFSET($H$3,0,0,'Données projet'!$E$16+1,1))</f>
        <v>344.87493856469382</v>
      </c>
      <c r="FK48" s="60">
        <f t="shared" si="48"/>
        <v>261.91036689641402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36.53846153846154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>
        <f>FZ48*VLOOKUP('Données projet'!$B$17,Paramètres!$A$1:$I$89,3,0)*VLOOKUP('Données projet'!$B$17,Paramètres!$A$1:$I$89,5,0)</f>
        <v>0</v>
      </c>
      <c r="GB48" s="14" t="e">
        <f t="shared" si="49"/>
        <v>#NUM!</v>
      </c>
      <c r="GC48" s="22" t="e">
        <f t="shared" si="25"/>
        <v>#NUM!</v>
      </c>
      <c r="GD48" s="60" t="e">
        <f t="shared" si="26"/>
        <v>#NUM!</v>
      </c>
      <c r="GE48" s="60">
        <f ca="1">AVERAGE(OFFSET($GD$3,0,0,'Données projet'!$E$17+1,1))-AVERAGE(OFFSET($H$3,0,0,'Données projet'!$E$17+1,1))</f>
        <v>268.19959446602911</v>
      </c>
      <c r="GF48" s="60">
        <f t="shared" si="50"/>
        <v>691.2533336811855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106.79972599592632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106.79972599592632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10.375</v>
      </c>
      <c r="GU48" s="13">
        <f>IF('Données projet'!$A$270&gt;35,GU47+GT48-HC47,IF(A48&lt;'Données projet'!$A$270,$GR$205^A48,IF(A48='Données projet'!$A$270,'Données projet'!$B$270,GU47+GT48-HC47)))</f>
        <v>197.37499999999994</v>
      </c>
      <c r="GV48" s="18">
        <f>GU48*VLOOKUP('Données projet'!$B$18,Paramètres!$A$1:$I$89,3,0)*VLOOKUP('Données projet'!$B$18,Paramètres!$A$1:$I$89,5,0)</f>
        <v>153.95249999999996</v>
      </c>
      <c r="GW48" s="14">
        <f t="shared" si="51"/>
        <v>39.475441267837397</v>
      </c>
      <c r="GX48" s="22">
        <f t="shared" si="28"/>
        <v>336.88699770815003</v>
      </c>
      <c r="GY48" s="60">
        <f t="shared" si="29"/>
        <v>630.2203310414834</v>
      </c>
      <c r="GZ48" s="60">
        <f ca="1">AVERAGE(OFFSET($GY$3,0,0,'Données projet'!$E$18+1,1))-AVERAGE(OFFSET($H$3,0,0,'Données projet'!$E$18+1,1))</f>
        <v>292.57482726862594</v>
      </c>
      <c r="HA48" s="60">
        <f t="shared" si="52"/>
        <v>283.48738729114024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298.39999999999986</v>
      </c>
      <c r="O49" s="14">
        <f>N49*VLOOKUP('Données projet'!$B$9,Paramètres!$A$1:$I$89,3,0)*VLOOKUP('Données projet'!$B$9,Paramètres!$A$1:$I$89,5,0)</f>
        <v>139.65119999999993</v>
      </c>
      <c r="P49" s="14">
        <f t="shared" si="33"/>
        <v>36.217088715919452</v>
      </c>
      <c r="Q49" s="22">
        <f t="shared" si="53"/>
        <v>306.30393618022629</v>
      </c>
      <c r="R49" s="60">
        <f t="shared" si="0"/>
        <v>599.63726951355966</v>
      </c>
      <c r="S49" s="60">
        <f ca="1">AVERAGE(OFFSET($R$3,0,0,'Données projet'!$E$9+1,1))-AVERAGE(OFFSET($H$3,0,0,'Données projet'!$E$9+1,1))</f>
        <v>399.92909819003523</v>
      </c>
      <c r="T49" s="60">
        <f t="shared" si="34"/>
        <v>163.7053537268381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11.4</v>
      </c>
      <c r="AI49" s="14">
        <f>IF('Données projet'!$A$62&gt;35,AI48+AH49-AQ48,IF(A49&lt;'Données projet'!$A$62,$AF$205^A49,IF(A49='Données projet'!$A$62,'Données projet'!$B$62,AI48+AH49-AQ48)))</f>
        <v>371.39999999999981</v>
      </c>
      <c r="AJ49" s="14">
        <f>AI49*VLOOKUP('Données projet'!$B$10,Paramètres!$A$1:$I$89,3,0)*VLOOKUP('Données projet'!$B$10,Paramètres!$A$1:$I$89,5,0)</f>
        <v>222.0971999999999</v>
      </c>
      <c r="AK49" s="14">
        <f t="shared" si="35"/>
        <v>54.570449782445664</v>
      </c>
      <c r="AL49" s="22">
        <f t="shared" si="4"/>
        <v>481.86282337109265</v>
      </c>
      <c r="AM49" s="60">
        <f t="shared" si="5"/>
        <v>775.1961567044259</v>
      </c>
      <c r="AN49" s="60">
        <f ca="1">AVERAGE(OFFSET($AM$3,0,0,'Données projet'!$E$10+1,1))-AVERAGE(OFFSET($H$3,0,0,'Données projet'!$E$10+1,1))</f>
        <v>455.43477166687273</v>
      </c>
      <c r="AO49" s="60">
        <f t="shared" si="36"/>
        <v>312.81310692672895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131.37696000000003</v>
      </c>
      <c r="BF49" s="14">
        <f t="shared" si="37"/>
        <v>34.314338988223334</v>
      </c>
      <c r="BG49" s="22">
        <f t="shared" si="7"/>
        <v>288.57901240448905</v>
      </c>
      <c r="BH49" s="60">
        <f t="shared" si="8"/>
        <v>581.91234573782231</v>
      </c>
      <c r="BI49" s="60">
        <f ca="1">AVERAGE(OFFSET($BH$3,0,0,'Données projet'!$E$11+1,1))-AVERAGE(OFFSET($H$3,0,0,'Données projet'!$E$11+1,1))</f>
        <v>430.11660085503223</v>
      </c>
      <c r="BJ49" s="60">
        <f t="shared" si="38"/>
        <v>231.36959598460686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projet'!$B$12,Paramètres!$A$1:$I$89,3,0)*VLOOKUP('Données projet'!$B$12,Paramètres!$A$1:$I$89,5,0)</f>
        <v>147.23280000000005</v>
      </c>
      <c r="CA49" s="14">
        <f t="shared" si="39"/>
        <v>37.949049623906205</v>
      </c>
      <c r="CB49" s="22">
        <f t="shared" si="10"/>
        <v>322.52505476163668</v>
      </c>
      <c r="CC49" s="60">
        <f t="shared" si="11"/>
        <v>615.85838809497</v>
      </c>
      <c r="CD49" s="60">
        <f ca="1">AVERAGE(OFFSET($CC$3,0,0,'Données projet'!$E$12+1,1))-AVERAGE(OFFSET($H$3,0,0,'Données projet'!$E$12+1,1))</f>
        <v>476.8965664931755</v>
      </c>
      <c r="CE49" s="60">
        <f t="shared" si="40"/>
        <v>254.25036207346591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145.20000000000005</v>
      </c>
      <c r="CU49" s="18">
        <f>CT49*VLOOKUP('Données projet'!$B$13,Paramètres!$A$1:$I$89,3,0)*VLOOKUP('Données projet'!$B$13,Paramètres!$A$1:$I$89,5,0)</f>
        <v>140.43744000000004</v>
      </c>
      <c r="CV49" s="14">
        <f t="shared" si="41"/>
        <v>36.397198653986358</v>
      </c>
      <c r="CW49" s="22">
        <f t="shared" si="13"/>
        <v>307.98699565569297</v>
      </c>
      <c r="CX49" s="60">
        <f t="shared" si="14"/>
        <v>601.32032898902628</v>
      </c>
      <c r="CY49" s="60">
        <f ca="1">AVERAGE(OFFSET($CX$3,0,0,'Données projet'!$E$13+1,1))-AVERAGE(OFFSET($H$3,0,0,'Données projet'!$E$13+1,1))</f>
        <v>456.86147223520601</v>
      </c>
      <c r="CZ49" s="60">
        <f t="shared" si="42"/>
        <v>244.45149244446094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4.6153846153846159</v>
      </c>
      <c r="DO49" s="13">
        <f>IF('Données projet'!$A$166&gt;35,DO48+DN49-DW48,IF(A49&lt;'Données projet'!$A$166,$DL$205^A49,IF(A49='Données projet'!$A$166,'Données projet'!$B$166,DO48+DN49-DW48)))</f>
        <v>122.56410256410254</v>
      </c>
      <c r="DP49" s="18">
        <f>DO49*VLOOKUP('Données projet'!$B$14,Paramètres!$A$1:$I$89,3,0)*VLOOKUP('Données projet'!$B$14,Paramètres!$A$1:$I$89,5,0)</f>
        <v>116.63199999999998</v>
      </c>
      <c r="DQ49" s="14">
        <f t="shared" si="43"/>
        <v>30.88817184981885</v>
      </c>
      <c r="DR49" s="22">
        <f t="shared" si="16"/>
        <v>256.93096597176776</v>
      </c>
      <c r="DS49" s="60">
        <f t="shared" si="17"/>
        <v>550.26429930510108</v>
      </c>
      <c r="DT49" s="60">
        <f ca="1">AVERAGE(OFFSET($DS$3,0,0,'Données projet'!$E$14+1,1))-AVERAGE(OFFSET($H$3,0,0,'Données projet'!$E$14+1,1))</f>
        <v>300.36889324671682</v>
      </c>
      <c r="DU49" s="60">
        <f t="shared" si="44"/>
        <v>214.36051699039683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4.2</v>
      </c>
      <c r="EJ49" s="13">
        <f>IF('Données projet'!$A$192&gt;35,EJ48+EI49-ER48,IF(A49&lt;'Données projet'!$A$192,$EG$205^A49,IF(A49='Données projet'!$A$192,'Données projet'!$B$192,EJ48+EI49-ER48)))</f>
        <v>110.19999999999993</v>
      </c>
      <c r="EK49" s="18">
        <f>EJ49*VLOOKUP('Données projet'!$B$15,Paramètres!$A$1:$I$89,3,0)*VLOOKUP('Données projet'!$B$15,Paramètres!$A$1:$I$89,5,0)</f>
        <v>96.270719999999955</v>
      </c>
      <c r="EL49" s="14">
        <f t="shared" si="45"/>
        <v>26.071592384845928</v>
      </c>
      <c r="EM49" s="22">
        <f t="shared" si="19"/>
        <v>213.07952740360656</v>
      </c>
      <c r="EN49" s="60">
        <f t="shared" si="20"/>
        <v>506.41286073693988</v>
      </c>
      <c r="EO49" s="60">
        <f ca="1">AVERAGE(OFFSET($EN$3,0,0,'Données projet'!$E$15+1,1))-AVERAGE(OFFSET($H$3,0,0,'Données projet'!$E$15+1,1))</f>
        <v>202.46844517174412</v>
      </c>
      <c r="EP49" s="60">
        <f t="shared" si="46"/>
        <v>185.00219255324515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6.6666666666666687</v>
      </c>
      <c r="FE49" s="13">
        <f>IF('Données projet'!$A$218&gt;35,FE48+FD49-FM48,IF(A49&lt;'Données projet'!$A$218,$FB$205^A49,IF(A49='Données projet'!$A$218,'Données projet'!$B$218,FE48+FD49-FM48)))</f>
        <v>200.25641025641031</v>
      </c>
      <c r="FF49" s="18">
        <f>FE49*VLOOKUP('Données projet'!$B$16,Paramètres!$A$1:$I$89,3,0)*VLOOKUP('Données projet'!$B$16,Paramètres!$A$1:$I$89,5,0)</f>
        <v>134.33200000000002</v>
      </c>
      <c r="FG49" s="14">
        <f t="shared" si="47"/>
        <v>34.995439661065326</v>
      </c>
      <c r="FH49" s="22">
        <f t="shared" si="22"/>
        <v>294.9119574096888</v>
      </c>
      <c r="FI49" s="60">
        <f t="shared" si="23"/>
        <v>588.24529074302211</v>
      </c>
      <c r="FJ49" s="60">
        <f ca="1">AVERAGE(OFFSET($FI$3,0,0,'Données projet'!$E$16+1,1))-AVERAGE(OFFSET($H$3,0,0,'Données projet'!$E$16+1,1))</f>
        <v>344.87493856469382</v>
      </c>
      <c r="FK49" s="60">
        <f t="shared" si="48"/>
        <v>261.91036689641402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>
        <f>FZ49*VLOOKUP('Données projet'!$B$17,Paramètres!$A$1:$I$89,3,0)*VLOOKUP('Données projet'!$B$17,Paramètres!$A$1:$I$89,5,0)</f>
        <v>0</v>
      </c>
      <c r="GB49" s="14" t="e">
        <f t="shared" si="49"/>
        <v>#NUM!</v>
      </c>
      <c r="GC49" s="22" t="e">
        <f t="shared" si="25"/>
        <v>#NUM!</v>
      </c>
      <c r="GD49" s="60" t="e">
        <f t="shared" si="26"/>
        <v>#NUM!</v>
      </c>
      <c r="GE49" s="60">
        <f ca="1">AVERAGE(OFFSET($GD$3,0,0,'Données projet'!$E$17+1,1))-AVERAGE(OFFSET($H$3,0,0,'Données projet'!$E$17+1,1))</f>
        <v>268.19959446602911</v>
      </c>
      <c r="GF49" s="60">
        <f t="shared" si="50"/>
        <v>691.2533336811855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104.70544851054689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104.70544851054689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10.375</v>
      </c>
      <c r="GU49" s="13">
        <f>IF('Données projet'!$A$270&gt;35,GU48+GT49-HC48,IF(A49&lt;'Données projet'!$A$270,$GR$205^A49,IF(A49='Données projet'!$A$270,'Données projet'!$B$270,GU48+GT49-HC48)))</f>
        <v>207.74999999999994</v>
      </c>
      <c r="GV49" s="18">
        <f>GU49*VLOOKUP('Données projet'!$B$18,Paramètres!$A$1:$I$89,3,0)*VLOOKUP('Données projet'!$B$18,Paramètres!$A$1:$I$89,5,0)</f>
        <v>162.04499999999996</v>
      </c>
      <c r="GW49" s="14">
        <f t="shared" si="51"/>
        <v>41.303429372463391</v>
      </c>
      <c r="GX49" s="22">
        <f t="shared" si="28"/>
        <v>354.16518115704031</v>
      </c>
      <c r="GY49" s="60">
        <f t="shared" si="29"/>
        <v>647.49851449037362</v>
      </c>
      <c r="GZ49" s="60">
        <f ca="1">AVERAGE(OFFSET($GY$3,0,0,'Données projet'!$E$18+1,1))-AVERAGE(OFFSET($H$3,0,0,'Données projet'!$E$18+1,1))</f>
        <v>292.57482726862594</v>
      </c>
      <c r="HA49" s="60">
        <f t="shared" si="52"/>
        <v>283.48738729114024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318.79999999999984</v>
      </c>
      <c r="O50" s="14">
        <f>N50*VLOOKUP('Données projet'!$B$9,Paramètres!$A$1:$I$89,3,0)*VLOOKUP('Données projet'!$B$9,Paramètres!$A$1:$I$89,5,0)</f>
        <v>149.19839999999994</v>
      </c>
      <c r="P50" s="14">
        <f t="shared" si="33"/>
        <v>38.396362373864498</v>
      </c>
      <c r="Q50" s="22">
        <f t="shared" si="53"/>
        <v>326.72754446781386</v>
      </c>
      <c r="R50" s="60">
        <f t="shared" si="0"/>
        <v>620.06087780114717</v>
      </c>
      <c r="S50" s="60">
        <f ca="1">AVERAGE(OFFSET($R$3,0,0,'Données projet'!$E$9+1,1))-AVERAGE(OFFSET($H$3,0,0,'Données projet'!$E$9+1,1))</f>
        <v>399.92909819003523</v>
      </c>
      <c r="T50" s="60">
        <f t="shared" si="34"/>
        <v>163.7053537268381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11.4</v>
      </c>
      <c r="AI50" s="14">
        <f>IF('Données projet'!$A$62&gt;35,AI49+AH50-AQ49,IF(A50&lt;'Données projet'!$A$62,$AF$205^A50,IF(A50='Données projet'!$A$62,'Données projet'!$B$62,AI49+AH50-AQ49)))</f>
        <v>382.79999999999978</v>
      </c>
      <c r="AJ50" s="14">
        <f>AI50*VLOOKUP('Données projet'!$B$10,Paramètres!$A$1:$I$89,3,0)*VLOOKUP('Données projet'!$B$10,Paramètres!$A$1:$I$89,5,0)</f>
        <v>228.91439999999989</v>
      </c>
      <c r="AK50" s="14">
        <f t="shared" si="35"/>
        <v>56.047884834417424</v>
      </c>
      <c r="AL50" s="22">
        <f t="shared" si="4"/>
        <v>496.30931275327674</v>
      </c>
      <c r="AM50" s="60">
        <f t="shared" si="5"/>
        <v>789.64264608661006</v>
      </c>
      <c r="AN50" s="60">
        <f ca="1">AVERAGE(OFFSET($AM$3,0,0,'Données projet'!$E$10+1,1))-AVERAGE(OFFSET($H$3,0,0,'Données projet'!$E$10+1,1))</f>
        <v>455.43477166687273</v>
      </c>
      <c r="AO50" s="60">
        <f t="shared" si="36"/>
        <v>312.81310692672895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138.79632000000001</v>
      </c>
      <c r="BF50" s="14">
        <f t="shared" si="37"/>
        <v>36.021120886354588</v>
      </c>
      <c r="BG50" s="22">
        <f t="shared" si="7"/>
        <v>304.47370954373423</v>
      </c>
      <c r="BH50" s="60">
        <f t="shared" si="8"/>
        <v>597.80704287706749</v>
      </c>
      <c r="BI50" s="60">
        <f ca="1">AVERAGE(OFFSET($BH$3,0,0,'Données projet'!$E$11+1,1))-AVERAGE(OFFSET($H$3,0,0,'Données projet'!$E$11+1,1))</f>
        <v>430.11660085503223</v>
      </c>
      <c r="BJ50" s="60">
        <f t="shared" si="38"/>
        <v>231.36959598460686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projet'!$B$12,Paramètres!$A$1:$I$89,3,0)*VLOOKUP('Données projet'!$B$12,Paramètres!$A$1:$I$89,5,0)</f>
        <v>155.54760000000005</v>
      </c>
      <c r="CA50" s="14">
        <f t="shared" si="39"/>
        <v>39.836620617816237</v>
      </c>
      <c r="CB50" s="22">
        <f t="shared" si="10"/>
        <v>340.29418424269664</v>
      </c>
      <c r="CC50" s="60">
        <f t="shared" si="11"/>
        <v>633.62751757602996</v>
      </c>
      <c r="CD50" s="60">
        <f ca="1">AVERAGE(OFFSET($CC$3,0,0,'Données projet'!$E$12+1,1))-AVERAGE(OFFSET($H$3,0,0,'Données projet'!$E$12+1,1))</f>
        <v>476.8965664931755</v>
      </c>
      <c r="CE50" s="60">
        <f t="shared" si="40"/>
        <v>254.25036207346591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153.40000000000003</v>
      </c>
      <c r="CU50" s="18">
        <f>CT50*VLOOKUP('Données projet'!$B$13,Paramètres!$A$1:$I$89,3,0)*VLOOKUP('Données projet'!$B$13,Paramètres!$A$1:$I$89,5,0)</f>
        <v>148.36848000000003</v>
      </c>
      <c r="CV50" s="14">
        <f t="shared" si="41"/>
        <v>38.207581183185901</v>
      </c>
      <c r="CW50" s="22">
        <f t="shared" si="13"/>
        <v>324.95330656071548</v>
      </c>
      <c r="CX50" s="60">
        <f t="shared" si="14"/>
        <v>618.28663989404879</v>
      </c>
      <c r="CY50" s="60">
        <f ca="1">AVERAGE(OFFSET($CX$3,0,0,'Données projet'!$E$13+1,1))-AVERAGE(OFFSET($H$3,0,0,'Données projet'!$E$13+1,1))</f>
        <v>456.86147223520601</v>
      </c>
      <c r="CZ50" s="60">
        <f t="shared" si="42"/>
        <v>244.45149244446094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4.6153846153846159</v>
      </c>
      <c r="DO50" s="13">
        <f>IF('Données projet'!$A$166&gt;35,DO49+DN50-DW49,IF(A50&lt;'Données projet'!$A$166,$DL$205^A50,IF(A50='Données projet'!$A$166,'Données projet'!$B$166,DO49+DN50-DW49)))</f>
        <v>127.17948717948715</v>
      </c>
      <c r="DP50" s="18">
        <f>DO50*VLOOKUP('Données projet'!$B$14,Paramètres!$A$1:$I$89,3,0)*VLOOKUP('Données projet'!$B$14,Paramètres!$A$1:$I$89,5,0)</f>
        <v>121.02399999999997</v>
      </c>
      <c r="DQ50" s="14">
        <f t="shared" si="43"/>
        <v>31.913712239983617</v>
      </c>
      <c r="DR50" s="22">
        <f t="shared" si="16"/>
        <v>266.36651548463811</v>
      </c>
      <c r="DS50" s="60">
        <f t="shared" si="17"/>
        <v>559.69984881797143</v>
      </c>
      <c r="DT50" s="60">
        <f ca="1">AVERAGE(OFFSET($DS$3,0,0,'Données projet'!$E$14+1,1))-AVERAGE(OFFSET($H$3,0,0,'Données projet'!$E$14+1,1))</f>
        <v>300.36889324671682</v>
      </c>
      <c r="DU50" s="60">
        <f t="shared" si="44"/>
        <v>214.36051699039683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4.2</v>
      </c>
      <c r="EJ50" s="13">
        <f>IF('Données projet'!$A$192&gt;35,EJ49+EI50-ER49,IF(A50&lt;'Données projet'!$A$192,$EG$205^A50,IF(A50='Données projet'!$A$192,'Données projet'!$B$192,EJ49+EI50-ER49)))</f>
        <v>114.39999999999993</v>
      </c>
      <c r="EK50" s="18">
        <f>EJ50*VLOOKUP('Données projet'!$B$15,Paramètres!$A$1:$I$89,3,0)*VLOOKUP('Données projet'!$B$15,Paramètres!$A$1:$I$89,5,0)</f>
        <v>99.939839999999947</v>
      </c>
      <c r="EL50" s="14">
        <f t="shared" si="45"/>
        <v>26.947664756006503</v>
      </c>
      <c r="EM50" s="22">
        <f t="shared" si="19"/>
        <v>220.99573745004457</v>
      </c>
      <c r="EN50" s="60">
        <f t="shared" si="20"/>
        <v>514.32907078337792</v>
      </c>
      <c r="EO50" s="60">
        <f ca="1">AVERAGE(OFFSET($EN$3,0,0,'Données projet'!$E$15+1,1))-AVERAGE(OFFSET($H$3,0,0,'Données projet'!$E$15+1,1))</f>
        <v>202.46844517174412</v>
      </c>
      <c r="EP50" s="60">
        <f t="shared" si="46"/>
        <v>185.00219255324515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6.6666666666666687</v>
      </c>
      <c r="FE50" s="13">
        <f>IF('Données projet'!$A$218&gt;35,FE49+FD50-FM49,IF(A50&lt;'Données projet'!$A$218,$FB$205^A50,IF(A50='Données projet'!$A$218,'Données projet'!$B$218,FE49+FD50-FM49)))</f>
        <v>206.92307692307696</v>
      </c>
      <c r="FF50" s="18">
        <f>FE50*VLOOKUP('Données projet'!$B$16,Paramètres!$A$1:$I$89,3,0)*VLOOKUP('Données projet'!$B$16,Paramètres!$A$1:$I$89,5,0)</f>
        <v>138.80400000000003</v>
      </c>
      <c r="FG50" s="14">
        <f t="shared" si="47"/>
        <v>36.022882030080694</v>
      </c>
      <c r="FH50" s="22">
        <f t="shared" si="22"/>
        <v>304.49015286905723</v>
      </c>
      <c r="FI50" s="60">
        <f t="shared" si="23"/>
        <v>597.82348620239054</v>
      </c>
      <c r="FJ50" s="60">
        <f ca="1">AVERAGE(OFFSET($FI$3,0,0,'Données projet'!$E$16+1,1))-AVERAGE(OFFSET($H$3,0,0,'Données projet'!$E$16+1,1))</f>
        <v>344.87493856469382</v>
      </c>
      <c r="FK50" s="60">
        <f t="shared" si="48"/>
        <v>261.91036689641402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>
        <f>FZ50*VLOOKUP('Données projet'!$B$17,Paramètres!$A$1:$I$89,3,0)*VLOOKUP('Données projet'!$B$17,Paramètres!$A$1:$I$89,5,0)</f>
        <v>0</v>
      </c>
      <c r="GB50" s="14" t="e">
        <f t="shared" si="49"/>
        <v>#NUM!</v>
      </c>
      <c r="GC50" s="22" t="e">
        <f t="shared" si="25"/>
        <v>#NUM!</v>
      </c>
      <c r="GD50" s="60" t="e">
        <f t="shared" si="26"/>
        <v>#NUM!</v>
      </c>
      <c r="GE50" s="60">
        <f ca="1">AVERAGE(OFFSET($GD$3,0,0,'Données projet'!$E$17+1,1))-AVERAGE(OFFSET($H$3,0,0,'Données projet'!$E$17+1,1))</f>
        <v>268.19959446602911</v>
      </c>
      <c r="GF50" s="60">
        <f t="shared" si="50"/>
        <v>691.2533336811855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102.65223852927261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102.65223852927261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10.375</v>
      </c>
      <c r="GU50" s="13">
        <f>IF('Données projet'!$A$270&gt;35,GU49+GT50-HC49,IF(A50&lt;'Données projet'!$A$270,$GR$205^A50,IF(A50='Données projet'!$A$270,'Données projet'!$B$270,GU49+GT50-HC49)))</f>
        <v>218.12499999999994</v>
      </c>
      <c r="GV50" s="18">
        <f>GU50*VLOOKUP('Données projet'!$B$18,Paramètres!$A$1:$I$89,3,0)*VLOOKUP('Données projet'!$B$18,Paramètres!$A$1:$I$89,5,0)</f>
        <v>170.13749999999996</v>
      </c>
      <c r="GW50" s="14">
        <f t="shared" si="51"/>
        <v>43.120817562072411</v>
      </c>
      <c r="GX50" s="22">
        <f t="shared" si="28"/>
        <v>371.42490308727605</v>
      </c>
      <c r="GY50" s="60">
        <f t="shared" si="29"/>
        <v>664.75823642060936</v>
      </c>
      <c r="GZ50" s="60">
        <f ca="1">AVERAGE(OFFSET($GY$3,0,0,'Données projet'!$E$18+1,1))-AVERAGE(OFFSET($H$3,0,0,'Données projet'!$E$18+1,1))</f>
        <v>292.57482726862594</v>
      </c>
      <c r="HA50" s="60">
        <f t="shared" si="52"/>
        <v>283.48738729114024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339.19999999999982</v>
      </c>
      <c r="O51" s="14">
        <f>N51*VLOOKUP('Données projet'!$B$9,Paramètres!$A$1:$I$89,3,0)*VLOOKUP('Données projet'!$B$9,Paramètres!$A$1:$I$89,5,0)</f>
        <v>158.74559999999991</v>
      </c>
      <c r="P51" s="14">
        <f t="shared" si="33"/>
        <v>40.559452507902058</v>
      </c>
      <c r="Q51" s="22">
        <f t="shared" si="53"/>
        <v>347.12296645126258</v>
      </c>
      <c r="R51" s="60">
        <f t="shared" si="0"/>
        <v>640.4562997845959</v>
      </c>
      <c r="S51" s="60">
        <f ca="1">AVERAGE(OFFSET($R$3,0,0,'Données projet'!$E$9+1,1))-AVERAGE(OFFSET($H$3,0,0,'Données projet'!$E$9+1,1))</f>
        <v>399.92909819003523</v>
      </c>
      <c r="T51" s="60">
        <f t="shared" si="34"/>
        <v>163.7053537268381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11.4</v>
      </c>
      <c r="AI51" s="14">
        <f>IF('Données projet'!$A$62&gt;35,AI50+AH51-AQ50,IF(A51&lt;'Données projet'!$A$62,$AF$205^A51,IF(A51='Données projet'!$A$62,'Données projet'!$B$62,AI50+AH51-AQ50)))</f>
        <v>394.19999999999976</v>
      </c>
      <c r="AJ51" s="14">
        <f>AI51*VLOOKUP('Données projet'!$B$10,Paramètres!$A$1:$I$89,3,0)*VLOOKUP('Données projet'!$B$10,Paramètres!$A$1:$I$89,5,0)</f>
        <v>235.7315999999999</v>
      </c>
      <c r="AK51" s="14">
        <f t="shared" si="35"/>
        <v>57.520206488125218</v>
      </c>
      <c r="AL51" s="22">
        <f t="shared" si="4"/>
        <v>510.74689630015126</v>
      </c>
      <c r="AM51" s="60">
        <f t="shared" si="5"/>
        <v>804.08022963348458</v>
      </c>
      <c r="AN51" s="60">
        <f ca="1">AVERAGE(OFFSET($AM$3,0,0,'Données projet'!$E$10+1,1))-AVERAGE(OFFSET($H$3,0,0,'Données projet'!$E$10+1,1))</f>
        <v>455.43477166687273</v>
      </c>
      <c r="AO51" s="60">
        <f t="shared" si="36"/>
        <v>312.81310692672895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146.21568000000002</v>
      </c>
      <c r="BF51" s="14">
        <f t="shared" si="37"/>
        <v>37.717310552893402</v>
      </c>
      <c r="BG51" s="22">
        <f t="shared" si="7"/>
        <v>320.34995854628937</v>
      </c>
      <c r="BH51" s="60">
        <f t="shared" si="8"/>
        <v>613.68329187962263</v>
      </c>
      <c r="BI51" s="60">
        <f ca="1">AVERAGE(OFFSET($BH$3,0,0,'Données projet'!$E$11+1,1))-AVERAGE(OFFSET($H$3,0,0,'Données projet'!$E$11+1,1))</f>
        <v>430.11660085503223</v>
      </c>
      <c r="BJ51" s="60">
        <f t="shared" si="38"/>
        <v>231.36959598460686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projet'!$B$12,Paramètres!$A$1:$I$89,3,0)*VLOOKUP('Données projet'!$B$12,Paramètres!$A$1:$I$89,5,0)</f>
        <v>163.86240000000004</v>
      </c>
      <c r="CA51" s="14">
        <f t="shared" si="39"/>
        <v>41.712477409029084</v>
      </c>
      <c r="CB51" s="22">
        <f t="shared" si="10"/>
        <v>358.0429114873923</v>
      </c>
      <c r="CC51" s="60">
        <f t="shared" si="11"/>
        <v>651.37624482072556</v>
      </c>
      <c r="CD51" s="60">
        <f ca="1">AVERAGE(OFFSET($CC$3,0,0,'Données projet'!$E$12+1,1))-AVERAGE(OFFSET($H$3,0,0,'Données projet'!$E$12+1,1))</f>
        <v>476.8965664931755</v>
      </c>
      <c r="CE51" s="60">
        <f t="shared" si="40"/>
        <v>254.25036207346591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161.60000000000002</v>
      </c>
      <c r="CU51" s="18">
        <f>CT51*VLOOKUP('Données projet'!$B$13,Paramètres!$A$1:$I$89,3,0)*VLOOKUP('Données projet'!$B$13,Paramètres!$A$1:$I$89,5,0)</f>
        <v>156.29952000000003</v>
      </c>
      <c r="CV51" s="14">
        <f t="shared" si="41"/>
        <v>40.006728538728431</v>
      </c>
      <c r="CW51" s="22">
        <f t="shared" si="13"/>
        <v>341.90004953828537</v>
      </c>
      <c r="CX51" s="60">
        <f t="shared" si="14"/>
        <v>635.23338287161869</v>
      </c>
      <c r="CY51" s="60">
        <f ca="1">AVERAGE(OFFSET($CX$3,0,0,'Données projet'!$E$13+1,1))-AVERAGE(OFFSET($H$3,0,0,'Données projet'!$E$13+1,1))</f>
        <v>456.86147223520601</v>
      </c>
      <c r="CZ51" s="60">
        <f t="shared" si="42"/>
        <v>244.45149244446094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4.6153846153846159</v>
      </c>
      <c r="DO51" s="13">
        <f>IF('Données projet'!$A$166&gt;35,DO50+DN51-DW50,IF(A51&lt;'Données projet'!$A$166,$DL$205^A51,IF(A51='Données projet'!$A$166,'Données projet'!$B$166,DO50+DN51-DW50)))</f>
        <v>131.79487179487177</v>
      </c>
      <c r="DP51" s="18">
        <f>DO51*VLOOKUP('Données projet'!$B$14,Paramètres!$A$1:$I$89,3,0)*VLOOKUP('Données projet'!$B$14,Paramètres!$A$1:$I$89,5,0)</f>
        <v>125.41599999999997</v>
      </c>
      <c r="DQ51" s="14">
        <f t="shared" si="43"/>
        <v>32.93492868341815</v>
      </c>
      <c r="DR51" s="22">
        <f t="shared" si="16"/>
        <v>275.79453412361988</v>
      </c>
      <c r="DS51" s="60">
        <f t="shared" si="17"/>
        <v>569.12786745695325</v>
      </c>
      <c r="DT51" s="60">
        <f ca="1">AVERAGE(OFFSET($DS$3,0,0,'Données projet'!$E$14+1,1))-AVERAGE(OFFSET($H$3,0,0,'Données projet'!$E$14+1,1))</f>
        <v>300.36889324671682</v>
      </c>
      <c r="DU51" s="60">
        <f t="shared" si="44"/>
        <v>214.36051699039683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4.2</v>
      </c>
      <c r="EJ51" s="13">
        <f>IF('Données projet'!$A$192&gt;35,EJ50+EI51-ER50,IF(A51&lt;'Données projet'!$A$192,$EG$205^A51,IF(A51='Données projet'!$A$192,'Données projet'!$B$192,EJ50+EI51-ER50)))</f>
        <v>118.59999999999994</v>
      </c>
      <c r="EK51" s="18">
        <f>EJ51*VLOOKUP('Données projet'!$B$15,Paramètres!$A$1:$I$89,3,0)*VLOOKUP('Données projet'!$B$15,Paramètres!$A$1:$I$89,5,0)</f>
        <v>103.60895999999995</v>
      </c>
      <c r="EL51" s="14">
        <f t="shared" si="45"/>
        <v>27.820000397643376</v>
      </c>
      <c r="EM51" s="22">
        <f t="shared" si="19"/>
        <v>228.90543935922878</v>
      </c>
      <c r="EN51" s="60">
        <f t="shared" si="20"/>
        <v>522.23877269256207</v>
      </c>
      <c r="EO51" s="60">
        <f ca="1">AVERAGE(OFFSET($EN$3,0,0,'Données projet'!$E$15+1,1))-AVERAGE(OFFSET($H$3,0,0,'Données projet'!$E$15+1,1))</f>
        <v>202.46844517174412</v>
      </c>
      <c r="EP51" s="60">
        <f t="shared" si="46"/>
        <v>185.00219255324515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6.6666666666666687</v>
      </c>
      <c r="FE51" s="13">
        <f>IF('Données projet'!$A$218&gt;35,FE50+FD51-FM50,IF(A51&lt;'Données projet'!$A$218,$FB$205^A51,IF(A51='Données projet'!$A$218,'Données projet'!$B$218,FE50+FD51-FM50)))</f>
        <v>213.58974358974362</v>
      </c>
      <c r="FF51" s="18">
        <f>FE51*VLOOKUP('Données projet'!$B$16,Paramètres!$A$1:$I$89,3,0)*VLOOKUP('Données projet'!$B$16,Paramètres!$A$1:$I$89,5,0)</f>
        <v>143.27600000000004</v>
      </c>
      <c r="FG51" s="14">
        <f t="shared" si="47"/>
        <v>37.04647781208471</v>
      </c>
      <c r="FH51" s="22">
        <f t="shared" si="22"/>
        <v>314.06164885604761</v>
      </c>
      <c r="FI51" s="60">
        <f t="shared" si="23"/>
        <v>607.39498218938093</v>
      </c>
      <c r="FJ51" s="60">
        <f ca="1">AVERAGE(OFFSET($FI$3,0,0,'Données projet'!$E$16+1,1))-AVERAGE(OFFSET($H$3,0,0,'Données projet'!$E$16+1,1))</f>
        <v>344.87493856469382</v>
      </c>
      <c r="FK51" s="60">
        <f t="shared" si="48"/>
        <v>261.91036689641402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>
        <f>FZ51*VLOOKUP('Données projet'!$B$17,Paramètres!$A$1:$I$89,3,0)*VLOOKUP('Données projet'!$B$17,Paramètres!$A$1:$I$89,5,0)</f>
        <v>0</v>
      </c>
      <c r="GB51" s="14" t="e">
        <f t="shared" si="49"/>
        <v>#NUM!</v>
      </c>
      <c r="GC51" s="22" t="e">
        <f t="shared" si="25"/>
        <v>#NUM!</v>
      </c>
      <c r="GD51" s="60" t="e">
        <f t="shared" si="26"/>
        <v>#NUM!</v>
      </c>
      <c r="GE51" s="60">
        <f ca="1">AVERAGE(OFFSET($GD$3,0,0,'Données projet'!$E$17+1,1))-AVERAGE(OFFSET($H$3,0,0,'Données projet'!$E$17+1,1))</f>
        <v>268.19959446602911</v>
      </c>
      <c r="GF51" s="60">
        <f t="shared" si="50"/>
        <v>691.2533336811855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100.63929074339669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100.63929074339669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10.375</v>
      </c>
      <c r="GU51" s="13">
        <f>IF('Données projet'!$A$270&gt;35,GU50+GT51-HC50,IF(A51&lt;'Données projet'!$A$270,$GR$205^A51,IF(A51='Données projet'!$A$270,'Données projet'!$B$270,GU50+GT51-HC50)))</f>
        <v>228.49999999999994</v>
      </c>
      <c r="GV51" s="18">
        <f>GU51*VLOOKUP('Données projet'!$B$18,Paramètres!$A$1:$I$89,3,0)*VLOOKUP('Données projet'!$B$18,Paramètres!$A$1:$I$89,5,0)</f>
        <v>178.22999999999996</v>
      </c>
      <c r="GW51" s="14">
        <f t="shared" si="51"/>
        <v>44.928167580487852</v>
      </c>
      <c r="GX51" s="22">
        <f t="shared" si="28"/>
        <v>388.66714186934956</v>
      </c>
      <c r="GY51" s="60">
        <f t="shared" si="29"/>
        <v>682.00047520268288</v>
      </c>
      <c r="GZ51" s="60">
        <f ca="1">AVERAGE(OFFSET($GY$3,0,0,'Données projet'!$E$18+1,1))-AVERAGE(OFFSET($H$3,0,0,'Données projet'!$E$18+1,1))</f>
        <v>292.57482726862594</v>
      </c>
      <c r="HA51" s="60">
        <f t="shared" si="52"/>
        <v>283.48738729114024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359.5999999999998</v>
      </c>
      <c r="O52" s="14">
        <f>N52*VLOOKUP('Données projet'!$B$9,Paramètres!$A$1:$I$89,3,0)*VLOOKUP('Données projet'!$B$9,Paramètres!$A$1:$I$89,5,0)</f>
        <v>168.29279999999991</v>
      </c>
      <c r="P52" s="14">
        <f t="shared" si="33"/>
        <v>42.707443263135069</v>
      </c>
      <c r="Q52" s="22">
        <f t="shared" si="53"/>
        <v>367.49209034996011</v>
      </c>
      <c r="R52" s="60">
        <f t="shared" si="0"/>
        <v>660.82542368329337</v>
      </c>
      <c r="S52" s="60">
        <f ca="1">AVERAGE(OFFSET($R$3,0,0,'Données projet'!$E$9+1,1))-AVERAGE(OFFSET($H$3,0,0,'Données projet'!$E$9+1,1))</f>
        <v>399.92909819003523</v>
      </c>
      <c r="T52" s="60">
        <f t="shared" si="34"/>
        <v>163.7053537268381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11.4</v>
      </c>
      <c r="AI52" s="14">
        <f>IF('Données projet'!$A$62&gt;35,AI51+AH52-AQ51,IF(A52&lt;'Données projet'!$A$62,$AF$205^A52,IF(A52='Données projet'!$A$62,'Données projet'!$B$62,AI51+AH52-AQ51)))</f>
        <v>405.59999999999974</v>
      </c>
      <c r="AJ52" s="14">
        <f>AI52*VLOOKUP('Données projet'!$B$10,Paramètres!$A$1:$I$89,3,0)*VLOOKUP('Données projet'!$B$10,Paramètres!$A$1:$I$89,5,0)</f>
        <v>242.54879999999986</v>
      </c>
      <c r="AK52" s="14">
        <f t="shared" si="35"/>
        <v>58.987579601419206</v>
      </c>
      <c r="AL52" s="22">
        <f t="shared" si="4"/>
        <v>525.17586113913819</v>
      </c>
      <c r="AM52" s="60">
        <f t="shared" si="5"/>
        <v>818.50919447247156</v>
      </c>
      <c r="AN52" s="60">
        <f ca="1">AVERAGE(OFFSET($AM$3,0,0,'Données projet'!$E$10+1,1))-AVERAGE(OFFSET($H$3,0,0,'Données projet'!$E$10+1,1))</f>
        <v>455.43477166687273</v>
      </c>
      <c r="AO52" s="60">
        <f t="shared" si="36"/>
        <v>312.81310692672895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153.63504</v>
      </c>
      <c r="BF52" s="14">
        <f t="shared" si="37"/>
        <v>39.403506785222667</v>
      </c>
      <c r="BG52" s="22">
        <f t="shared" si="7"/>
        <v>336.20880231759617</v>
      </c>
      <c r="BH52" s="60">
        <f t="shared" si="8"/>
        <v>629.54213565092948</v>
      </c>
      <c r="BI52" s="60">
        <f ca="1">AVERAGE(OFFSET($BH$3,0,0,'Données projet'!$E$11+1,1))-AVERAGE(OFFSET($H$3,0,0,'Données projet'!$E$11+1,1))</f>
        <v>430.11660085503223</v>
      </c>
      <c r="BJ52" s="60">
        <f t="shared" si="38"/>
        <v>231.36959598460686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projet'!$B$12,Paramètres!$A$1:$I$89,3,0)*VLOOKUP('Données projet'!$B$12,Paramètres!$A$1:$I$89,5,0)</f>
        <v>172.1772</v>
      </c>
      <c r="CA52" s="14">
        <f t="shared" si="39"/>
        <v>43.577282221917017</v>
      </c>
      <c r="CB52" s="22">
        <f t="shared" si="10"/>
        <v>375.77238986983883</v>
      </c>
      <c r="CC52" s="60">
        <f t="shared" si="11"/>
        <v>669.10572320317215</v>
      </c>
      <c r="CD52" s="60">
        <f ca="1">AVERAGE(OFFSET($CC$3,0,0,'Données projet'!$E$12+1,1))-AVERAGE(OFFSET($H$3,0,0,'Données projet'!$E$12+1,1))</f>
        <v>476.8965664931755</v>
      </c>
      <c r="CE52" s="60">
        <f t="shared" si="40"/>
        <v>254.25036207346591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169.8</v>
      </c>
      <c r="CU52" s="18">
        <f>CT52*VLOOKUP('Données projet'!$B$13,Paramètres!$A$1:$I$89,3,0)*VLOOKUP('Données projet'!$B$13,Paramètres!$A$1:$I$89,5,0)</f>
        <v>164.23056000000003</v>
      </c>
      <c r="CV52" s="14">
        <f t="shared" si="41"/>
        <v>41.795275864636551</v>
      </c>
      <c r="CW52" s="22">
        <f t="shared" si="13"/>
        <v>358.82833079757535</v>
      </c>
      <c r="CX52" s="60">
        <f t="shared" si="14"/>
        <v>652.16166413090866</v>
      </c>
      <c r="CY52" s="60">
        <f ca="1">AVERAGE(OFFSET($CX$3,0,0,'Données projet'!$E$13+1,1))-AVERAGE(OFFSET($H$3,0,0,'Données projet'!$E$13+1,1))</f>
        <v>456.86147223520601</v>
      </c>
      <c r="CZ52" s="60">
        <f t="shared" si="42"/>
        <v>244.45149244446094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4.6153846153846159</v>
      </c>
      <c r="DO52" s="13">
        <f>IF('Données projet'!$A$166&gt;35,DO51+DN52-DW51,IF(A52&lt;'Données projet'!$A$166,$DL$205^A52,IF(A52='Données projet'!$A$166,'Données projet'!$B$166,DO51+DN52-DW51)))</f>
        <v>136.41025641025638</v>
      </c>
      <c r="DP52" s="18">
        <f>DO52*VLOOKUP('Données projet'!$B$14,Paramètres!$A$1:$I$89,3,0)*VLOOKUP('Données projet'!$B$14,Paramètres!$A$1:$I$89,5,0)</f>
        <v>129.80799999999996</v>
      </c>
      <c r="DQ52" s="14">
        <f t="shared" si="43"/>
        <v>33.951989953983613</v>
      </c>
      <c r="DR52" s="22">
        <f t="shared" si="16"/>
        <v>285.21531583652137</v>
      </c>
      <c r="DS52" s="60">
        <f t="shared" si="17"/>
        <v>578.54864916985468</v>
      </c>
      <c r="DT52" s="60">
        <f ca="1">AVERAGE(OFFSET($DS$3,0,0,'Données projet'!$E$14+1,1))-AVERAGE(OFFSET($H$3,0,0,'Données projet'!$E$14+1,1))</f>
        <v>300.36889324671682</v>
      </c>
      <c r="DU52" s="60">
        <f t="shared" si="44"/>
        <v>214.36051699039683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4.2</v>
      </c>
      <c r="EJ52" s="13">
        <f>IF('Données projet'!$A$192&gt;35,EJ51+EI52-ER51,IF(A52&lt;'Données projet'!$A$192,$EG$205^A52,IF(A52='Données projet'!$A$192,'Données projet'!$B$192,EJ51+EI52-ER51)))</f>
        <v>122.79999999999994</v>
      </c>
      <c r="EK52" s="18">
        <f>EJ52*VLOOKUP('Données projet'!$B$15,Paramètres!$A$1:$I$89,3,0)*VLOOKUP('Données projet'!$B$15,Paramètres!$A$1:$I$89,5,0)</f>
        <v>107.27807999999996</v>
      </c>
      <c r="EL52" s="14">
        <f t="shared" si="45"/>
        <v>28.688746800886648</v>
      </c>
      <c r="EM52" s="22">
        <f t="shared" si="19"/>
        <v>236.80889001154415</v>
      </c>
      <c r="EN52" s="60">
        <f t="shared" si="20"/>
        <v>530.14222334487749</v>
      </c>
      <c r="EO52" s="60">
        <f ca="1">AVERAGE(OFFSET($EN$3,0,0,'Données projet'!$E$15+1,1))-AVERAGE(OFFSET($H$3,0,0,'Données projet'!$E$15+1,1))</f>
        <v>202.46844517174412</v>
      </c>
      <c r="EP52" s="60">
        <f t="shared" si="46"/>
        <v>185.00219255324515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6.6666666666666687</v>
      </c>
      <c r="FE52" s="13">
        <f>IF('Données projet'!$A$218&gt;35,FE51+FD52-FM51,IF(A52&lt;'Données projet'!$A$218,$FB$205^A52,IF(A52='Données projet'!$A$218,'Données projet'!$B$218,FE51+FD52-FM51)))</f>
        <v>220.25641025641028</v>
      </c>
      <c r="FF52" s="18">
        <f>FE52*VLOOKUP('Données projet'!$B$16,Paramètres!$A$1:$I$89,3,0)*VLOOKUP('Données projet'!$B$16,Paramètres!$A$1:$I$89,5,0)</f>
        <v>147.74800000000002</v>
      </c>
      <c r="FG52" s="14">
        <f t="shared" si="47"/>
        <v>38.066360844681896</v>
      </c>
      <c r="FH52" s="22">
        <f t="shared" si="22"/>
        <v>323.62667847115432</v>
      </c>
      <c r="FI52" s="60">
        <f t="shared" si="23"/>
        <v>616.96001180448764</v>
      </c>
      <c r="FJ52" s="60">
        <f ca="1">AVERAGE(OFFSET($FI$3,0,0,'Données projet'!$E$16+1,1))-AVERAGE(OFFSET($H$3,0,0,'Données projet'!$E$16+1,1))</f>
        <v>344.87493856469382</v>
      </c>
      <c r="FK52" s="60">
        <f t="shared" si="48"/>
        <v>261.91036689641402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>
        <f>FZ52*VLOOKUP('Données projet'!$B$17,Paramètres!$A$1:$I$89,3,0)*VLOOKUP('Données projet'!$B$17,Paramètres!$A$1:$I$89,5,0)</f>
        <v>0</v>
      </c>
      <c r="GB52" s="14" t="e">
        <f t="shared" si="49"/>
        <v>#NUM!</v>
      </c>
      <c r="GC52" s="22" t="e">
        <f t="shared" si="25"/>
        <v>#NUM!</v>
      </c>
      <c r="GD52" s="60" t="e">
        <f t="shared" si="26"/>
        <v>#NUM!</v>
      </c>
      <c r="GE52" s="60">
        <f ca="1">AVERAGE(OFFSET($GD$3,0,0,'Données projet'!$E$17+1,1))-AVERAGE(OFFSET($H$3,0,0,'Données projet'!$E$17+1,1))</f>
        <v>268.19959446602911</v>
      </c>
      <c r="GF52" s="60">
        <f t="shared" si="50"/>
        <v>691.2533336811855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98.66581563582487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98.66581563582487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10.375</v>
      </c>
      <c r="GU52" s="13">
        <f>IF('Données projet'!$A$270&gt;35,GU51+GT52-HC51,IF(A52&lt;'Données projet'!$A$270,$GR$205^A52,IF(A52='Données projet'!$A$270,'Données projet'!$B$270,GU51+GT52-HC51)))</f>
        <v>238.87499999999994</v>
      </c>
      <c r="GV52" s="18">
        <f>GU52*VLOOKUP('Données projet'!$B$18,Paramètres!$A$1:$I$89,3,0)*VLOOKUP('Données projet'!$B$18,Paramètres!$A$1:$I$89,5,0)</f>
        <v>186.32249999999996</v>
      </c>
      <c r="GW52" s="14">
        <f t="shared" si="51"/>
        <v>46.725987276254116</v>
      </c>
      <c r="GX52" s="22">
        <f t="shared" si="28"/>
        <v>405.89278200614257</v>
      </c>
      <c r="GY52" s="60">
        <f t="shared" si="29"/>
        <v>699.22611533947588</v>
      </c>
      <c r="GZ52" s="60">
        <f ca="1">AVERAGE(OFFSET($GY$3,0,0,'Données projet'!$E$18+1,1))-AVERAGE(OFFSET($H$3,0,0,'Données projet'!$E$18+1,1))</f>
        <v>292.57482726862594</v>
      </c>
      <c r="HA52" s="60">
        <f t="shared" si="52"/>
        <v>283.48738729114024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380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379.99999999999977</v>
      </c>
      <c r="O53" s="14">
        <f>N53*VLOOKUP('Données projet'!$B$9,Paramètres!$A$1:$I$89,3,0)*VLOOKUP('Données projet'!$B$9,Paramètres!$A$1:$I$89,5,0)</f>
        <v>177.83999999999992</v>
      </c>
      <c r="P53" s="14">
        <f t="shared" si="33"/>
        <v>44.841288830609102</v>
      </c>
      <c r="Q53" s="22">
        <f t="shared" si="53"/>
        <v>387.83657804664404</v>
      </c>
      <c r="R53" s="60">
        <f t="shared" si="0"/>
        <v>681.16991137997729</v>
      </c>
      <c r="S53" s="60">
        <f ca="1">AVERAGE(OFFSET($R$3,0,0,'Données projet'!$E$9+1,1))-AVERAGE(OFFSET($H$3,0,0,'Données projet'!$E$9+1,1))</f>
        <v>399.92909819003523</v>
      </c>
      <c r="T53" s="60">
        <f t="shared" si="34"/>
        <v>163.7053537268381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91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417</v>
      </c>
      <c r="AG53" s="13">
        <f>VLOOKUP(A53,'Données projet'!$A$61:$I$81,9,0)</f>
        <v>11.4</v>
      </c>
      <c r="AH53" s="13">
        <f t="array" ref="AH53">INDEX(AG:AG,MIN(IF(ISNUMBER(AG53:AG249),ROW(AG53:AG249),"")))</f>
        <v>11.4</v>
      </c>
      <c r="AI53" s="14">
        <f>IF('Données projet'!$A$62&gt;35,AI52+AH53-AQ52,IF(A53&lt;'Données projet'!$A$62,$AF$205^A53,IF(A53='Données projet'!$A$62,'Données projet'!$B$62,AI52+AH53-AQ52)))</f>
        <v>416.99999999999972</v>
      </c>
      <c r="AJ53" s="14">
        <f>AI53*VLOOKUP('Données projet'!$B$10,Paramètres!$A$1:$I$89,3,0)*VLOOKUP('Données projet'!$B$10,Paramètres!$A$1:$I$89,5,0)</f>
        <v>249.36599999999984</v>
      </c>
      <c r="AK53" s="14">
        <f t="shared" si="35"/>
        <v>60.450159237767835</v>
      </c>
      <c r="AL53" s="22">
        <f t="shared" si="4"/>
        <v>539.59647733911208</v>
      </c>
      <c r="AM53" s="60">
        <f t="shared" si="5"/>
        <v>832.92981067244546</v>
      </c>
      <c r="AN53" s="60">
        <f ca="1">AVERAGE(OFFSET($AM$3,0,0,'Données projet'!$E$10+1,1))-AVERAGE(OFFSET($H$3,0,0,'Données projet'!$E$10+1,1))</f>
        <v>455.43477166687273</v>
      </c>
      <c r="AO53" s="60">
        <f t="shared" si="36"/>
        <v>312.81310692672895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76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161.05439999999999</v>
      </c>
      <c r="BF53" s="14">
        <f t="shared" si="37"/>
        <v>41.080247278685491</v>
      </c>
      <c r="BG53" s="22">
        <f t="shared" si="7"/>
        <v>352.05117734371055</v>
      </c>
      <c r="BH53" s="60">
        <f t="shared" si="8"/>
        <v>645.38451067704386</v>
      </c>
      <c r="BI53" s="60">
        <f ca="1">AVERAGE(OFFSET($BH$3,0,0,'Données projet'!$E$11+1,1))-AVERAGE(OFFSET($H$3,0,0,'Données projet'!$E$11+1,1))</f>
        <v>430.11660085503223</v>
      </c>
      <c r="BJ53" s="60">
        <f t="shared" si="38"/>
        <v>231.36959598460686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projet'!$B$12,Paramètres!$A$1:$I$89,3,0)*VLOOKUP('Données projet'!$B$12,Paramètres!$A$1:$I$89,5,0)</f>
        <v>180.49200000000002</v>
      </c>
      <c r="CA53" s="14">
        <f t="shared" si="39"/>
        <v>45.431629706642653</v>
      </c>
      <c r="CB53" s="22">
        <f t="shared" si="10"/>
        <v>393.4836550724026</v>
      </c>
      <c r="CC53" s="60">
        <f t="shared" si="11"/>
        <v>686.81698840573586</v>
      </c>
      <c r="CD53" s="60">
        <f ca="1">AVERAGE(OFFSET($CC$3,0,0,'Données projet'!$E$12+1,1))-AVERAGE(OFFSET($H$3,0,0,'Données projet'!$E$12+1,1))</f>
        <v>476.8965664931755</v>
      </c>
      <c r="CE53" s="60">
        <f t="shared" si="40"/>
        <v>254.25036207346591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178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178</v>
      </c>
      <c r="CU53" s="18">
        <f>CT53*VLOOKUP('Données projet'!$B$13,Paramètres!$A$1:$I$89,3,0)*VLOOKUP('Données projet'!$B$13,Paramètres!$A$1:$I$89,5,0)</f>
        <v>172.16159999999999</v>
      </c>
      <c r="CV53" s="14">
        <f t="shared" si="41"/>
        <v>43.57379349403616</v>
      </c>
      <c r="CW53" s="22">
        <f t="shared" si="13"/>
        <v>375.7391436687796</v>
      </c>
      <c r="CX53" s="60">
        <f t="shared" si="14"/>
        <v>669.07247700211292</v>
      </c>
      <c r="CY53" s="60">
        <f ca="1">AVERAGE(OFFSET($CX$3,0,0,'Données projet'!$E$13+1,1))-AVERAGE(OFFSET($H$3,0,0,'Données projet'!$E$13+1,1))</f>
        <v>456.86147223520601</v>
      </c>
      <c r="CZ53" s="60">
        <f t="shared" si="42"/>
        <v>244.45149244446094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141.02564102564102</v>
      </c>
      <c r="DM53" s="13">
        <f>VLOOKUP(A53,'Données projet'!$A$165:$I$185,9,0)</f>
        <v>4.6153846153846159</v>
      </c>
      <c r="DN53" s="13">
        <f t="array" ref="DN53">INDEX(DM:DM,MIN(IF(ISNUMBER(DM53:DM249),ROW(DM53:DM249),"")))</f>
        <v>4.6153846153846159</v>
      </c>
      <c r="DO53" s="13">
        <f>IF('Données projet'!$A$166&gt;35,DO52+DN53-DW52,IF(A53&lt;'Données projet'!$A$166,$DL$205^A53,IF(A53='Données projet'!$A$166,'Données projet'!$B$166,DO52+DN53-DW52)))</f>
        <v>141.02564102564099</v>
      </c>
      <c r="DP53" s="18">
        <f>DO53*VLOOKUP('Données projet'!$B$14,Paramètres!$A$1:$I$89,3,0)*VLOOKUP('Données projet'!$B$14,Paramètres!$A$1:$I$89,5,0)</f>
        <v>134.19999999999999</v>
      </c>
      <c r="DQ53" s="14">
        <f t="shared" si="43"/>
        <v>34.965052756825415</v>
      </c>
      <c r="DR53" s="22">
        <f t="shared" si="16"/>
        <v>294.62913355147089</v>
      </c>
      <c r="DS53" s="60">
        <f t="shared" si="17"/>
        <v>587.96246688480414</v>
      </c>
      <c r="DT53" s="60">
        <f ca="1">AVERAGE(OFFSET($DS$3,0,0,'Données projet'!$E$14+1,1))-AVERAGE(OFFSET($H$3,0,0,'Données projet'!$E$14+1,1))</f>
        <v>300.36889324671682</v>
      </c>
      <c r="DU53" s="60">
        <f t="shared" si="44"/>
        <v>214.36051699039683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23.076923076923077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127</v>
      </c>
      <c r="EH53" s="13">
        <f>VLOOKUP(A53,'Données projet'!$A$191:$I$211,9,0)</f>
        <v>4.2</v>
      </c>
      <c r="EI53" s="13">
        <f t="array" ref="EI53">INDEX(EH:EH,MIN(IF(ISNUMBER(EH53:EH249),ROW(EH53:EH249),"")))</f>
        <v>4.2</v>
      </c>
      <c r="EJ53" s="13">
        <f>IF('Données projet'!$A$192&gt;35,EJ52+EI53-ER52,IF(A53&lt;'Données projet'!$A$192,$EG$205^A53,IF(A53='Données projet'!$A$192,'Données projet'!$B$192,EJ52+EI53-ER52)))</f>
        <v>126.99999999999994</v>
      </c>
      <c r="EK53" s="18">
        <f>EJ53*VLOOKUP('Données projet'!$B$15,Paramètres!$A$1:$I$89,3,0)*VLOOKUP('Données projet'!$B$15,Paramètres!$A$1:$I$89,5,0)</f>
        <v>110.94719999999997</v>
      </c>
      <c r="EL53" s="14">
        <f t="shared" si="45"/>
        <v>29.554040795615606</v>
      </c>
      <c r="EM53" s="22">
        <f t="shared" si="19"/>
        <v>244.70632771903044</v>
      </c>
      <c r="EN53" s="60">
        <f t="shared" si="20"/>
        <v>538.03966105236373</v>
      </c>
      <c r="EO53" s="60">
        <f ca="1">AVERAGE(OFFSET($EN$3,0,0,'Données projet'!$E$15+1,1))-AVERAGE(OFFSET($H$3,0,0,'Données projet'!$E$15+1,1))</f>
        <v>202.46844517174412</v>
      </c>
      <c r="EP53" s="60">
        <f t="shared" si="46"/>
        <v>185.00219255324515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226.92307692307691</v>
      </c>
      <c r="FC53" s="13">
        <f>VLOOKUP(A53,'Données projet'!$A$217:$I$237,9,0)</f>
        <v>6.6666666666666687</v>
      </c>
      <c r="FD53" s="13">
        <f t="array" ref="FD53">INDEX(FC:FC,MIN(IF(ISNUMBER(FC53:FC249),ROW(FC53:FC249),"")))</f>
        <v>6.6666666666666687</v>
      </c>
      <c r="FE53" s="13">
        <f>IF('Données projet'!$A$218&gt;35,FE52+FD53-FM52,IF(A53&lt;'Données projet'!$A$218,$FB$205^A53,IF(A53='Données projet'!$A$218,'Données projet'!$B$218,FE52+FD53-FM52)))</f>
        <v>226.92307692307693</v>
      </c>
      <c r="FF53" s="18">
        <f>FE53*VLOOKUP('Données projet'!$B$16,Paramètres!$A$1:$I$89,3,0)*VLOOKUP('Données projet'!$B$16,Paramètres!$A$1:$I$89,5,0)</f>
        <v>152.22</v>
      </c>
      <c r="FG53" s="14">
        <f t="shared" si="47"/>
        <v>39.082656403139858</v>
      </c>
      <c r="FH53" s="22">
        <f t="shared" si="22"/>
        <v>333.18545990213522</v>
      </c>
      <c r="FI53" s="60">
        <f t="shared" si="23"/>
        <v>626.51879323546859</v>
      </c>
      <c r="FJ53" s="60">
        <f ca="1">AVERAGE(OFFSET($FI$3,0,0,'Données projet'!$E$16+1,1))-AVERAGE(OFFSET($H$3,0,0,'Données projet'!$E$16+1,1))</f>
        <v>344.87493856469382</v>
      </c>
      <c r="FK53" s="60">
        <f t="shared" si="48"/>
        <v>261.91036689641402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>
        <f>FZ53*VLOOKUP('Données projet'!$B$17,Paramètres!$A$1:$I$89,3,0)*VLOOKUP('Données projet'!$B$17,Paramètres!$A$1:$I$89,5,0)</f>
        <v>0</v>
      </c>
      <c r="GB53" s="14" t="e">
        <f t="shared" si="49"/>
        <v>#NUM!</v>
      </c>
      <c r="GC53" s="22" t="e">
        <f t="shared" si="25"/>
        <v>#NUM!</v>
      </c>
      <c r="GD53" s="60" t="e">
        <f t="shared" si="26"/>
        <v>#NUM!</v>
      </c>
      <c r="GE53" s="60">
        <f ca="1">AVERAGE(OFFSET($GD$3,0,0,'Données projet'!$E$17+1,1))-AVERAGE(OFFSET($H$3,0,0,'Données projet'!$E$17+1,1))</f>
        <v>268.19959446602911</v>
      </c>
      <c r="GF53" s="60">
        <f t="shared" si="50"/>
        <v>691.2533336811855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96.731039171411581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96.731039171411581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10.375</v>
      </c>
      <c r="GU53" s="13">
        <f>IF('Données projet'!$A$270&gt;35,GU52+GT53-HC52,IF(A53&lt;'Données projet'!$A$270,$GR$205^A53,IF(A53='Données projet'!$A$270,'Données projet'!$B$270,GU52+GT53-HC52)))</f>
        <v>249.24999999999994</v>
      </c>
      <c r="GV53" s="18">
        <f>GU53*VLOOKUP('Données projet'!$B$18,Paramètres!$A$1:$I$89,3,0)*VLOOKUP('Données projet'!$B$18,Paramètres!$A$1:$I$89,5,0)</f>
        <v>194.41499999999996</v>
      </c>
      <c r="GW53" s="14">
        <f t="shared" si="51"/>
        <v>48.514737888684969</v>
      </c>
      <c r="GX53" s="22">
        <f t="shared" si="28"/>
        <v>423.1026268227929</v>
      </c>
      <c r="GY53" s="60">
        <f t="shared" si="29"/>
        <v>716.43596015612616</v>
      </c>
      <c r="GZ53" s="60">
        <f ca="1">AVERAGE(OFFSET($GY$3,0,0,'Données projet'!$E$18+1,1))-AVERAGE(OFFSET($H$3,0,0,'Données projet'!$E$18+1,1))</f>
        <v>292.57482726862594</v>
      </c>
      <c r="HA53" s="60">
        <f t="shared" si="52"/>
        <v>283.48738729114024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22.7</v>
      </c>
      <c r="N54" s="14">
        <f>IF('Données projet'!$A$36&gt;35,N53+M54-V53,IF(A54&lt;'Données projet'!$A$36,$K$205^A54,IF(A54='Données projet'!$A$36,'Données projet'!$B$36,N53+M54-V53)))</f>
        <v>311.69999999999976</v>
      </c>
      <c r="O54" s="14">
        <f>N54*VLOOKUP('Données projet'!$B$9,Paramètres!$A$1:$I$89,3,0)*VLOOKUP('Données projet'!$B$9,Paramètres!$A$1:$I$89,5,0)</f>
        <v>145.87559999999988</v>
      </c>
      <c r="P54" s="14">
        <f t="shared" si="33"/>
        <v>37.639785440563593</v>
      </c>
      <c r="Q54" s="22">
        <f t="shared" si="53"/>
        <v>319.62262964231468</v>
      </c>
      <c r="R54" s="60">
        <f t="shared" si="0"/>
        <v>612.95596297564794</v>
      </c>
      <c r="S54" s="60">
        <f ca="1">AVERAGE(OFFSET($R$3,0,0,'Données projet'!$E$9+1,1))-AVERAGE(OFFSET($H$3,0,0,'Données projet'!$E$9+1,1))</f>
        <v>399.92909819003523</v>
      </c>
      <c r="T54" s="60">
        <f t="shared" si="34"/>
        <v>163.7053537268381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351.1999999999997</v>
      </c>
      <c r="AJ54" s="14">
        <f>AI54*VLOOKUP('Données projet'!$B$10,Paramètres!$A$1:$I$89,3,0)*VLOOKUP('Données projet'!$B$10,Paramètres!$A$1:$I$89,5,0)</f>
        <v>210.01759999999985</v>
      </c>
      <c r="AK54" s="14">
        <f t="shared" si="35"/>
        <v>51.939431722351145</v>
      </c>
      <c r="AL54" s="22">
        <f t="shared" si="4"/>
        <v>456.24183024976122</v>
      </c>
      <c r="AM54" s="60">
        <f t="shared" si="5"/>
        <v>749.57516358309454</v>
      </c>
      <c r="AN54" s="60">
        <f ca="1">AVERAGE(OFFSET($AM$3,0,0,'Données projet'!$E$10+1,1))-AVERAGE(OFFSET($H$3,0,0,'Données projet'!$E$10+1,1))</f>
        <v>455.43477166687273</v>
      </c>
      <c r="AO54" s="60">
        <f t="shared" si="36"/>
        <v>312.81310692672895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186</v>
      </c>
      <c r="BE54" s="14">
        <f>BD54*VLOOKUP('Données projet'!$B$11,Paramètres!$A$1:$I$89,3,0)*VLOOKUP('Données projet'!$B$11,Paramètres!$A$1:$I$89,5,0)</f>
        <v>168.2928</v>
      </c>
      <c r="BF54" s="14">
        <f t="shared" si="37"/>
        <v>42.707443263135104</v>
      </c>
      <c r="BG54" s="22">
        <f t="shared" si="7"/>
        <v>367.49209034996028</v>
      </c>
      <c r="BH54" s="60">
        <f t="shared" si="8"/>
        <v>660.82542368329359</v>
      </c>
      <c r="BI54" s="60">
        <f ca="1">AVERAGE(OFFSET($BH$3,0,0,'Données projet'!$E$11+1,1))-AVERAGE(OFFSET($H$3,0,0,'Données projet'!$E$11+1,1))</f>
        <v>430.11660085503223</v>
      </c>
      <c r="BJ54" s="60">
        <f t="shared" si="38"/>
        <v>231.36959598460686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186</v>
      </c>
      <c r="BZ54" s="14">
        <f>BY54*VLOOKUP('Données projet'!$B$12,Paramètres!$A$1:$I$89,3,0)*VLOOKUP('Données projet'!$B$12,Paramètres!$A$1:$I$89,5,0)</f>
        <v>188.60400000000001</v>
      </c>
      <c r="CA54" s="14">
        <f t="shared" si="39"/>
        <v>47.231184731814224</v>
      </c>
      <c r="CB54" s="22">
        <f t="shared" si="10"/>
        <v>410.74628007457642</v>
      </c>
      <c r="CC54" s="60">
        <f t="shared" si="11"/>
        <v>704.07961340790973</v>
      </c>
      <c r="CD54" s="60">
        <f ca="1">AVERAGE(OFFSET($CC$3,0,0,'Données projet'!$E$12+1,1))-AVERAGE(OFFSET($H$3,0,0,'Données projet'!$E$12+1,1))</f>
        <v>476.8965664931755</v>
      </c>
      <c r="CE54" s="60">
        <f t="shared" si="40"/>
        <v>254.25036207346591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186</v>
      </c>
      <c r="CU54" s="18">
        <f>CT54*VLOOKUP('Données projet'!$B$13,Paramètres!$A$1:$I$89,3,0)*VLOOKUP('Données projet'!$B$13,Paramètres!$A$1:$I$89,5,0)</f>
        <v>179.89920000000001</v>
      </c>
      <c r="CV54" s="14">
        <f t="shared" si="41"/>
        <v>45.299759292628586</v>
      </c>
      <c r="CW54" s="22">
        <f t="shared" si="13"/>
        <v>392.22152076799483</v>
      </c>
      <c r="CX54" s="60">
        <f t="shared" si="14"/>
        <v>685.55485410132815</v>
      </c>
      <c r="CY54" s="60">
        <f ca="1">AVERAGE(OFFSET($CX$3,0,0,'Données projet'!$E$13+1,1))-AVERAGE(OFFSET($H$3,0,0,'Données projet'!$E$13+1,1))</f>
        <v>456.86147223520601</v>
      </c>
      <c r="CZ54" s="60">
        <f t="shared" si="42"/>
        <v>244.45149244446094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4.2307692307692291</v>
      </c>
      <c r="DO54" s="13">
        <f>IF('Données projet'!$A$166&gt;35,DO53+DN54-DW53,IF(A54&lt;'Données projet'!$A$166,$DL$205^A54,IF(A54='Données projet'!$A$166,'Données projet'!$B$166,DO53+DN54-DW53)))</f>
        <v>122.17948717948714</v>
      </c>
      <c r="DP54" s="18">
        <f>DO54*VLOOKUP('Données projet'!$B$14,Paramètres!$A$1:$I$89,3,0)*VLOOKUP('Données projet'!$B$14,Paramètres!$A$1:$I$89,5,0)</f>
        <v>116.26599999999995</v>
      </c>
      <c r="DQ54" s="14">
        <f t="shared" si="43"/>
        <v>30.802509363032893</v>
      </c>
      <c r="DR54" s="22">
        <f t="shared" si="16"/>
        <v>256.14432047394888</v>
      </c>
      <c r="DS54" s="60">
        <f t="shared" si="17"/>
        <v>549.47765380728219</v>
      </c>
      <c r="DT54" s="60">
        <f ca="1">AVERAGE(OFFSET($DS$3,0,0,'Données projet'!$E$14+1,1))-AVERAGE(OFFSET($H$3,0,0,'Données projet'!$E$14+1,1))</f>
        <v>300.36889324671682</v>
      </c>
      <c r="DU54" s="60">
        <f t="shared" si="44"/>
        <v>214.36051699039683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3.4</v>
      </c>
      <c r="EJ54" s="13">
        <f>IF('Données projet'!$A$192&gt;35,EJ53+EI54-ER53,IF(A54&lt;'Données projet'!$A$192,$EG$205^A54,IF(A54='Données projet'!$A$192,'Données projet'!$B$192,EJ53+EI54-ER53)))</f>
        <v>130.39999999999995</v>
      </c>
      <c r="EK54" s="18">
        <f>EJ54*VLOOKUP('Données projet'!$B$15,Paramètres!$A$1:$I$89,3,0)*VLOOKUP('Données projet'!$B$15,Paramètres!$A$1:$I$89,5,0)</f>
        <v>113.91743999999996</v>
      </c>
      <c r="EL54" s="14">
        <f t="shared" si="45"/>
        <v>30.252075834566813</v>
      </c>
      <c r="EM54" s="22">
        <f t="shared" si="19"/>
        <v>251.0952400785371</v>
      </c>
      <c r="EN54" s="60">
        <f t="shared" si="20"/>
        <v>544.42857341187039</v>
      </c>
      <c r="EO54" s="60">
        <f ca="1">AVERAGE(OFFSET($EN$3,0,0,'Données projet'!$E$15+1,1))-AVERAGE(OFFSET($H$3,0,0,'Données projet'!$E$15+1,1))</f>
        <v>202.46844517174412</v>
      </c>
      <c r="EP54" s="60">
        <f t="shared" si="46"/>
        <v>185.00219255324515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6.2820512820512819</v>
      </c>
      <c r="FE54" s="13">
        <f>IF('Données projet'!$A$218&gt;35,FE53+FD54-FM53,IF(A54&lt;'Données projet'!$A$218,$FB$205^A54,IF(A54='Données projet'!$A$218,'Données projet'!$B$218,FE53+FD54-FM53)))</f>
        <v>233.2051282051282</v>
      </c>
      <c r="FF54" s="18">
        <f>FE54*VLOOKUP('Données projet'!$B$16,Paramètres!$A$1:$I$89,3,0)*VLOOKUP('Données projet'!$B$16,Paramètres!$A$1:$I$89,5,0)</f>
        <v>156.434</v>
      </c>
      <c r="FG54" s="14">
        <f t="shared" si="47"/>
        <v>40.037142084940008</v>
      </c>
      <c r="FH54" s="22">
        <f t="shared" si="22"/>
        <v>342.18723913127047</v>
      </c>
      <c r="FI54" s="60">
        <f t="shared" si="23"/>
        <v>635.52057246460379</v>
      </c>
      <c r="FJ54" s="60">
        <f ca="1">AVERAGE(OFFSET($FI$3,0,0,'Données projet'!$E$16+1,1))-AVERAGE(OFFSET($H$3,0,0,'Données projet'!$E$16+1,1))</f>
        <v>344.87493856469382</v>
      </c>
      <c r="FK54" s="60">
        <f t="shared" si="48"/>
        <v>261.91036689641402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>
        <f>FZ54*VLOOKUP('Données projet'!$B$17,Paramètres!$A$1:$I$89,3,0)*VLOOKUP('Données projet'!$B$17,Paramètres!$A$1:$I$89,5,0)</f>
        <v>0</v>
      </c>
      <c r="GB54" s="14" t="e">
        <f t="shared" si="49"/>
        <v>#NUM!</v>
      </c>
      <c r="GC54" s="22" t="e">
        <f t="shared" si="25"/>
        <v>#NUM!</v>
      </c>
      <c r="GD54" s="60" t="e">
        <f t="shared" si="26"/>
        <v>#NUM!</v>
      </c>
      <c r="GE54" s="60">
        <f ca="1">AVERAGE(OFFSET($GD$3,0,0,'Données projet'!$E$17+1,1))-AVERAGE(OFFSET($H$3,0,0,'Données projet'!$E$17+1,1))</f>
        <v>268.19959446602911</v>
      </c>
      <c r="GF54" s="60">
        <f t="shared" si="50"/>
        <v>691.2533336811855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94.834202493368323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94.834202493368323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10.375</v>
      </c>
      <c r="GU54" s="13">
        <f>IF('Données projet'!$A$270&gt;35,GU53+GT54-HC53,IF(A54&lt;'Données projet'!$A$270,$GR$205^A54,IF(A54='Données projet'!$A$270,'Données projet'!$B$270,GU53+GT54-HC53)))</f>
        <v>259.62499999999994</v>
      </c>
      <c r="GV54" s="18">
        <f>GU54*VLOOKUP('Données projet'!$B$18,Paramètres!$A$1:$I$89,3,0)*VLOOKUP('Données projet'!$B$18,Paramètres!$A$1:$I$89,5,0)</f>
        <v>202.50749999999996</v>
      </c>
      <c r="GW54" s="14">
        <f t="shared" si="51"/>
        <v>50.294840086606349</v>
      </c>
      <c r="GX54" s="22">
        <f t="shared" si="28"/>
        <v>440.29740898417259</v>
      </c>
      <c r="GY54" s="60">
        <f t="shared" si="29"/>
        <v>733.63074231750591</v>
      </c>
      <c r="GZ54" s="60">
        <f ca="1">AVERAGE(OFFSET($GY$3,0,0,'Données projet'!$E$18+1,1))-AVERAGE(OFFSET($H$3,0,0,'Données projet'!$E$18+1,1))</f>
        <v>292.57482726862594</v>
      </c>
      <c r="HA54" s="60">
        <f t="shared" si="52"/>
        <v>283.48738729114024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22.7</v>
      </c>
      <c r="N55" s="14">
        <f>IF('Données projet'!$A$36&gt;35,N54+M55-V54,IF(A55&lt;'Données projet'!$A$36,$K$205^A55,IF(A55='Données projet'!$A$36,'Données projet'!$B$36,N54+M55-V54)))</f>
        <v>334.39999999999975</v>
      </c>
      <c r="O55" s="14">
        <f>N55*VLOOKUP('Données projet'!$B$9,Paramètres!$A$1:$I$89,3,0)*VLOOKUP('Données projet'!$B$9,Paramètres!$A$1:$I$89,5,0)</f>
        <v>156.49919999999989</v>
      </c>
      <c r="P55" s="14">
        <f t="shared" si="33"/>
        <v>40.051886402928353</v>
      </c>
      <c r="Q55" s="22">
        <f t="shared" si="53"/>
        <v>342.32647548509999</v>
      </c>
      <c r="R55" s="60">
        <f t="shared" si="0"/>
        <v>635.65980881843325</v>
      </c>
      <c r="S55" s="60">
        <f ca="1">AVERAGE(OFFSET($R$3,0,0,'Données projet'!$E$9+1,1))-AVERAGE(OFFSET($H$3,0,0,'Données projet'!$E$9+1,1))</f>
        <v>399.92909819003523</v>
      </c>
      <c r="T55" s="60">
        <f t="shared" si="34"/>
        <v>163.7053537268381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361.39999999999969</v>
      </c>
      <c r="AJ55" s="14">
        <f>AI55*VLOOKUP('Données projet'!$B$10,Paramètres!$A$1:$I$89,3,0)*VLOOKUP('Données projet'!$B$10,Paramètres!$A$1:$I$89,5,0)</f>
        <v>216.11719999999983</v>
      </c>
      <c r="AK55" s="14">
        <f t="shared" si="35"/>
        <v>53.270105735396356</v>
      </c>
      <c r="AL55" s="22">
        <f t="shared" si="4"/>
        <v>469.18289082248162</v>
      </c>
      <c r="AM55" s="60">
        <f t="shared" si="5"/>
        <v>762.51622415581494</v>
      </c>
      <c r="AN55" s="60">
        <f ca="1">AVERAGE(OFFSET($AM$3,0,0,'Données projet'!$E$10+1,1))-AVERAGE(OFFSET($H$3,0,0,'Données projet'!$E$10+1,1))</f>
        <v>455.43477166687273</v>
      </c>
      <c r="AO55" s="60">
        <f t="shared" si="36"/>
        <v>312.81310692672895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194</v>
      </c>
      <c r="BE55" s="14">
        <f>BD55*VLOOKUP('Données projet'!$B$11,Paramètres!$A$1:$I$89,3,0)*VLOOKUP('Données projet'!$B$11,Paramètres!$A$1:$I$89,5,0)</f>
        <v>175.53120000000001</v>
      </c>
      <c r="BF55" s="14">
        <f t="shared" si="37"/>
        <v>44.326510481422488</v>
      </c>
      <c r="BG55" s="22">
        <f t="shared" si="7"/>
        <v>382.9188457551441</v>
      </c>
      <c r="BH55" s="60">
        <f t="shared" si="8"/>
        <v>676.25217908847742</v>
      </c>
      <c r="BI55" s="60">
        <f ca="1">AVERAGE(OFFSET($BH$3,0,0,'Données projet'!$E$11+1,1))-AVERAGE(OFFSET($H$3,0,0,'Données projet'!$E$11+1,1))</f>
        <v>430.11660085503223</v>
      </c>
      <c r="BJ55" s="60">
        <f t="shared" si="38"/>
        <v>231.36959598460686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194</v>
      </c>
      <c r="BZ55" s="14">
        <f>BY55*VLOOKUP('Données projet'!$B$12,Paramètres!$A$1:$I$89,3,0)*VLOOKUP('Données projet'!$B$12,Paramètres!$A$1:$I$89,5,0)</f>
        <v>196.71600000000001</v>
      </c>
      <c r="CA55" s="14">
        <f t="shared" si="39"/>
        <v>49.021749959730009</v>
      </c>
      <c r="CB55" s="22">
        <f t="shared" si="10"/>
        <v>427.99324784652981</v>
      </c>
      <c r="CC55" s="60">
        <f t="shared" si="11"/>
        <v>721.32658117986307</v>
      </c>
      <c r="CD55" s="60">
        <f ca="1">AVERAGE(OFFSET($CC$3,0,0,'Données projet'!$E$12+1,1))-AVERAGE(OFFSET($H$3,0,0,'Données projet'!$E$12+1,1))</f>
        <v>476.8965664931755</v>
      </c>
      <c r="CE55" s="60">
        <f t="shared" si="40"/>
        <v>254.25036207346591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194</v>
      </c>
      <c r="CU55" s="18">
        <f>CT55*VLOOKUP('Données projet'!$B$13,Paramètres!$A$1:$I$89,3,0)*VLOOKUP('Données projet'!$B$13,Paramètres!$A$1:$I$89,5,0)</f>
        <v>187.63680000000002</v>
      </c>
      <c r="CV55" s="14">
        <f t="shared" si="41"/>
        <v>47.01710291385907</v>
      </c>
      <c r="CW55" s="22">
        <f t="shared" si="13"/>
        <v>408.68888090830461</v>
      </c>
      <c r="CX55" s="60">
        <f t="shared" si="14"/>
        <v>702.02221424163793</v>
      </c>
      <c r="CY55" s="60">
        <f ca="1">AVERAGE(OFFSET($CX$3,0,0,'Données projet'!$E$13+1,1))-AVERAGE(OFFSET($H$3,0,0,'Données projet'!$E$13+1,1))</f>
        <v>456.86147223520601</v>
      </c>
      <c r="CZ55" s="60">
        <f t="shared" si="42"/>
        <v>244.45149244446094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4.2307692307692291</v>
      </c>
      <c r="DO55" s="13">
        <f>IF('Données projet'!$A$166&gt;35,DO54+DN55-DW54,IF(A55&lt;'Données projet'!$A$166,$DL$205^A55,IF(A55='Données projet'!$A$166,'Données projet'!$B$166,DO54+DN55-DW54)))</f>
        <v>126.41025641025637</v>
      </c>
      <c r="DP55" s="18">
        <f>DO55*VLOOKUP('Données projet'!$B$14,Paramètres!$A$1:$I$89,3,0)*VLOOKUP('Données projet'!$B$14,Paramètres!$A$1:$I$89,5,0)</f>
        <v>120.29199999999996</v>
      </c>
      <c r="DQ55" s="14">
        <f t="shared" si="43"/>
        <v>31.743093862743649</v>
      </c>
      <c r="DR55" s="22">
        <f t="shared" si="16"/>
        <v>264.79445514427846</v>
      </c>
      <c r="DS55" s="60">
        <f t="shared" si="17"/>
        <v>558.12778847761183</v>
      </c>
      <c r="DT55" s="60">
        <f ca="1">AVERAGE(OFFSET($DS$3,0,0,'Données projet'!$E$14+1,1))-AVERAGE(OFFSET($H$3,0,0,'Données projet'!$E$14+1,1))</f>
        <v>300.36889324671682</v>
      </c>
      <c r="DU55" s="60">
        <f t="shared" si="44"/>
        <v>214.36051699039683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3.4</v>
      </c>
      <c r="EJ55" s="13">
        <f>IF('Données projet'!$A$192&gt;35,EJ54+EI55-ER54,IF(A55&lt;'Données projet'!$A$192,$EG$205^A55,IF(A55='Données projet'!$A$192,'Données projet'!$B$192,EJ54+EI55-ER54)))</f>
        <v>133.79999999999995</v>
      </c>
      <c r="EK55" s="18">
        <f>EJ55*VLOOKUP('Données projet'!$B$15,Paramètres!$A$1:$I$89,3,0)*VLOOKUP('Données projet'!$B$15,Paramètres!$A$1:$I$89,5,0)</f>
        <v>116.88767999999997</v>
      </c>
      <c r="EL55" s="14">
        <f t="shared" si="45"/>
        <v>30.947995316838725</v>
      </c>
      <c r="EM55" s="22">
        <f t="shared" si="19"/>
        <v>257.48046784349401</v>
      </c>
      <c r="EN55" s="60">
        <f t="shared" si="20"/>
        <v>550.81380117682738</v>
      </c>
      <c r="EO55" s="60">
        <f ca="1">AVERAGE(OFFSET($EN$3,0,0,'Données projet'!$E$15+1,1))-AVERAGE(OFFSET($H$3,0,0,'Données projet'!$E$15+1,1))</f>
        <v>202.46844517174412</v>
      </c>
      <c r="EP55" s="60">
        <f t="shared" si="46"/>
        <v>185.00219255324515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6.2820512820512819</v>
      </c>
      <c r="FE55" s="13">
        <f>IF('Données projet'!$A$218&gt;35,FE54+FD55-FM54,IF(A55&lt;'Données projet'!$A$218,$FB$205^A55,IF(A55='Données projet'!$A$218,'Données projet'!$B$218,FE54+FD55-FM54)))</f>
        <v>239.48717948717947</v>
      </c>
      <c r="FF55" s="18">
        <f>FE55*VLOOKUP('Données projet'!$B$16,Paramètres!$A$1:$I$89,3,0)*VLOOKUP('Données projet'!$B$16,Paramètres!$A$1:$I$89,5,0)</f>
        <v>160.648</v>
      </c>
      <c r="FG55" s="14">
        <f t="shared" si="47"/>
        <v>40.988639216339969</v>
      </c>
      <c r="FH55" s="22">
        <f t="shared" si="22"/>
        <v>351.1838133017921</v>
      </c>
      <c r="FI55" s="60">
        <f t="shared" si="23"/>
        <v>644.51714663512541</v>
      </c>
      <c r="FJ55" s="60">
        <f ca="1">AVERAGE(OFFSET($FI$3,0,0,'Données projet'!$E$16+1,1))-AVERAGE(OFFSET($H$3,0,0,'Données projet'!$E$16+1,1))</f>
        <v>344.87493856469382</v>
      </c>
      <c r="FK55" s="60">
        <f t="shared" si="48"/>
        <v>261.91036689641402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>
        <f>FZ55*VLOOKUP('Données projet'!$B$17,Paramètres!$A$1:$I$89,3,0)*VLOOKUP('Données projet'!$B$17,Paramètres!$A$1:$I$89,5,0)</f>
        <v>0</v>
      </c>
      <c r="GB55" s="14" t="e">
        <f t="shared" si="49"/>
        <v>#NUM!</v>
      </c>
      <c r="GC55" s="22" t="e">
        <f t="shared" si="25"/>
        <v>#NUM!</v>
      </c>
      <c r="GD55" s="60" t="e">
        <f t="shared" si="26"/>
        <v>#NUM!</v>
      </c>
      <c r="GE55" s="60">
        <f ca="1">AVERAGE(OFFSET($GD$3,0,0,'Données projet'!$E$17+1,1))-AVERAGE(OFFSET($H$3,0,0,'Données projet'!$E$17+1,1))</f>
        <v>268.19959446602911</v>
      </c>
      <c r="GF55" s="60">
        <f t="shared" si="50"/>
        <v>691.2533336811855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92.974561625625356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92.974561625625356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>
        <f>VLOOKUP(A55,'Données projet'!$A$269:$I$289,2,0)</f>
        <v>270</v>
      </c>
      <c r="GS55" s="13">
        <f>VLOOKUP(A55,'Données projet'!$A$269:$I$289,9,0)</f>
        <v>10.375</v>
      </c>
      <c r="GT55" s="13">
        <f t="array" ref="GT55">INDEX(GS:GS,MIN(IF(ISNUMBER(GS55:GS251),ROW(GS55:GS251),"")))</f>
        <v>10.375</v>
      </c>
      <c r="GU55" s="13">
        <f>IF('Données projet'!$A$270&gt;35,GU54+GT55-HC54,IF(A55&lt;'Données projet'!$A$270,$GR$205^A55,IF(A55='Données projet'!$A$270,'Données projet'!$B$270,GU54+GT55-HC54)))</f>
        <v>269.99999999999994</v>
      </c>
      <c r="GV55" s="18">
        <f>GU55*VLOOKUP('Données projet'!$B$18,Paramètres!$A$1:$I$89,3,0)*VLOOKUP('Données projet'!$B$18,Paramètres!$A$1:$I$89,5,0)</f>
        <v>210.59999999999997</v>
      </c>
      <c r="GW55" s="14">
        <f t="shared" si="51"/>
        <v>52.066679014659961</v>
      </c>
      <c r="GX55" s="22">
        <f t="shared" si="28"/>
        <v>457.47779928386598</v>
      </c>
      <c r="GY55" s="60">
        <f t="shared" si="29"/>
        <v>750.81113261719929</v>
      </c>
      <c r="GZ55" s="60">
        <f ca="1">AVERAGE(OFFSET($GY$3,0,0,'Données projet'!$E$18+1,1))-AVERAGE(OFFSET($H$3,0,0,'Données projet'!$E$18+1,1))</f>
        <v>292.57482726862594</v>
      </c>
      <c r="HA55" s="60">
        <f t="shared" si="52"/>
        <v>283.48738729114024</v>
      </c>
      <c r="HB55" s="16">
        <f>IF(ISNA(VLOOKUP(A55,'Données projet'!$A$269:$I$289,3,0)),0,VLOOKUP(A55,'Données projet'!$A$269:$I$289,3,0))</f>
        <v>5</v>
      </c>
      <c r="HC55" s="16">
        <f>IF(ISNA(VLOOKUP(A55,'Données projet'!$A$269:$I$289,4,0)),0,VLOOKUP(A55,'Données projet'!$A$269:$I$289,4,0))</f>
        <v>48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22.7</v>
      </c>
      <c r="N56" s="14">
        <f>IF('Données projet'!$A$36&gt;35,N55+M56-V55,IF(A56&lt;'Données projet'!$A$36,$K$205^A56,IF(A56='Données projet'!$A$36,'Données projet'!$B$36,N55+M56-V55)))</f>
        <v>357.09999999999974</v>
      </c>
      <c r="O56" s="14">
        <f>N56*VLOOKUP('Données projet'!$B$9,Paramètres!$A$1:$I$89,3,0)*VLOOKUP('Données projet'!$B$9,Paramètres!$A$1:$I$89,5,0)</f>
        <v>167.12279999999987</v>
      </c>
      <c r="P56" s="14">
        <f t="shared" si="33"/>
        <v>42.444987720629342</v>
      </c>
      <c r="Q56" s="22">
        <f t="shared" si="53"/>
        <v>364.99723028009589</v>
      </c>
      <c r="R56" s="60">
        <f t="shared" si="0"/>
        <v>658.33056361342915</v>
      </c>
      <c r="S56" s="60">
        <f ca="1">AVERAGE(OFFSET($R$3,0,0,'Données projet'!$E$9+1,1))-AVERAGE(OFFSET($H$3,0,0,'Données projet'!$E$9+1,1))</f>
        <v>399.92909819003523</v>
      </c>
      <c r="T56" s="60">
        <f t="shared" si="34"/>
        <v>163.7053537268381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371.59999999999968</v>
      </c>
      <c r="AJ56" s="14">
        <f>AI56*VLOOKUP('Données projet'!$B$10,Paramètres!$A$1:$I$89,3,0)*VLOOKUP('Données projet'!$B$10,Paramètres!$A$1:$I$89,5,0)</f>
        <v>222.21679999999984</v>
      </c>
      <c r="AK56" s="14">
        <f t="shared" si="35"/>
        <v>54.596414746647248</v>
      </c>
      <c r="AL56" s="22">
        <f t="shared" si="4"/>
        <v>482.11634901707697</v>
      </c>
      <c r="AM56" s="60">
        <f t="shared" si="5"/>
        <v>775.44968235041028</v>
      </c>
      <c r="AN56" s="60">
        <f ca="1">AVERAGE(OFFSET($AM$3,0,0,'Données projet'!$E$10+1,1))-AVERAGE(OFFSET($H$3,0,0,'Données projet'!$E$10+1,1))</f>
        <v>455.43477166687273</v>
      </c>
      <c r="AO56" s="60">
        <f t="shared" si="36"/>
        <v>312.81310692672895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202</v>
      </c>
      <c r="BE56" s="14">
        <f>BD56*VLOOKUP('Données projet'!$B$11,Paramètres!$A$1:$I$89,3,0)*VLOOKUP('Données projet'!$B$11,Paramètres!$A$1:$I$89,5,0)</f>
        <v>182.7696</v>
      </c>
      <c r="BF56" s="14">
        <f t="shared" si="37"/>
        <v>45.937822477650357</v>
      </c>
      <c r="BG56" s="22">
        <f t="shared" si="7"/>
        <v>398.33209414857441</v>
      </c>
      <c r="BH56" s="60">
        <f t="shared" si="8"/>
        <v>691.66542748190773</v>
      </c>
      <c r="BI56" s="60">
        <f ca="1">AVERAGE(OFFSET($BH$3,0,0,'Données projet'!$E$11+1,1))-AVERAGE(OFFSET($H$3,0,0,'Données projet'!$E$11+1,1))</f>
        <v>430.11660085503223</v>
      </c>
      <c r="BJ56" s="60">
        <f t="shared" si="38"/>
        <v>231.36959598460686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202</v>
      </c>
      <c r="BZ56" s="14">
        <f>BY56*VLOOKUP('Données projet'!$B$12,Paramètres!$A$1:$I$89,3,0)*VLOOKUP('Données projet'!$B$12,Paramètres!$A$1:$I$89,5,0)</f>
        <v>204.82800000000003</v>
      </c>
      <c r="CA56" s="14">
        <f t="shared" si="39"/>
        <v>50.80373850176295</v>
      </c>
      <c r="CB56" s="22">
        <f t="shared" si="10"/>
        <v>445.22527789057045</v>
      </c>
      <c r="CC56" s="60">
        <f t="shared" si="11"/>
        <v>738.55861122390377</v>
      </c>
      <c r="CD56" s="60">
        <f ca="1">AVERAGE(OFFSET($CC$3,0,0,'Données projet'!$E$12+1,1))-AVERAGE(OFFSET($H$3,0,0,'Données projet'!$E$12+1,1))</f>
        <v>476.8965664931755</v>
      </c>
      <c r="CE56" s="60">
        <f t="shared" si="40"/>
        <v>254.25036207346591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202</v>
      </c>
      <c r="CU56" s="18">
        <f>CT56*VLOOKUP('Données projet'!$B$13,Paramètres!$A$1:$I$89,3,0)*VLOOKUP('Données projet'!$B$13,Paramètres!$A$1:$I$89,5,0)</f>
        <v>195.37440000000001</v>
      </c>
      <c r="CV56" s="14">
        <f t="shared" si="41"/>
        <v>48.726220575731652</v>
      </c>
      <c r="CW56" s="22">
        <f t="shared" si="13"/>
        <v>425.14191416939929</v>
      </c>
      <c r="CX56" s="60">
        <f t="shared" si="14"/>
        <v>718.4752475027326</v>
      </c>
      <c r="CY56" s="60">
        <f ca="1">AVERAGE(OFFSET($CX$3,0,0,'Données projet'!$E$13+1,1))-AVERAGE(OFFSET($H$3,0,0,'Données projet'!$E$13+1,1))</f>
        <v>456.86147223520601</v>
      </c>
      <c r="CZ56" s="60">
        <f t="shared" si="42"/>
        <v>244.45149244446094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4.2307692307692291</v>
      </c>
      <c r="DO56" s="13">
        <f>IF('Données projet'!$A$166&gt;35,DO55+DN56-DW55,IF(A56&lt;'Données projet'!$A$166,$DL$205^A56,IF(A56='Données projet'!$A$166,'Données projet'!$B$166,DO55+DN56-DW55)))</f>
        <v>130.64102564102561</v>
      </c>
      <c r="DP56" s="18">
        <f>DO56*VLOOKUP('Données projet'!$B$14,Paramètres!$A$1:$I$89,3,0)*VLOOKUP('Données projet'!$B$14,Paramètres!$A$1:$I$89,5,0)</f>
        <v>124.31799999999997</v>
      </c>
      <c r="DQ56" s="14">
        <f t="shared" si="43"/>
        <v>32.680020496297395</v>
      </c>
      <c r="DR56" s="22">
        <f t="shared" si="16"/>
        <v>273.43821903105123</v>
      </c>
      <c r="DS56" s="60">
        <f t="shared" si="17"/>
        <v>566.77155236438455</v>
      </c>
      <c r="DT56" s="60">
        <f ca="1">AVERAGE(OFFSET($DS$3,0,0,'Données projet'!$E$14+1,1))-AVERAGE(OFFSET($H$3,0,0,'Données projet'!$E$14+1,1))</f>
        <v>300.36889324671682</v>
      </c>
      <c r="DU56" s="60">
        <f t="shared" si="44"/>
        <v>214.36051699039683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3.4</v>
      </c>
      <c r="EJ56" s="13">
        <f>IF('Données projet'!$A$192&gt;35,EJ55+EI56-ER55,IF(A56&lt;'Données projet'!$A$192,$EG$205^A56,IF(A56='Données projet'!$A$192,'Données projet'!$B$192,EJ55+EI56-ER55)))</f>
        <v>137.19999999999996</v>
      </c>
      <c r="EK56" s="18">
        <f>EJ56*VLOOKUP('Données projet'!$B$15,Paramètres!$A$1:$I$89,3,0)*VLOOKUP('Données projet'!$B$15,Paramètres!$A$1:$I$89,5,0)</f>
        <v>119.85791999999998</v>
      </c>
      <c r="EL56" s="14">
        <f t="shared" si="45"/>
        <v>31.641859182846893</v>
      </c>
      <c r="EM56" s="22">
        <f t="shared" si="19"/>
        <v>263.86211541012494</v>
      </c>
      <c r="EN56" s="60">
        <f t="shared" si="20"/>
        <v>557.1954487434582</v>
      </c>
      <c r="EO56" s="60">
        <f ca="1">AVERAGE(OFFSET($EN$3,0,0,'Données projet'!$E$15+1,1))-AVERAGE(OFFSET($H$3,0,0,'Données projet'!$E$15+1,1))</f>
        <v>202.46844517174412</v>
      </c>
      <c r="EP56" s="60">
        <f t="shared" si="46"/>
        <v>185.00219255324515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6.2820512820512819</v>
      </c>
      <c r="FE56" s="13">
        <f>IF('Données projet'!$A$218&gt;35,FE55+FD56-FM55,IF(A56&lt;'Données projet'!$A$218,$FB$205^A56,IF(A56='Données projet'!$A$218,'Données projet'!$B$218,FE55+FD56-FM55)))</f>
        <v>245.76923076923075</v>
      </c>
      <c r="FF56" s="18">
        <f>FE56*VLOOKUP('Données projet'!$B$16,Paramètres!$A$1:$I$89,3,0)*VLOOKUP('Données projet'!$B$16,Paramètres!$A$1:$I$89,5,0)</f>
        <v>164.86199999999999</v>
      </c>
      <c r="FG56" s="14">
        <f t="shared" si="47"/>
        <v>41.937235202605208</v>
      </c>
      <c r="FH56" s="22">
        <f t="shared" si="22"/>
        <v>360.17533464453732</v>
      </c>
      <c r="FI56" s="60">
        <f t="shared" si="23"/>
        <v>653.50866797787057</v>
      </c>
      <c r="FJ56" s="60">
        <f ca="1">AVERAGE(OFFSET($FI$3,0,0,'Données projet'!$E$16+1,1))-AVERAGE(OFFSET($H$3,0,0,'Données projet'!$E$16+1,1))</f>
        <v>344.87493856469382</v>
      </c>
      <c r="FK56" s="60">
        <f t="shared" si="48"/>
        <v>261.91036689641402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>
        <f>FZ56*VLOOKUP('Données projet'!$B$17,Paramètres!$A$1:$I$89,3,0)*VLOOKUP('Données projet'!$B$17,Paramètres!$A$1:$I$89,5,0)</f>
        <v>0</v>
      </c>
      <c r="GB56" s="14" t="e">
        <f t="shared" si="49"/>
        <v>#NUM!</v>
      </c>
      <c r="GC56" s="22" t="e">
        <f t="shared" si="25"/>
        <v>#NUM!</v>
      </c>
      <c r="GD56" s="60" t="e">
        <f t="shared" si="26"/>
        <v>#NUM!</v>
      </c>
      <c r="GE56" s="60">
        <f ca="1">AVERAGE(OFFSET($GD$3,0,0,'Données projet'!$E$17+1,1))-AVERAGE(OFFSET($H$3,0,0,'Données projet'!$E$17+1,1))</f>
        <v>268.19959446602911</v>
      </c>
      <c r="GF56" s="60">
        <f t="shared" si="50"/>
        <v>691.2533336811855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91.151387181029904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91.151387181029904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9.375</v>
      </c>
      <c r="GU56" s="13">
        <f>IF('Données projet'!$A$270&gt;35,GU55+GT56-HC55,IF(A56&lt;'Données projet'!$A$270,$GR$205^A56,IF(A56='Données projet'!$A$270,'Données projet'!$B$270,GU55+GT56-HC55)))</f>
        <v>231.37499999999994</v>
      </c>
      <c r="GV56" s="18">
        <f>GU56*VLOOKUP('Données projet'!$B$18,Paramètres!$A$1:$I$89,3,0)*VLOOKUP('Données projet'!$B$18,Paramètres!$A$1:$I$89,5,0)</f>
        <v>180.47249999999997</v>
      </c>
      <c r="GW56" s="14">
        <f t="shared" si="51"/>
        <v>45.427292666837829</v>
      </c>
      <c r="GX56" s="22">
        <f t="shared" si="28"/>
        <v>393.44213889474253</v>
      </c>
      <c r="GY56" s="60">
        <f t="shared" si="29"/>
        <v>686.77547222807584</v>
      </c>
      <c r="GZ56" s="60">
        <f ca="1">AVERAGE(OFFSET($GY$3,0,0,'Données projet'!$E$18+1,1))-AVERAGE(OFFSET($H$3,0,0,'Données projet'!$E$18+1,1))</f>
        <v>292.57482726862594</v>
      </c>
      <c r="HA56" s="60">
        <f t="shared" si="52"/>
        <v>283.48738729114024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22.7</v>
      </c>
      <c r="N57" s="14">
        <f>IF('Données projet'!$A$36&gt;35,N56+M57-V56,IF(A57&lt;'Données projet'!$A$36,$K$205^A57,IF(A57='Données projet'!$A$36,'Données projet'!$B$36,N56+M57-V56)))</f>
        <v>379.79999999999973</v>
      </c>
      <c r="O57" s="14">
        <f>N57*VLOOKUP('Données projet'!$B$9,Paramètres!$A$1:$I$89,3,0)*VLOOKUP('Données projet'!$B$9,Paramètres!$A$1:$I$89,5,0)</f>
        <v>177.74639999999988</v>
      </c>
      <c r="P57" s="14">
        <f t="shared" si="33"/>
        <v>44.820434632332443</v>
      </c>
      <c r="Q57" s="22">
        <f t="shared" si="53"/>
        <v>387.63723698464543</v>
      </c>
      <c r="R57" s="60">
        <f t="shared" si="0"/>
        <v>680.97057031797874</v>
      </c>
      <c r="S57" s="60">
        <f ca="1">AVERAGE(OFFSET($R$3,0,0,'Données projet'!$E$9+1,1))-AVERAGE(OFFSET($H$3,0,0,'Données projet'!$E$9+1,1))</f>
        <v>399.92909819003523</v>
      </c>
      <c r="T57" s="60">
        <f t="shared" si="34"/>
        <v>163.7053537268381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381.79999999999967</v>
      </c>
      <c r="AJ57" s="14">
        <f>AI57*VLOOKUP('Données projet'!$B$10,Paramètres!$A$1:$I$89,3,0)*VLOOKUP('Données projet'!$B$10,Paramètres!$A$1:$I$89,5,0)</f>
        <v>228.31639999999982</v>
      </c>
      <c r="AK57" s="14">
        <f t="shared" si="35"/>
        <v>55.918492337377295</v>
      </c>
      <c r="AL57" s="22">
        <f t="shared" si="4"/>
        <v>495.04243748759842</v>
      </c>
      <c r="AM57" s="60">
        <f t="shared" si="5"/>
        <v>788.37577082093173</v>
      </c>
      <c r="AN57" s="60">
        <f ca="1">AVERAGE(OFFSET($AM$3,0,0,'Données projet'!$E$10+1,1))-AVERAGE(OFFSET($H$3,0,0,'Données projet'!$E$10+1,1))</f>
        <v>455.43477166687273</v>
      </c>
      <c r="AO57" s="60">
        <f t="shared" si="36"/>
        <v>312.81310692672895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210</v>
      </c>
      <c r="BE57" s="14">
        <f>BD57*VLOOKUP('Données projet'!$B$11,Paramètres!$A$1:$I$89,3,0)*VLOOKUP('Données projet'!$B$11,Paramètres!$A$1:$I$89,5,0)</f>
        <v>190.00800000000001</v>
      </c>
      <c r="BF57" s="14">
        <f t="shared" si="37"/>
        <v>47.541721533308163</v>
      </c>
      <c r="BG57" s="22">
        <f t="shared" si="7"/>
        <v>413.73243167051174</v>
      </c>
      <c r="BH57" s="60">
        <f t="shared" si="8"/>
        <v>707.06576500384506</v>
      </c>
      <c r="BI57" s="60">
        <f ca="1">AVERAGE(OFFSET($BH$3,0,0,'Données projet'!$E$11+1,1))-AVERAGE(OFFSET($H$3,0,0,'Données projet'!$E$11+1,1))</f>
        <v>430.11660085503223</v>
      </c>
      <c r="BJ57" s="60">
        <f t="shared" si="38"/>
        <v>231.36959598460686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210</v>
      </c>
      <c r="BZ57" s="14">
        <f>BY57*VLOOKUP('Données projet'!$B$12,Paramètres!$A$1:$I$89,3,0)*VLOOKUP('Données projet'!$B$12,Paramètres!$A$1:$I$89,5,0)</f>
        <v>212.94</v>
      </c>
      <c r="CA57" s="14">
        <f t="shared" si="39"/>
        <v>52.577528895212865</v>
      </c>
      <c r="CB57" s="22">
        <f t="shared" si="10"/>
        <v>462.44302949249573</v>
      </c>
      <c r="CC57" s="60">
        <f t="shared" si="11"/>
        <v>755.77636282582898</v>
      </c>
      <c r="CD57" s="60">
        <f ca="1">AVERAGE(OFFSET($CC$3,0,0,'Données projet'!$E$12+1,1))-AVERAGE(OFFSET($H$3,0,0,'Données projet'!$E$12+1,1))</f>
        <v>476.8965664931755</v>
      </c>
      <c r="CE57" s="60">
        <f t="shared" si="40"/>
        <v>254.25036207346591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210</v>
      </c>
      <c r="CU57" s="18">
        <f>CT57*VLOOKUP('Données projet'!$B$13,Paramètres!$A$1:$I$89,3,0)*VLOOKUP('Données projet'!$B$13,Paramètres!$A$1:$I$89,5,0)</f>
        <v>203.11199999999999</v>
      </c>
      <c r="CV57" s="14">
        <f t="shared" si="41"/>
        <v>50.427475336015782</v>
      </c>
      <c r="CW57" s="22">
        <f t="shared" si="13"/>
        <v>441.5812528768941</v>
      </c>
      <c r="CX57" s="60">
        <f t="shared" si="14"/>
        <v>734.91458621022741</v>
      </c>
      <c r="CY57" s="60">
        <f ca="1">AVERAGE(OFFSET($CX$3,0,0,'Données projet'!$E$13+1,1))-AVERAGE(OFFSET($H$3,0,0,'Données projet'!$E$13+1,1))</f>
        <v>456.86147223520601</v>
      </c>
      <c r="CZ57" s="60">
        <f t="shared" si="42"/>
        <v>244.45149244446094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4.2307692307692291</v>
      </c>
      <c r="DO57" s="13">
        <f>IF('Données projet'!$A$166&gt;35,DO56+DN57-DW56,IF(A57&lt;'Données projet'!$A$166,$DL$205^A57,IF(A57='Données projet'!$A$166,'Données projet'!$B$166,DO56+DN57-DW56)))</f>
        <v>134.87179487179483</v>
      </c>
      <c r="DP57" s="18">
        <f>DO57*VLOOKUP('Données projet'!$B$14,Paramètres!$A$1:$I$89,3,0)*VLOOKUP('Données projet'!$B$14,Paramètres!$A$1:$I$89,5,0)</f>
        <v>128.34399999999997</v>
      </c>
      <c r="DQ57" s="14">
        <f t="shared" si="43"/>
        <v>33.613421309084202</v>
      </c>
      <c r="DR57" s="22">
        <f t="shared" si="16"/>
        <v>282.07584211332158</v>
      </c>
      <c r="DS57" s="60">
        <f t="shared" si="17"/>
        <v>575.4091754466549</v>
      </c>
      <c r="DT57" s="60">
        <f ca="1">AVERAGE(OFFSET($DS$3,0,0,'Données projet'!$E$14+1,1))-AVERAGE(OFFSET($H$3,0,0,'Données projet'!$E$14+1,1))</f>
        <v>300.36889324671682</v>
      </c>
      <c r="DU57" s="60">
        <f t="shared" si="44"/>
        <v>214.36051699039683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3.4</v>
      </c>
      <c r="EJ57" s="13">
        <f>IF('Données projet'!$A$192&gt;35,EJ56+EI57-ER56,IF(A57&lt;'Données projet'!$A$192,$EG$205^A57,IF(A57='Données projet'!$A$192,'Données projet'!$B$192,EJ56+EI57-ER56)))</f>
        <v>140.59999999999997</v>
      </c>
      <c r="EK57" s="18">
        <f>EJ57*VLOOKUP('Données projet'!$B$15,Paramètres!$A$1:$I$89,3,0)*VLOOKUP('Données projet'!$B$15,Paramètres!$A$1:$I$89,5,0)</f>
        <v>122.82815999999998</v>
      </c>
      <c r="EL57" s="14">
        <f t="shared" si="45"/>
        <v>32.333724232859019</v>
      </c>
      <c r="EM57" s="22">
        <f t="shared" si="19"/>
        <v>270.24028170556272</v>
      </c>
      <c r="EN57" s="60">
        <f t="shared" si="20"/>
        <v>563.57361503889604</v>
      </c>
      <c r="EO57" s="60">
        <f ca="1">AVERAGE(OFFSET($EN$3,0,0,'Données projet'!$E$15+1,1))-AVERAGE(OFFSET($H$3,0,0,'Données projet'!$E$15+1,1))</f>
        <v>202.46844517174412</v>
      </c>
      <c r="EP57" s="60">
        <f t="shared" si="46"/>
        <v>185.00219255324515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6.2820512820512819</v>
      </c>
      <c r="FE57" s="13">
        <f>IF('Données projet'!$A$218&gt;35,FE56+FD57-FM56,IF(A57&lt;'Données projet'!$A$218,$FB$205^A57,IF(A57='Données projet'!$A$218,'Données projet'!$B$218,FE56+FD57-FM56)))</f>
        <v>252.05128205128202</v>
      </c>
      <c r="FF57" s="18">
        <f>FE57*VLOOKUP('Données projet'!$B$16,Paramètres!$A$1:$I$89,3,0)*VLOOKUP('Données projet'!$B$16,Paramètres!$A$1:$I$89,5,0)</f>
        <v>169.07599999999996</v>
      </c>
      <c r="FG57" s="14">
        <f t="shared" si="47"/>
        <v>42.883012726130275</v>
      </c>
      <c r="FH57" s="22">
        <f t="shared" si="22"/>
        <v>369.1619471646768</v>
      </c>
      <c r="FI57" s="60">
        <f t="shared" si="23"/>
        <v>662.49528049801006</v>
      </c>
      <c r="FJ57" s="60">
        <f ca="1">AVERAGE(OFFSET($FI$3,0,0,'Données projet'!$E$16+1,1))-AVERAGE(OFFSET($H$3,0,0,'Données projet'!$E$16+1,1))</f>
        <v>344.87493856469382</v>
      </c>
      <c r="FK57" s="60">
        <f t="shared" si="48"/>
        <v>261.91036689641402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>
        <f>FZ57*VLOOKUP('Données projet'!$B$17,Paramètres!$A$1:$I$89,3,0)*VLOOKUP('Données projet'!$B$17,Paramètres!$A$1:$I$89,5,0)</f>
        <v>0</v>
      </c>
      <c r="GB57" s="14" t="e">
        <f t="shared" si="49"/>
        <v>#NUM!</v>
      </c>
      <c r="GC57" s="22" t="e">
        <f t="shared" si="25"/>
        <v>#NUM!</v>
      </c>
      <c r="GD57" s="60" t="e">
        <f t="shared" si="26"/>
        <v>#NUM!</v>
      </c>
      <c r="GE57" s="60">
        <f ca="1">AVERAGE(OFFSET($GD$3,0,0,'Données projet'!$E$17+1,1))-AVERAGE(OFFSET($H$3,0,0,'Données projet'!$E$17+1,1))</f>
        <v>268.19959446602911</v>
      </c>
      <c r="GF57" s="60">
        <f t="shared" si="50"/>
        <v>691.2533336811855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89.363964075266352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89.363964075266352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9.375</v>
      </c>
      <c r="GU57" s="13">
        <f>IF('Données projet'!$A$270&gt;35,GU56+GT57-HC56,IF(A57&lt;'Données projet'!$A$270,$GR$205^A57,IF(A57='Données projet'!$A$270,'Données projet'!$B$270,GU56+GT57-HC56)))</f>
        <v>240.74999999999994</v>
      </c>
      <c r="GV57" s="18">
        <f>GU57*VLOOKUP('Données projet'!$B$18,Paramètres!$A$1:$I$89,3,0)*VLOOKUP('Données projet'!$B$18,Paramètres!$A$1:$I$89,5,0)</f>
        <v>187.78499999999997</v>
      </c>
      <c r="GW57" s="14">
        <f t="shared" si="51"/>
        <v>47.049914090154054</v>
      </c>
      <c r="GX57" s="22">
        <f t="shared" si="28"/>
        <v>409.00414204035161</v>
      </c>
      <c r="GY57" s="60">
        <f t="shared" si="29"/>
        <v>702.33747537368492</v>
      </c>
      <c r="GZ57" s="60">
        <f ca="1">AVERAGE(OFFSET($GY$3,0,0,'Données projet'!$E$18+1,1))-AVERAGE(OFFSET($H$3,0,0,'Données projet'!$E$18+1,1))</f>
        <v>292.57482726862594</v>
      </c>
      <c r="HA57" s="60">
        <f t="shared" si="52"/>
        <v>283.48738729114024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22.7</v>
      </c>
      <c r="N58" s="14">
        <f>IF('Données projet'!$A$36&gt;35,N57+M58-V57,IF(A58&lt;'Données projet'!$A$36,$K$205^A58,IF(A58='Données projet'!$A$36,'Données projet'!$B$36,N57+M58-V57)))</f>
        <v>402.49999999999972</v>
      </c>
      <c r="O58" s="14">
        <f>N58*VLOOKUP('Données projet'!$B$9,Paramètres!$A$1:$I$89,3,0)*VLOOKUP('Données projet'!$B$9,Paramètres!$A$1:$I$89,5,0)</f>
        <v>188.36999999999986</v>
      </c>
      <c r="P58" s="14">
        <f t="shared" si="33"/>
        <v>47.179402486491256</v>
      </c>
      <c r="Q58" s="22">
        <f t="shared" si="53"/>
        <v>410.24854266397205</v>
      </c>
      <c r="R58" s="60">
        <f t="shared" si="0"/>
        <v>703.58187599730536</v>
      </c>
      <c r="S58" s="60">
        <f ca="1">AVERAGE(OFFSET($R$3,0,0,'Données projet'!$E$9+1,1))-AVERAGE(OFFSET($H$3,0,0,'Données projet'!$E$9+1,1))</f>
        <v>399.92909819003523</v>
      </c>
      <c r="T58" s="60">
        <f t="shared" si="34"/>
        <v>163.7053537268381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391.99999999999966</v>
      </c>
      <c r="AJ58" s="14">
        <f>AI58*VLOOKUP('Données projet'!$B$10,Paramètres!$A$1:$I$89,3,0)*VLOOKUP('Données projet'!$B$10,Paramètres!$A$1:$I$89,5,0)</f>
        <v>234.41599999999983</v>
      </c>
      <c r="AK58" s="14">
        <f t="shared" si="35"/>
        <v>57.236464545088424</v>
      </c>
      <c r="AL58" s="22">
        <f t="shared" si="4"/>
        <v>507.96137574936205</v>
      </c>
      <c r="AM58" s="60">
        <f t="shared" si="5"/>
        <v>801.29470908269536</v>
      </c>
      <c r="AN58" s="60">
        <f ca="1">AVERAGE(OFFSET($AM$3,0,0,'Données projet'!$E$10+1,1))-AVERAGE(OFFSET($H$3,0,0,'Données projet'!$E$10+1,1))</f>
        <v>455.43477166687273</v>
      </c>
      <c r="AO58" s="60">
        <f t="shared" si="36"/>
        <v>312.81310692672895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218</v>
      </c>
      <c r="BE58" s="14">
        <f>BD58*VLOOKUP('Données projet'!$B$11,Paramètres!$A$1:$I$89,3,0)*VLOOKUP('Données projet'!$B$11,Paramètres!$A$1:$I$89,5,0)</f>
        <v>197.24639999999999</v>
      </c>
      <c r="BF58" s="14">
        <f t="shared" si="37"/>
        <v>49.138522374247202</v>
      </c>
      <c r="BG58" s="22">
        <f t="shared" si="7"/>
        <v>429.12040646848055</v>
      </c>
      <c r="BH58" s="60">
        <f t="shared" si="8"/>
        <v>722.45373980181387</v>
      </c>
      <c r="BI58" s="60">
        <f ca="1">AVERAGE(OFFSET($BH$3,0,0,'Données projet'!$E$11+1,1))-AVERAGE(OFFSET($H$3,0,0,'Données projet'!$E$11+1,1))</f>
        <v>430.11660085503223</v>
      </c>
      <c r="BJ58" s="60">
        <f t="shared" si="38"/>
        <v>231.36959598460686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218</v>
      </c>
      <c r="BZ58" s="14">
        <f>BY58*VLOOKUP('Données projet'!$B$12,Paramètres!$A$1:$I$89,3,0)*VLOOKUP('Données projet'!$B$12,Paramètres!$A$1:$I$89,5,0)</f>
        <v>221.05200000000002</v>
      </c>
      <c r="CA58" s="14">
        <f t="shared" si="39"/>
        <v>54.343469202939254</v>
      </c>
      <c r="CB58" s="22">
        <f t="shared" si="10"/>
        <v>479.64710886178597</v>
      </c>
      <c r="CC58" s="60">
        <f t="shared" si="11"/>
        <v>772.98044219511928</v>
      </c>
      <c r="CD58" s="60">
        <f ca="1">AVERAGE(OFFSET($CC$3,0,0,'Données projet'!$E$12+1,1))-AVERAGE(OFFSET($H$3,0,0,'Données projet'!$E$12+1,1))</f>
        <v>476.8965664931755</v>
      </c>
      <c r="CE58" s="60">
        <f t="shared" si="40"/>
        <v>254.25036207346591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42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218</v>
      </c>
      <c r="CU58" s="18">
        <f>CT58*VLOOKUP('Données projet'!$B$13,Paramètres!$A$1:$I$89,3,0)*VLOOKUP('Données projet'!$B$13,Paramètres!$A$1:$I$89,5,0)</f>
        <v>210.84960000000001</v>
      </c>
      <c r="CV58" s="14">
        <f t="shared" si="41"/>
        <v>52.121201024231922</v>
      </c>
      <c r="CW58" s="22">
        <f t="shared" si="13"/>
        <v>458.00747845053729</v>
      </c>
      <c r="CX58" s="60">
        <f t="shared" si="14"/>
        <v>751.34081178387055</v>
      </c>
      <c r="CY58" s="60">
        <f ca="1">AVERAGE(OFFSET($CX$3,0,0,'Données projet'!$E$13+1,1))-AVERAGE(OFFSET($H$3,0,0,'Données projet'!$E$13+1,1))</f>
        <v>456.86147223520601</v>
      </c>
      <c r="CZ58" s="60">
        <f t="shared" si="42"/>
        <v>244.45149244446094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42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139.10256410256409</v>
      </c>
      <c r="DM58" s="13">
        <f>VLOOKUP(A58,'Données projet'!$A$165:$I$185,9,0)</f>
        <v>4.2307692307692291</v>
      </c>
      <c r="DN58" s="13">
        <f t="array" ref="DN58">INDEX(DM:DM,MIN(IF(ISNUMBER(DM58:DM254),ROW(DM58:DM254),"")))</f>
        <v>4.2307692307692291</v>
      </c>
      <c r="DO58" s="13">
        <f>IF('Données projet'!$A$166&gt;35,DO57+DN58-DW57,IF(A58&lt;'Données projet'!$A$166,$DL$205^A58,IF(A58='Données projet'!$A$166,'Données projet'!$B$166,DO57+DN58-DW57)))</f>
        <v>139.10256410256406</v>
      </c>
      <c r="DP58" s="18">
        <f>DO58*VLOOKUP('Données projet'!$B$14,Paramètres!$A$1:$I$89,3,0)*VLOOKUP('Données projet'!$B$14,Paramètres!$A$1:$I$89,5,0)</f>
        <v>132.36999999999995</v>
      </c>
      <c r="DQ58" s="14">
        <f t="shared" si="43"/>
        <v>34.543419591764284</v>
      </c>
      <c r="DR58" s="22">
        <f t="shared" si="16"/>
        <v>290.70753912232271</v>
      </c>
      <c r="DS58" s="60">
        <f t="shared" si="17"/>
        <v>584.04087245565597</v>
      </c>
      <c r="DT58" s="60">
        <f ca="1">AVERAGE(OFFSET($DS$3,0,0,'Données projet'!$E$14+1,1))-AVERAGE(OFFSET($H$3,0,0,'Données projet'!$E$14+1,1))</f>
        <v>300.36889324671682</v>
      </c>
      <c r="DU58" s="60">
        <f t="shared" si="44"/>
        <v>214.36051699039683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144</v>
      </c>
      <c r="EH58" s="13">
        <f>VLOOKUP(A58,'Données projet'!$A$191:$I$211,9,0)</f>
        <v>3.4</v>
      </c>
      <c r="EI58" s="13">
        <f t="array" ref="EI58">INDEX(EH:EH,MIN(IF(ISNUMBER(EH58:EH254),ROW(EH58:EH254),"")))</f>
        <v>3.4</v>
      </c>
      <c r="EJ58" s="13">
        <f>IF('Données projet'!$A$192&gt;35,EJ57+EI58-ER57,IF(A58&lt;'Données projet'!$A$192,$EG$205^A58,IF(A58='Données projet'!$A$192,'Données projet'!$B$192,EJ57+EI58-ER57)))</f>
        <v>143.99999999999997</v>
      </c>
      <c r="EK58" s="18">
        <f>EJ58*VLOOKUP('Données projet'!$B$15,Paramètres!$A$1:$I$89,3,0)*VLOOKUP('Données projet'!$B$15,Paramètres!$A$1:$I$89,5,0)</f>
        <v>125.79839999999999</v>
      </c>
      <c r="EL58" s="14">
        <f t="shared" si="45"/>
        <v>33.023644363399924</v>
      </c>
      <c r="EM58" s="22">
        <f t="shared" si="19"/>
        <v>276.61506059958816</v>
      </c>
      <c r="EN58" s="60">
        <f t="shared" si="20"/>
        <v>569.94839393292148</v>
      </c>
      <c r="EO58" s="60">
        <f ca="1">AVERAGE(OFFSET($EN$3,0,0,'Données projet'!$E$15+1,1))-AVERAGE(OFFSET($H$3,0,0,'Données projet'!$E$15+1,1))</f>
        <v>202.46844517174412</v>
      </c>
      <c r="EP58" s="60">
        <f t="shared" si="46"/>
        <v>185.00219255324515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20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258.33333333333331</v>
      </c>
      <c r="FC58" s="13">
        <f>VLOOKUP(A58,'Données projet'!$A$217:$I$237,9,0)</f>
        <v>6.2820512820512819</v>
      </c>
      <c r="FD58" s="13">
        <f t="array" ref="FD58">INDEX(FC:FC,MIN(IF(ISNUMBER(FC58:FC254),ROW(FC58:FC254),"")))</f>
        <v>6.2820512820512819</v>
      </c>
      <c r="FE58" s="13">
        <f>IF('Données projet'!$A$218&gt;35,FE57+FD58-FM57,IF(A58&lt;'Données projet'!$A$218,$FB$205^A58,IF(A58='Données projet'!$A$218,'Données projet'!$B$218,FE57+FD58-FM57)))</f>
        <v>258.33333333333331</v>
      </c>
      <c r="FF58" s="18">
        <f>FE58*VLOOKUP('Données projet'!$B$16,Paramètres!$A$1:$I$89,3,0)*VLOOKUP('Données projet'!$B$16,Paramètres!$A$1:$I$89,5,0)</f>
        <v>173.29</v>
      </c>
      <c r="FG58" s="14">
        <f t="shared" si="47"/>
        <v>43.826050112896013</v>
      </c>
      <c r="FH58" s="22">
        <f t="shared" si="22"/>
        <v>378.14378727996046</v>
      </c>
      <c r="FI58" s="60">
        <f t="shared" si="23"/>
        <v>671.47712061329378</v>
      </c>
      <c r="FJ58" s="60">
        <f ca="1">AVERAGE(OFFSET($FI$3,0,0,'Données projet'!$E$16+1,1))-AVERAGE(OFFSET($H$3,0,0,'Données projet'!$E$16+1,1))</f>
        <v>344.87493856469382</v>
      </c>
      <c r="FK58" s="60">
        <f t="shared" si="48"/>
        <v>261.91036689641402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32.692307692307693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>
        <f>FZ58*VLOOKUP('Données projet'!$B$17,Paramètres!$A$1:$I$89,3,0)*VLOOKUP('Données projet'!$B$17,Paramètres!$A$1:$I$89,5,0)</f>
        <v>0</v>
      </c>
      <c r="GB58" s="14" t="e">
        <f t="shared" si="49"/>
        <v>#NUM!</v>
      </c>
      <c r="GC58" s="22" t="e">
        <f t="shared" si="25"/>
        <v>#NUM!</v>
      </c>
      <c r="GD58" s="60" t="e">
        <f t="shared" si="26"/>
        <v>#NUM!</v>
      </c>
      <c r="GE58" s="60">
        <f ca="1">AVERAGE(OFFSET($GD$3,0,0,'Données projet'!$E$17+1,1))-AVERAGE(OFFSET($H$3,0,0,'Données projet'!$E$17+1,1))</f>
        <v>268.19959446602911</v>
      </c>
      <c r="GF58" s="60">
        <f t="shared" si="50"/>
        <v>691.2533336811855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87.611591246386382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87.611591246386382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9.375</v>
      </c>
      <c r="GU58" s="13">
        <f>IF('Données projet'!$A$270&gt;35,GU57+GT58-HC57,IF(A58&lt;'Données projet'!$A$270,$GR$205^A58,IF(A58='Données projet'!$A$270,'Données projet'!$B$270,GU57+GT58-HC57)))</f>
        <v>250.12499999999994</v>
      </c>
      <c r="GV58" s="18">
        <f>GU58*VLOOKUP('Données projet'!$B$18,Paramètres!$A$1:$I$89,3,0)*VLOOKUP('Données projet'!$B$18,Paramètres!$A$1:$I$89,5,0)</f>
        <v>195.09749999999997</v>
      </c>
      <c r="GW58" s="14">
        <f t="shared" si="51"/>
        <v>48.66519532492584</v>
      </c>
      <c r="GX58" s="22">
        <f t="shared" si="28"/>
        <v>424.55336102424576</v>
      </c>
      <c r="GY58" s="60">
        <f t="shared" si="29"/>
        <v>717.88669435757902</v>
      </c>
      <c r="GZ58" s="60">
        <f ca="1">AVERAGE(OFFSET($GY$3,0,0,'Données projet'!$E$18+1,1))-AVERAGE(OFFSET($H$3,0,0,'Données projet'!$E$18+1,1))</f>
        <v>292.57482726862594</v>
      </c>
      <c r="HA58" s="60">
        <f t="shared" si="52"/>
        <v>283.48738729114024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22.7</v>
      </c>
      <c r="N59" s="14">
        <f>IF('Données projet'!$A$36&gt;35,N58+M59-V58,IF(A59&lt;'Données projet'!$A$36,$K$205^A59,IF(A59='Données projet'!$A$36,'Données projet'!$B$36,N58+M59-V58)))</f>
        <v>425.1999999999997</v>
      </c>
      <c r="O59" s="14">
        <f>N59*VLOOKUP('Données projet'!$B$9,Paramètres!$A$1:$I$89,3,0)*VLOOKUP('Données projet'!$B$9,Paramètres!$A$1:$I$89,5,0)</f>
        <v>198.99359999999987</v>
      </c>
      <c r="P59" s="14">
        <f t="shared" si="33"/>
        <v>49.522926570252494</v>
      </c>
      <c r="Q59" s="22">
        <f t="shared" si="53"/>
        <v>432.83295044318953</v>
      </c>
      <c r="R59" s="60">
        <f t="shared" si="0"/>
        <v>726.16628377652285</v>
      </c>
      <c r="S59" s="60">
        <f ca="1">AVERAGE(OFFSET($R$3,0,0,'Données projet'!$E$9+1,1))-AVERAGE(OFFSET($H$3,0,0,'Données projet'!$E$9+1,1))</f>
        <v>399.92909819003523</v>
      </c>
      <c r="T59" s="60">
        <f t="shared" si="34"/>
        <v>163.7053537268381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402.19999999999965</v>
      </c>
      <c r="AJ59" s="14">
        <f>AI59*VLOOKUP('Données projet'!$B$10,Paramètres!$A$1:$I$89,3,0)*VLOOKUP('Données projet'!$B$10,Paramètres!$A$1:$I$89,5,0)</f>
        <v>240.51559999999984</v>
      </c>
      <c r="AK59" s="14">
        <f t="shared" si="35"/>
        <v>58.550450474588217</v>
      </c>
      <c r="AL59" s="22">
        <f t="shared" si="4"/>
        <v>520.87337124324085</v>
      </c>
      <c r="AM59" s="60">
        <f t="shared" si="5"/>
        <v>814.20670457657411</v>
      </c>
      <c r="AN59" s="60">
        <f ca="1">AVERAGE(OFFSET($AM$3,0,0,'Données projet'!$E$10+1,1))-AVERAGE(OFFSET($H$3,0,0,'Données projet'!$E$10+1,1))</f>
        <v>455.43477166687273</v>
      </c>
      <c r="AO59" s="60">
        <f t="shared" si="36"/>
        <v>312.81310692672895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166.12127999999998</v>
      </c>
      <c r="BF59" s="14">
        <f t="shared" si="37"/>
        <v>42.220155874487318</v>
      </c>
      <c r="BG59" s="22">
        <f t="shared" si="7"/>
        <v>362.8613341480654</v>
      </c>
      <c r="BH59" s="60">
        <f t="shared" si="8"/>
        <v>656.19466748139871</v>
      </c>
      <c r="BI59" s="60">
        <f ca="1">AVERAGE(OFFSET($BH$3,0,0,'Données projet'!$E$11+1,1))-AVERAGE(OFFSET($H$3,0,0,'Données projet'!$E$11+1,1))</f>
        <v>430.11660085503223</v>
      </c>
      <c r="BJ59" s="60">
        <f t="shared" si="38"/>
        <v>231.36959598460686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projet'!$B$12,Paramètres!$A$1:$I$89,3,0)*VLOOKUP('Données projet'!$B$12,Paramètres!$A$1:$I$89,5,0)</f>
        <v>186.1704</v>
      </c>
      <c r="CA59" s="14">
        <f t="shared" si="39"/>
        <v>46.692281933796018</v>
      </c>
      <c r="CB59" s="22">
        <f t="shared" si="10"/>
        <v>405.56917103469476</v>
      </c>
      <c r="CC59" s="60">
        <f t="shared" si="11"/>
        <v>698.90250436802808</v>
      </c>
      <c r="CD59" s="60">
        <f ca="1">AVERAGE(OFFSET($CC$3,0,0,'Données projet'!$E$12+1,1))-AVERAGE(OFFSET($H$3,0,0,'Données projet'!$E$12+1,1))</f>
        <v>476.8965664931755</v>
      </c>
      <c r="CE59" s="60">
        <f t="shared" si="40"/>
        <v>254.25036207346591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183.6</v>
      </c>
      <c r="CU59" s="18">
        <f>CT59*VLOOKUP('Données projet'!$B$13,Paramètres!$A$1:$I$89,3,0)*VLOOKUP('Données projet'!$B$13,Paramètres!$A$1:$I$89,5,0)</f>
        <v>177.57792000000001</v>
      </c>
      <c r="CV59" s="14">
        <f t="shared" si="41"/>
        <v>44.782893853597976</v>
      </c>
      <c r="CW59" s="22">
        <f t="shared" si="13"/>
        <v>387.27841746168315</v>
      </c>
      <c r="CX59" s="60">
        <f t="shared" si="14"/>
        <v>680.61175079501641</v>
      </c>
      <c r="CY59" s="60">
        <f ca="1">AVERAGE(OFFSET($CX$3,0,0,'Données projet'!$E$13+1,1))-AVERAGE(OFFSET($H$3,0,0,'Données projet'!$E$13+1,1))</f>
        <v>456.86147223520601</v>
      </c>
      <c r="CZ59" s="60">
        <f t="shared" si="42"/>
        <v>244.45149244446094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4.1025641025641049</v>
      </c>
      <c r="DO59" s="13">
        <f>IF('Données projet'!$A$166&gt;35,DO58+DN59-DW58,IF(A59&lt;'Données projet'!$A$166,$DL$205^A59,IF(A59='Données projet'!$A$166,'Données projet'!$B$166,DO58+DN59-DW58)))</f>
        <v>143.20512820512818</v>
      </c>
      <c r="DP59" s="18">
        <f>DO59*VLOOKUP('Données projet'!$B$14,Paramètres!$A$1:$I$89,3,0)*VLOOKUP('Données projet'!$B$14,Paramètres!$A$1:$I$89,5,0)</f>
        <v>136.27399999999997</v>
      </c>
      <c r="DQ59" s="14">
        <f t="shared" si="43"/>
        <v>35.442095790005467</v>
      </c>
      <c r="DR59" s="22">
        <f t="shared" si="16"/>
        <v>299.07220016759283</v>
      </c>
      <c r="DS59" s="60">
        <f t="shared" si="17"/>
        <v>592.40553350092614</v>
      </c>
      <c r="DT59" s="60">
        <f ca="1">AVERAGE(OFFSET($DS$3,0,0,'Données projet'!$E$14+1,1))-AVERAGE(OFFSET($H$3,0,0,'Données projet'!$E$14+1,1))</f>
        <v>300.36889324671682</v>
      </c>
      <c r="DU59" s="60">
        <f t="shared" si="44"/>
        <v>214.36051699039683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3.2</v>
      </c>
      <c r="EJ59" s="13">
        <f>IF('Données projet'!$A$192&gt;35,EJ58+EI59-ER58,IF(A59&lt;'Données projet'!$A$192,$EG$205^A59,IF(A59='Données projet'!$A$192,'Données projet'!$B$192,EJ58+EI59-ER58)))</f>
        <v>127.19999999999996</v>
      </c>
      <c r="EK59" s="18">
        <f>EJ59*VLOOKUP('Données projet'!$B$15,Paramètres!$A$1:$I$89,3,0)*VLOOKUP('Données projet'!$B$15,Paramètres!$A$1:$I$89,5,0)</f>
        <v>111.12191999999997</v>
      </c>
      <c r="EL59" s="14">
        <f t="shared" si="45"/>
        <v>29.595161360044589</v>
      </c>
      <c r="EM59" s="22">
        <f t="shared" si="19"/>
        <v>245.08225003541096</v>
      </c>
      <c r="EN59" s="60">
        <f t="shared" si="20"/>
        <v>538.41558336874425</v>
      </c>
      <c r="EO59" s="60">
        <f ca="1">AVERAGE(OFFSET($EN$3,0,0,'Données projet'!$E$15+1,1))-AVERAGE(OFFSET($H$3,0,0,'Données projet'!$E$15+1,1))</f>
        <v>202.46844517174412</v>
      </c>
      <c r="EP59" s="60">
        <f t="shared" si="46"/>
        <v>185.00219255324515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5.8974358974358951</v>
      </c>
      <c r="FE59" s="13">
        <f>IF('Données projet'!$A$218&gt;35,FE58+FD59-FM58,IF(A59&lt;'Données projet'!$A$218,$FB$205^A59,IF(A59='Données projet'!$A$218,'Données projet'!$B$218,FE58+FD59-FM58)))</f>
        <v>231.53846153846155</v>
      </c>
      <c r="FF59" s="18">
        <f>FE59*VLOOKUP('Données projet'!$B$16,Paramètres!$A$1:$I$89,3,0)*VLOOKUP('Données projet'!$B$16,Paramètres!$A$1:$I$89,5,0)</f>
        <v>155.316</v>
      </c>
      <c r="FG59" s="14">
        <f t="shared" si="47"/>
        <v>39.784206160846679</v>
      </c>
      <c r="FH59" s="22">
        <f t="shared" si="22"/>
        <v>339.79952573014128</v>
      </c>
      <c r="FI59" s="60">
        <f t="shared" si="23"/>
        <v>633.1328590634746</v>
      </c>
      <c r="FJ59" s="60">
        <f ca="1">AVERAGE(OFFSET($FI$3,0,0,'Données projet'!$E$16+1,1))-AVERAGE(OFFSET($H$3,0,0,'Données projet'!$E$16+1,1))</f>
        <v>344.87493856469382</v>
      </c>
      <c r="FK59" s="60">
        <f t="shared" si="48"/>
        <v>261.91036689641402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>
        <f>FZ59*VLOOKUP('Données projet'!$B$17,Paramètres!$A$1:$I$89,3,0)*VLOOKUP('Données projet'!$B$17,Paramètres!$A$1:$I$89,5,0)</f>
        <v>0</v>
      </c>
      <c r="GB59" s="14" t="e">
        <f t="shared" si="49"/>
        <v>#NUM!</v>
      </c>
      <c r="GC59" s="22" t="e">
        <f t="shared" si="25"/>
        <v>#NUM!</v>
      </c>
      <c r="GD59" s="60" t="e">
        <f t="shared" si="26"/>
        <v>#NUM!</v>
      </c>
      <c r="GE59" s="60">
        <f ca="1">AVERAGE(OFFSET($GD$3,0,0,'Données projet'!$E$17+1,1))-AVERAGE(OFFSET($H$3,0,0,'Données projet'!$E$17+1,1))</f>
        <v>268.19959446602911</v>
      </c>
      <c r="GF59" s="60">
        <f t="shared" si="50"/>
        <v>691.2533336811855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85.893581379838864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85.893581379838864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9.375</v>
      </c>
      <c r="GU59" s="13">
        <f>IF('Données projet'!$A$270&gt;35,GU58+GT59-HC58,IF(A59&lt;'Données projet'!$A$270,$GR$205^A59,IF(A59='Données projet'!$A$270,'Données projet'!$B$270,GU58+GT59-HC58)))</f>
        <v>259.49999999999994</v>
      </c>
      <c r="GV59" s="18">
        <f>GU59*VLOOKUP('Données projet'!$B$18,Paramètres!$A$1:$I$89,3,0)*VLOOKUP('Données projet'!$B$18,Paramètres!$A$1:$I$89,5,0)</f>
        <v>202.40999999999997</v>
      </c>
      <c r="GW59" s="14">
        <f t="shared" si="51"/>
        <v>50.273442991661867</v>
      </c>
      <c r="GX59" s="22">
        <f t="shared" si="28"/>
        <v>440.09032987714431</v>
      </c>
      <c r="GY59" s="60">
        <f t="shared" si="29"/>
        <v>733.42366321047757</v>
      </c>
      <c r="GZ59" s="60">
        <f ca="1">AVERAGE(OFFSET($GY$3,0,0,'Données projet'!$E$18+1,1))-AVERAGE(OFFSET($H$3,0,0,'Données projet'!$E$18+1,1))</f>
        <v>292.57482726862594</v>
      </c>
      <c r="HA59" s="60">
        <f t="shared" si="52"/>
        <v>283.48738729114024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22.7</v>
      </c>
      <c r="N60" s="14">
        <f>IF('Données projet'!$A$36&gt;35,N59+M60-V59,IF(A60&lt;'Données projet'!$A$36,$K$205^A60,IF(A60='Données projet'!$A$36,'Données projet'!$B$36,N59+M60-V59)))</f>
        <v>447.89999999999969</v>
      </c>
      <c r="O60" s="14">
        <f>N60*VLOOKUP('Données projet'!$B$9,Paramètres!$A$1:$I$89,3,0)*VLOOKUP('Données projet'!$B$9,Paramètres!$A$1:$I$89,5,0)</f>
        <v>209.61719999999985</v>
      </c>
      <c r="P60" s="14">
        <f t="shared" si="33"/>
        <v>51.851925386563117</v>
      </c>
      <c r="Q60" s="22">
        <f t="shared" si="53"/>
        <v>455.39206004826383</v>
      </c>
      <c r="R60" s="60">
        <f t="shared" si="0"/>
        <v>748.72539338159709</v>
      </c>
      <c r="S60" s="60">
        <f ca="1">AVERAGE(OFFSET($R$3,0,0,'Données projet'!$E$9+1,1))-AVERAGE(OFFSET($H$3,0,0,'Données projet'!$E$9+1,1))</f>
        <v>399.92909819003523</v>
      </c>
      <c r="T60" s="60">
        <f t="shared" si="34"/>
        <v>163.7053537268381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412.39999999999964</v>
      </c>
      <c r="AJ60" s="14">
        <f>AI60*VLOOKUP('Données projet'!$B$10,Paramètres!$A$1:$I$89,3,0)*VLOOKUP('Données projet'!$B$10,Paramètres!$A$1:$I$89,5,0)</f>
        <v>246.61519999999979</v>
      </c>
      <c r="AK60" s="14">
        <f t="shared" si="35"/>
        <v>59.860562845334421</v>
      </c>
      <c r="AL60" s="22">
        <f t="shared" si="4"/>
        <v>533.77862028895709</v>
      </c>
      <c r="AM60" s="60">
        <f t="shared" si="5"/>
        <v>827.11195362229046</v>
      </c>
      <c r="AN60" s="60">
        <f ca="1">AVERAGE(OFFSET($AM$3,0,0,'Données projet'!$E$10+1,1))-AVERAGE(OFFSET($H$3,0,0,'Données projet'!$E$10+1,1))</f>
        <v>455.43477166687273</v>
      </c>
      <c r="AO60" s="60">
        <f t="shared" si="36"/>
        <v>312.81310692672895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172.99775999999997</v>
      </c>
      <c r="BF60" s="14">
        <f t="shared" si="37"/>
        <v>43.760737531919609</v>
      </c>
      <c r="BG60" s="22">
        <f t="shared" si="7"/>
        <v>377.52104986809326</v>
      </c>
      <c r="BH60" s="60">
        <f t="shared" si="8"/>
        <v>670.85438320142657</v>
      </c>
      <c r="BI60" s="60">
        <f ca="1">AVERAGE(OFFSET($BH$3,0,0,'Données projet'!$E$11+1,1))-AVERAGE(OFFSET($H$3,0,0,'Données projet'!$E$11+1,1))</f>
        <v>430.11660085503223</v>
      </c>
      <c r="BJ60" s="60">
        <f t="shared" si="38"/>
        <v>231.36959598460686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projet'!$B$12,Paramètres!$A$1:$I$89,3,0)*VLOOKUP('Données projet'!$B$12,Paramètres!$A$1:$I$89,5,0)</f>
        <v>193.8768</v>
      </c>
      <c r="CA60" s="14">
        <f t="shared" si="39"/>
        <v>48.396048099527611</v>
      </c>
      <c r="CB60" s="22">
        <f t="shared" si="10"/>
        <v>421.95854377334393</v>
      </c>
      <c r="CC60" s="60">
        <f t="shared" si="11"/>
        <v>715.29187710667725</v>
      </c>
      <c r="CD60" s="60">
        <f ca="1">AVERAGE(OFFSET($CC$3,0,0,'Données projet'!$E$12+1,1))-AVERAGE(OFFSET($H$3,0,0,'Données projet'!$E$12+1,1))</f>
        <v>476.8965664931755</v>
      </c>
      <c r="CE60" s="60">
        <f t="shared" si="40"/>
        <v>254.25036207346591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191.2</v>
      </c>
      <c r="CU60" s="18">
        <f>CT60*VLOOKUP('Données projet'!$B$13,Paramètres!$A$1:$I$89,3,0)*VLOOKUP('Données projet'!$B$13,Paramètres!$A$1:$I$89,5,0)</f>
        <v>184.92864</v>
      </c>
      <c r="CV60" s="14">
        <f t="shared" si="41"/>
        <v>46.416987887800225</v>
      </c>
      <c r="CW60" s="22">
        <f t="shared" si="13"/>
        <v>402.92696857125202</v>
      </c>
      <c r="CX60" s="60">
        <f t="shared" si="14"/>
        <v>696.26030190458528</v>
      </c>
      <c r="CY60" s="60">
        <f ca="1">AVERAGE(OFFSET($CX$3,0,0,'Données projet'!$E$13+1,1))-AVERAGE(OFFSET($H$3,0,0,'Données projet'!$E$13+1,1))</f>
        <v>456.86147223520601</v>
      </c>
      <c r="CZ60" s="60">
        <f t="shared" si="42"/>
        <v>244.45149244446094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4.1025641025641049</v>
      </c>
      <c r="DO60" s="13">
        <f>IF('Données projet'!$A$166&gt;35,DO59+DN60-DW59,IF(A60&lt;'Données projet'!$A$166,$DL$205^A60,IF(A60='Données projet'!$A$166,'Données projet'!$B$166,DO59+DN60-DW59)))</f>
        <v>147.30769230769229</v>
      </c>
      <c r="DP60" s="18">
        <f>DO60*VLOOKUP('Données projet'!$B$14,Paramètres!$A$1:$I$89,3,0)*VLOOKUP('Données projet'!$B$14,Paramètres!$A$1:$I$89,5,0)</f>
        <v>140.17799999999997</v>
      </c>
      <c r="DQ60" s="14">
        <f t="shared" si="43"/>
        <v>36.337779779472818</v>
      </c>
      <c r="DR60" s="22">
        <f t="shared" si="16"/>
        <v>307.43164978258176</v>
      </c>
      <c r="DS60" s="60">
        <f t="shared" si="17"/>
        <v>600.76498311591513</v>
      </c>
      <c r="DT60" s="60">
        <f ca="1">AVERAGE(OFFSET($DS$3,0,0,'Données projet'!$E$14+1,1))-AVERAGE(OFFSET($H$3,0,0,'Données projet'!$E$14+1,1))</f>
        <v>300.36889324671682</v>
      </c>
      <c r="DU60" s="60">
        <f t="shared" si="44"/>
        <v>214.36051699039683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3.2</v>
      </c>
      <c r="EJ60" s="13">
        <f>IF('Données projet'!$A$192&gt;35,EJ59+EI60-ER59,IF(A60&lt;'Données projet'!$A$192,$EG$205^A60,IF(A60='Données projet'!$A$192,'Données projet'!$B$192,EJ59+EI60-ER59)))</f>
        <v>130.39999999999995</v>
      </c>
      <c r="EK60" s="18">
        <f>EJ60*VLOOKUP('Données projet'!$B$15,Paramètres!$A$1:$I$89,3,0)*VLOOKUP('Données projet'!$B$15,Paramètres!$A$1:$I$89,5,0)</f>
        <v>113.91743999999996</v>
      </c>
      <c r="EL60" s="14">
        <f t="shared" si="45"/>
        <v>30.252075834566813</v>
      </c>
      <c r="EM60" s="22">
        <f t="shared" si="19"/>
        <v>251.0952400785371</v>
      </c>
      <c r="EN60" s="60">
        <f t="shared" si="20"/>
        <v>544.42857341187039</v>
      </c>
      <c r="EO60" s="60">
        <f ca="1">AVERAGE(OFFSET($EN$3,0,0,'Données projet'!$E$15+1,1))-AVERAGE(OFFSET($H$3,0,0,'Données projet'!$E$15+1,1))</f>
        <v>202.46844517174412</v>
      </c>
      <c r="EP60" s="60">
        <f t="shared" si="46"/>
        <v>185.00219255324515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5.8974358974358951</v>
      </c>
      <c r="FE60" s="13">
        <f>IF('Données projet'!$A$218&gt;35,FE59+FD60-FM59,IF(A60&lt;'Données projet'!$A$218,$FB$205^A60,IF(A60='Données projet'!$A$218,'Données projet'!$B$218,FE59+FD60-FM59)))</f>
        <v>237.43589743589743</v>
      </c>
      <c r="FF60" s="18">
        <f>FE60*VLOOKUP('Données projet'!$B$16,Paramètres!$A$1:$I$89,3,0)*VLOOKUP('Données projet'!$B$16,Paramètres!$A$1:$I$89,5,0)</f>
        <v>159.27200000000002</v>
      </c>
      <c r="FG60" s="14">
        <f t="shared" si="47"/>
        <v>40.678269418356507</v>
      </c>
      <c r="FH60" s="22">
        <f t="shared" si="22"/>
        <v>348.24671923697093</v>
      </c>
      <c r="FI60" s="60">
        <f t="shared" si="23"/>
        <v>641.58005257030425</v>
      </c>
      <c r="FJ60" s="60">
        <f ca="1">AVERAGE(OFFSET($FI$3,0,0,'Données projet'!$E$16+1,1))-AVERAGE(OFFSET($H$3,0,0,'Données projet'!$E$16+1,1))</f>
        <v>344.87493856469382</v>
      </c>
      <c r="FK60" s="60">
        <f t="shared" si="48"/>
        <v>261.91036689641402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>
        <f>FZ60*VLOOKUP('Données projet'!$B$17,Paramètres!$A$1:$I$89,3,0)*VLOOKUP('Données projet'!$B$17,Paramètres!$A$1:$I$89,5,0)</f>
        <v>0</v>
      </c>
      <c r="GB60" s="14" t="e">
        <f t="shared" si="49"/>
        <v>#NUM!</v>
      </c>
      <c r="GC60" s="22" t="e">
        <f t="shared" si="25"/>
        <v>#NUM!</v>
      </c>
      <c r="GD60" s="60" t="e">
        <f t="shared" si="26"/>
        <v>#NUM!</v>
      </c>
      <c r="GE60" s="60">
        <f ca="1">AVERAGE(OFFSET($GD$3,0,0,'Données projet'!$E$17+1,1))-AVERAGE(OFFSET($H$3,0,0,'Données projet'!$E$17+1,1))</f>
        <v>268.19959446602911</v>
      </c>
      <c r="GF60" s="60">
        <f t="shared" si="50"/>
        <v>691.2533336811855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84.209260638891791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84.209260638891791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9.375</v>
      </c>
      <c r="GU60" s="13">
        <f>IF('Données projet'!$A$270&gt;35,GU59+GT60-HC59,IF(A60&lt;'Données projet'!$A$270,$GR$205^A60,IF(A60='Données projet'!$A$270,'Données projet'!$B$270,GU59+GT60-HC59)))</f>
        <v>268.87499999999994</v>
      </c>
      <c r="GV60" s="18">
        <f>GU60*VLOOKUP('Données projet'!$B$18,Paramètres!$A$1:$I$89,3,0)*VLOOKUP('Données projet'!$B$18,Paramètres!$A$1:$I$89,5,0)</f>
        <v>209.72249999999997</v>
      </c>
      <c r="GW60" s="14">
        <f t="shared" si="51"/>
        <v>51.874940300502296</v>
      </c>
      <c r="GX60" s="22">
        <f t="shared" si="28"/>
        <v>455.61554185670815</v>
      </c>
      <c r="GY60" s="60">
        <f t="shared" si="29"/>
        <v>748.94887519004146</v>
      </c>
      <c r="GZ60" s="60">
        <f ca="1">AVERAGE(OFFSET($GY$3,0,0,'Données projet'!$E$18+1,1))-AVERAGE(OFFSET($H$3,0,0,'Données projet'!$E$18+1,1))</f>
        <v>292.57482726862594</v>
      </c>
      <c r="HA60" s="60">
        <f t="shared" si="52"/>
        <v>283.48738729114024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22.7</v>
      </c>
      <c r="N61" s="14">
        <f>IF('Données projet'!$A$36&gt;35,N60+M61-V60,IF(A61&lt;'Données projet'!$A$36,$K$205^A61,IF(A61='Données projet'!$A$36,'Données projet'!$B$36,N60+M61-V60)))</f>
        <v>470.59999999999968</v>
      </c>
      <c r="O61" s="14">
        <f>N61*VLOOKUP('Données projet'!$B$9,Paramètres!$A$1:$I$89,3,0)*VLOOKUP('Données projet'!$B$9,Paramètres!$A$1:$I$89,5,0)</f>
        <v>220.24079999999987</v>
      </c>
      <c r="P61" s="14">
        <f t="shared" si="33"/>
        <v>54.167219078226751</v>
      </c>
      <c r="Q61" s="22">
        <f t="shared" si="53"/>
        <v>477.92729989457803</v>
      </c>
      <c r="R61" s="60">
        <f t="shared" si="0"/>
        <v>771.26063322791128</v>
      </c>
      <c r="S61" s="60">
        <f ca="1">AVERAGE(OFFSET($R$3,0,0,'Données projet'!$E$9+1,1))-AVERAGE(OFFSET($H$3,0,0,'Données projet'!$E$9+1,1))</f>
        <v>399.92909819003523</v>
      </c>
      <c r="T61" s="60">
        <f t="shared" si="34"/>
        <v>163.7053537268381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422.59999999999962</v>
      </c>
      <c r="AJ61" s="14">
        <f>AI61*VLOOKUP('Données projet'!$B$10,Paramètres!$A$1:$I$89,3,0)*VLOOKUP('Données projet'!$B$10,Paramètres!$A$1:$I$89,5,0)</f>
        <v>252.7147999999998</v>
      </c>
      <c r="AK61" s="14">
        <f t="shared" si="35"/>
        <v>61.166908483103505</v>
      </c>
      <c r="AL61" s="22">
        <f t="shared" si="4"/>
        <v>546.67730894140493</v>
      </c>
      <c r="AM61" s="60">
        <f t="shared" si="5"/>
        <v>840.0106422747383</v>
      </c>
      <c r="AN61" s="60">
        <f ca="1">AVERAGE(OFFSET($AM$3,0,0,'Données projet'!$E$10+1,1))-AVERAGE(OFFSET($H$3,0,0,'Données projet'!$E$10+1,1))</f>
        <v>455.43477166687273</v>
      </c>
      <c r="AO61" s="60">
        <f t="shared" si="36"/>
        <v>312.81310692672895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179.87423999999999</v>
      </c>
      <c r="BF61" s="14">
        <f t="shared" si="37"/>
        <v>45.294205745553846</v>
      </c>
      <c r="BG61" s="22">
        <f t="shared" si="7"/>
        <v>392.16837634017293</v>
      </c>
      <c r="BH61" s="60">
        <f t="shared" si="8"/>
        <v>685.50170967350618</v>
      </c>
      <c r="BI61" s="60">
        <f ca="1">AVERAGE(OFFSET($BH$3,0,0,'Données projet'!$E$11+1,1))-AVERAGE(OFFSET($H$3,0,0,'Données projet'!$E$11+1,1))</f>
        <v>430.11660085503223</v>
      </c>
      <c r="BJ61" s="60">
        <f t="shared" si="38"/>
        <v>231.36959598460686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projet'!$B$12,Paramètres!$A$1:$I$89,3,0)*VLOOKUP('Données projet'!$B$12,Paramètres!$A$1:$I$89,5,0)</f>
        <v>201.58320000000001</v>
      </c>
      <c r="CA61" s="14">
        <f t="shared" si="39"/>
        <v>50.091947337331924</v>
      </c>
      <c r="CB61" s="22">
        <f t="shared" si="10"/>
        <v>438.33421494585309</v>
      </c>
      <c r="CC61" s="60">
        <f t="shared" si="11"/>
        <v>731.66754827918635</v>
      </c>
      <c r="CD61" s="60">
        <f ca="1">AVERAGE(OFFSET($CC$3,0,0,'Données projet'!$E$12+1,1))-AVERAGE(OFFSET($H$3,0,0,'Données projet'!$E$12+1,1))</f>
        <v>476.8965664931755</v>
      </c>
      <c r="CE61" s="60">
        <f t="shared" si="40"/>
        <v>254.25036207346591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198.79999999999998</v>
      </c>
      <c r="CU61" s="18">
        <f>CT61*VLOOKUP('Données projet'!$B$13,Paramètres!$A$1:$I$89,3,0)*VLOOKUP('Données projet'!$B$13,Paramètres!$A$1:$I$89,5,0)</f>
        <v>192.27936</v>
      </c>
      <c r="CV61" s="14">
        <f t="shared" si="41"/>
        <v>48.04353669645932</v>
      </c>
      <c r="CW61" s="22">
        <f t="shared" si="13"/>
        <v>418.56237841299998</v>
      </c>
      <c r="CX61" s="60">
        <f t="shared" si="14"/>
        <v>711.89571174633329</v>
      </c>
      <c r="CY61" s="60">
        <f ca="1">AVERAGE(OFFSET($CX$3,0,0,'Données projet'!$E$13+1,1))-AVERAGE(OFFSET($H$3,0,0,'Données projet'!$E$13+1,1))</f>
        <v>456.86147223520601</v>
      </c>
      <c r="CZ61" s="60">
        <f t="shared" si="42"/>
        <v>244.45149244446094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4.1025641025641049</v>
      </c>
      <c r="DO61" s="13">
        <f>IF('Données projet'!$A$166&gt;35,DO60+DN61-DW60,IF(A61&lt;'Données projet'!$A$166,$DL$205^A61,IF(A61='Données projet'!$A$166,'Données projet'!$B$166,DO60+DN61-DW60)))</f>
        <v>151.41025641025641</v>
      </c>
      <c r="DP61" s="18">
        <f>DO61*VLOOKUP('Données projet'!$B$14,Paramètres!$A$1:$I$89,3,0)*VLOOKUP('Données projet'!$B$14,Paramètres!$A$1:$I$89,5,0)</f>
        <v>144.08199999999999</v>
      </c>
      <c r="DQ61" s="14">
        <f t="shared" si="43"/>
        <v>37.230564467856809</v>
      </c>
      <c r="DR61" s="22">
        <f t="shared" si="16"/>
        <v>315.78604978151731</v>
      </c>
      <c r="DS61" s="60">
        <f t="shared" si="17"/>
        <v>609.11938311485062</v>
      </c>
      <c r="DT61" s="60">
        <f ca="1">AVERAGE(OFFSET($DS$3,0,0,'Données projet'!$E$14+1,1))-AVERAGE(OFFSET($H$3,0,0,'Données projet'!$E$14+1,1))</f>
        <v>300.36889324671682</v>
      </c>
      <c r="DU61" s="60">
        <f t="shared" si="44"/>
        <v>214.36051699039683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3.2</v>
      </c>
      <c r="EJ61" s="13">
        <f>IF('Données projet'!$A$192&gt;35,EJ60+EI61-ER60,IF(A61&lt;'Données projet'!$A$192,$EG$205^A61,IF(A61='Données projet'!$A$192,'Données projet'!$B$192,EJ60+EI61-ER60)))</f>
        <v>133.59999999999994</v>
      </c>
      <c r="EK61" s="18">
        <f>EJ61*VLOOKUP('Données projet'!$B$15,Paramètres!$A$1:$I$89,3,0)*VLOOKUP('Données projet'!$B$15,Paramètres!$A$1:$I$89,5,0)</f>
        <v>116.71295999999997</v>
      </c>
      <c r="EL61" s="14">
        <f t="shared" si="45"/>
        <v>30.90711634982064</v>
      </c>
      <c r="EM61" s="22">
        <f t="shared" si="19"/>
        <v>257.10496630927088</v>
      </c>
      <c r="EN61" s="60">
        <f t="shared" si="20"/>
        <v>550.43829964260419</v>
      </c>
      <c r="EO61" s="60">
        <f ca="1">AVERAGE(OFFSET($EN$3,0,0,'Données projet'!$E$15+1,1))-AVERAGE(OFFSET($H$3,0,0,'Données projet'!$E$15+1,1))</f>
        <v>202.46844517174412</v>
      </c>
      <c r="EP61" s="60">
        <f t="shared" si="46"/>
        <v>185.00219255324515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5.8974358974358951</v>
      </c>
      <c r="FE61" s="13">
        <f>IF('Données projet'!$A$218&gt;35,FE60+FD61-FM60,IF(A61&lt;'Données projet'!$A$218,$FB$205^A61,IF(A61='Données projet'!$A$218,'Données projet'!$B$218,FE60+FD61-FM60)))</f>
        <v>243.33333333333331</v>
      </c>
      <c r="FF61" s="18">
        <f>FE61*VLOOKUP('Données projet'!$B$16,Paramètres!$A$1:$I$89,3,0)*VLOOKUP('Données projet'!$B$16,Paramètres!$A$1:$I$89,5,0)</f>
        <v>163.22799999999998</v>
      </c>
      <c r="FG61" s="14">
        <f t="shared" si="47"/>
        <v>41.569751262115432</v>
      </c>
      <c r="FH61" s="22">
        <f t="shared" si="22"/>
        <v>356.68941678151765</v>
      </c>
      <c r="FI61" s="60">
        <f t="shared" si="23"/>
        <v>650.02275011485096</v>
      </c>
      <c r="FJ61" s="60">
        <f ca="1">AVERAGE(OFFSET($FI$3,0,0,'Données projet'!$E$16+1,1))-AVERAGE(OFFSET($H$3,0,0,'Données projet'!$E$16+1,1))</f>
        <v>344.87493856469382</v>
      </c>
      <c r="FK61" s="60">
        <f t="shared" si="48"/>
        <v>261.91036689641402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>
        <f>FZ61*VLOOKUP('Données projet'!$B$17,Paramètres!$A$1:$I$89,3,0)*VLOOKUP('Données projet'!$B$17,Paramètres!$A$1:$I$89,5,0)</f>
        <v>0</v>
      </c>
      <c r="GB61" s="14" t="e">
        <f t="shared" si="49"/>
        <v>#NUM!</v>
      </c>
      <c r="GC61" s="22" t="e">
        <f t="shared" si="25"/>
        <v>#NUM!</v>
      </c>
      <c r="GD61" s="60" t="e">
        <f t="shared" si="26"/>
        <v>#NUM!</v>
      </c>
      <c r="GE61" s="60">
        <f ca="1">AVERAGE(OFFSET($GD$3,0,0,'Données projet'!$E$17+1,1))-AVERAGE(OFFSET($H$3,0,0,'Données projet'!$E$17+1,1))</f>
        <v>268.19959446602911</v>
      </c>
      <c r="GF61" s="60">
        <f t="shared" si="50"/>
        <v>691.2533336811855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82.557968400340485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82.557968400340485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9.375</v>
      </c>
      <c r="GU61" s="13">
        <f>IF('Données projet'!$A$270&gt;35,GU60+GT61-HC60,IF(A61&lt;'Données projet'!$A$270,$GR$205^A61,IF(A61='Données projet'!$A$270,'Données projet'!$B$270,GU60+GT61-HC60)))</f>
        <v>278.24999999999994</v>
      </c>
      <c r="GV61" s="18">
        <f>GU61*VLOOKUP('Données projet'!$B$18,Paramètres!$A$1:$I$89,3,0)*VLOOKUP('Données projet'!$B$18,Paramètres!$A$1:$I$89,5,0)</f>
        <v>217.03499999999997</v>
      </c>
      <c r="GW61" s="14">
        <f t="shared" si="51"/>
        <v>53.469949591969474</v>
      </c>
      <c r="GX61" s="22">
        <f t="shared" si="28"/>
        <v>471.12945387268002</v>
      </c>
      <c r="GY61" s="60">
        <f t="shared" si="29"/>
        <v>764.46278720601333</v>
      </c>
      <c r="GZ61" s="60">
        <f ca="1">AVERAGE(OFFSET($GY$3,0,0,'Données projet'!$E$18+1,1))-AVERAGE(OFFSET($H$3,0,0,'Données projet'!$E$18+1,1))</f>
        <v>292.57482726862594</v>
      </c>
      <c r="HA61" s="60">
        <f t="shared" si="52"/>
        <v>283.48738729114024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22.7</v>
      </c>
      <c r="N62" s="14">
        <f>IF('Données projet'!$A$36&gt;35,N61+M62-V61,IF(A62&lt;'Données projet'!$A$36,$K$205^A62,IF(A62='Données projet'!$A$36,'Données projet'!$B$36,N61+M62-V61)))</f>
        <v>493.29999999999967</v>
      </c>
      <c r="O62" s="14">
        <f>N62*VLOOKUP('Données projet'!$B$9,Paramètres!$A$1:$I$89,3,0)*VLOOKUP('Données projet'!$B$9,Paramètres!$A$1:$I$89,5,0)</f>
        <v>230.86439999999985</v>
      </c>
      <c r="P62" s="14">
        <f t="shared" si="33"/>
        <v>56.469544196332308</v>
      </c>
      <c r="Q62" s="22">
        <f t="shared" si="53"/>
        <v>500.43995280861185</v>
      </c>
      <c r="R62" s="60">
        <f t="shared" si="0"/>
        <v>793.77328614194516</v>
      </c>
      <c r="S62" s="60">
        <f ca="1">AVERAGE(OFFSET($R$3,0,0,'Données projet'!$E$9+1,1))-AVERAGE(OFFSET($H$3,0,0,'Données projet'!$E$9+1,1))</f>
        <v>399.92909819003523</v>
      </c>
      <c r="T62" s="60">
        <f t="shared" si="34"/>
        <v>163.7053537268381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432.79999999999961</v>
      </c>
      <c r="AJ62" s="14">
        <f>AI62*VLOOKUP('Données projet'!$B$10,Paramètres!$A$1:$I$89,3,0)*VLOOKUP('Données projet'!$B$10,Paramètres!$A$1:$I$89,5,0)</f>
        <v>258.81439999999981</v>
      </c>
      <c r="AK62" s="14">
        <f t="shared" si="35"/>
        <v>62.469588762855253</v>
      </c>
      <c r="AL62" s="22">
        <f t="shared" si="4"/>
        <v>559.56961376197251</v>
      </c>
      <c r="AM62" s="60">
        <f t="shared" si="5"/>
        <v>852.90294709530576</v>
      </c>
      <c r="AN62" s="60">
        <f ca="1">AVERAGE(OFFSET($AM$3,0,0,'Données projet'!$E$10+1,1))-AVERAGE(OFFSET($H$3,0,0,'Données projet'!$E$10+1,1))</f>
        <v>455.43477166687273</v>
      </c>
      <c r="AO62" s="60">
        <f t="shared" si="36"/>
        <v>312.81310692672895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186.75071999999997</v>
      </c>
      <c r="BF62" s="14">
        <f t="shared" si="37"/>
        <v>46.820863587839391</v>
      </c>
      <c r="BG62" s="22">
        <f t="shared" si="7"/>
        <v>406.80384141548689</v>
      </c>
      <c r="BH62" s="60">
        <f t="shared" si="8"/>
        <v>700.13717474882014</v>
      </c>
      <c r="BI62" s="60">
        <f ca="1">AVERAGE(OFFSET($BH$3,0,0,'Données projet'!$E$11+1,1))-AVERAGE(OFFSET($H$3,0,0,'Données projet'!$E$11+1,1))</f>
        <v>430.11660085503223</v>
      </c>
      <c r="BJ62" s="60">
        <f t="shared" si="38"/>
        <v>231.36959598460686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projet'!$B$12,Paramètres!$A$1:$I$89,3,0)*VLOOKUP('Données projet'!$B$12,Paramètres!$A$1:$I$89,5,0)</f>
        <v>209.28960000000001</v>
      </c>
      <c r="CA62" s="14">
        <f t="shared" si="39"/>
        <v>51.780314822292169</v>
      </c>
      <c r="CB62" s="22">
        <f t="shared" si="10"/>
        <v>454.69676831549214</v>
      </c>
      <c r="CC62" s="60">
        <f t="shared" si="11"/>
        <v>748.03010164882539</v>
      </c>
      <c r="CD62" s="60">
        <f ca="1">AVERAGE(OFFSET($CC$3,0,0,'Données projet'!$E$12+1,1))-AVERAGE(OFFSET($H$3,0,0,'Données projet'!$E$12+1,1))</f>
        <v>476.8965664931755</v>
      </c>
      <c r="CE62" s="60">
        <f t="shared" si="40"/>
        <v>254.25036207346591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206.39999999999998</v>
      </c>
      <c r="CU62" s="18">
        <f>CT62*VLOOKUP('Données projet'!$B$13,Paramètres!$A$1:$I$89,3,0)*VLOOKUP('Données projet'!$B$13,Paramètres!$A$1:$I$89,5,0)</f>
        <v>199.63007999999999</v>
      </c>
      <c r="CV62" s="14">
        <f t="shared" si="41"/>
        <v>49.662861748339331</v>
      </c>
      <c r="CW62" s="22">
        <f t="shared" si="13"/>
        <v>434.18520687835763</v>
      </c>
      <c r="CX62" s="60">
        <f t="shared" si="14"/>
        <v>727.51854021169095</v>
      </c>
      <c r="CY62" s="60">
        <f ca="1">AVERAGE(OFFSET($CX$3,0,0,'Données projet'!$E$13+1,1))-AVERAGE(OFFSET($H$3,0,0,'Données projet'!$E$13+1,1))</f>
        <v>456.86147223520601</v>
      </c>
      <c r="CZ62" s="60">
        <f t="shared" si="42"/>
        <v>244.45149244446094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4.1025641025641049</v>
      </c>
      <c r="DO62" s="13">
        <f>IF('Données projet'!$A$166&gt;35,DO61+DN62-DW61,IF(A62&lt;'Données projet'!$A$166,$DL$205^A62,IF(A62='Données projet'!$A$166,'Données projet'!$B$166,DO61+DN62-DW61)))</f>
        <v>155.51282051282053</v>
      </c>
      <c r="DP62" s="18">
        <f>DO62*VLOOKUP('Données projet'!$B$14,Paramètres!$A$1:$I$89,3,0)*VLOOKUP('Données projet'!$B$14,Paramètres!$A$1:$I$89,5,0)</f>
        <v>147.98600000000002</v>
      </c>
      <c r="DQ62" s="14">
        <f t="shared" si="43"/>
        <v>38.120537441454239</v>
      </c>
      <c r="DR62" s="22">
        <f t="shared" si="16"/>
        <v>324.13555271053281</v>
      </c>
      <c r="DS62" s="60">
        <f t="shared" si="17"/>
        <v>617.46888604386618</v>
      </c>
      <c r="DT62" s="60">
        <f ca="1">AVERAGE(OFFSET($DS$3,0,0,'Données projet'!$E$14+1,1))-AVERAGE(OFFSET($H$3,0,0,'Données projet'!$E$14+1,1))</f>
        <v>300.36889324671682</v>
      </c>
      <c r="DU62" s="60">
        <f t="shared" si="44"/>
        <v>214.36051699039683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3.2</v>
      </c>
      <c r="EJ62" s="13">
        <f>IF('Données projet'!$A$192&gt;35,EJ61+EI62-ER61,IF(A62&lt;'Données projet'!$A$192,$EG$205^A62,IF(A62='Données projet'!$A$192,'Données projet'!$B$192,EJ61+EI62-ER61)))</f>
        <v>136.79999999999993</v>
      </c>
      <c r="EK62" s="18">
        <f>EJ62*VLOOKUP('Données projet'!$B$15,Paramètres!$A$1:$I$89,3,0)*VLOOKUP('Données projet'!$B$15,Paramètres!$A$1:$I$89,5,0)</f>
        <v>119.50847999999995</v>
      </c>
      <c r="EL62" s="14">
        <f t="shared" si="45"/>
        <v>31.560332955588933</v>
      </c>
      <c r="EM62" s="22">
        <f t="shared" si="19"/>
        <v>263.11151589765069</v>
      </c>
      <c r="EN62" s="60">
        <f t="shared" si="20"/>
        <v>556.444849230984</v>
      </c>
      <c r="EO62" s="60">
        <f ca="1">AVERAGE(OFFSET($EN$3,0,0,'Données projet'!$E$15+1,1))-AVERAGE(OFFSET($H$3,0,0,'Données projet'!$E$15+1,1))</f>
        <v>202.46844517174412</v>
      </c>
      <c r="EP62" s="60">
        <f t="shared" si="46"/>
        <v>185.00219255324515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5.8974358974358951</v>
      </c>
      <c r="FE62" s="13">
        <f>IF('Données projet'!$A$218&gt;35,FE61+FD62-FM61,IF(A62&lt;'Données projet'!$A$218,$FB$205^A62,IF(A62='Données projet'!$A$218,'Données projet'!$B$218,FE61+FD62-FM61)))</f>
        <v>249.2307692307692</v>
      </c>
      <c r="FF62" s="18">
        <f>FE62*VLOOKUP('Données projet'!$B$16,Paramètres!$A$1:$I$89,3,0)*VLOOKUP('Données projet'!$B$16,Paramètres!$A$1:$I$89,5,0)</f>
        <v>167.18399999999997</v>
      </c>
      <c r="FG62" s="14">
        <f t="shared" si="47"/>
        <v>42.458721453110179</v>
      </c>
      <c r="FH62" s="22">
        <f t="shared" si="22"/>
        <v>365.12773986416681</v>
      </c>
      <c r="FI62" s="60">
        <f t="shared" si="23"/>
        <v>658.46107319750013</v>
      </c>
      <c r="FJ62" s="60">
        <f ca="1">AVERAGE(OFFSET($FI$3,0,0,'Données projet'!$E$16+1,1))-AVERAGE(OFFSET($H$3,0,0,'Données projet'!$E$16+1,1))</f>
        <v>344.87493856469382</v>
      </c>
      <c r="FK62" s="60">
        <f t="shared" si="48"/>
        <v>261.91036689641402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>
        <f>FZ62*VLOOKUP('Données projet'!$B$17,Paramètres!$A$1:$I$89,3,0)*VLOOKUP('Données projet'!$B$17,Paramètres!$A$1:$I$89,5,0)</f>
        <v>0</v>
      </c>
      <c r="GB62" s="14" t="e">
        <f t="shared" si="49"/>
        <v>#NUM!</v>
      </c>
      <c r="GC62" s="22" t="e">
        <f t="shared" si="25"/>
        <v>#NUM!</v>
      </c>
      <c r="GD62" s="60" t="e">
        <f t="shared" si="26"/>
        <v>#NUM!</v>
      </c>
      <c r="GE62" s="60">
        <f ca="1">AVERAGE(OFFSET($GD$3,0,0,'Données projet'!$E$17+1,1))-AVERAGE(OFFSET($H$3,0,0,'Données projet'!$E$17+1,1))</f>
        <v>268.19959446602911</v>
      </c>
      <c r="GF62" s="60">
        <f t="shared" si="50"/>
        <v>691.2533336811855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80.939056995398346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80.939056995398346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9.375</v>
      </c>
      <c r="GU62" s="13">
        <f>IF('Données projet'!$A$270&gt;35,GU61+GT62-HC61,IF(A62&lt;'Données projet'!$A$270,$GR$205^A62,IF(A62='Données projet'!$A$270,'Données projet'!$B$270,GU61+GT62-HC61)))</f>
        <v>287.62499999999994</v>
      </c>
      <c r="GV62" s="18">
        <f>GU62*VLOOKUP('Données projet'!$B$18,Paramètres!$A$1:$I$89,3,0)*VLOOKUP('Données projet'!$B$18,Paramètres!$A$1:$I$89,5,0)</f>
        <v>224.34749999999997</v>
      </c>
      <c r="GW62" s="14">
        <f t="shared" si="51"/>
        <v>55.058714525680479</v>
      </c>
      <c r="GX62" s="22">
        <f t="shared" si="28"/>
        <v>486.63249029889352</v>
      </c>
      <c r="GY62" s="60">
        <f t="shared" si="29"/>
        <v>779.96582363222683</v>
      </c>
      <c r="GZ62" s="60">
        <f ca="1">AVERAGE(OFFSET($GY$3,0,0,'Données projet'!$E$18+1,1))-AVERAGE(OFFSET($H$3,0,0,'Données projet'!$E$18+1,1))</f>
        <v>292.57482726862594</v>
      </c>
      <c r="HA62" s="60">
        <f t="shared" si="52"/>
        <v>283.48738729114024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516</v>
      </c>
      <c r="L63" s="13">
        <f>VLOOKUP(A63,'Données projet'!$A$35:$I$55,9,0)</f>
        <v>22.7</v>
      </c>
      <c r="M63" s="13">
        <f t="array" ref="M63">INDEX(L:L,MIN(IF(ISNUMBER(L63:L259),ROW(L63:L259),"")))</f>
        <v>22.7</v>
      </c>
      <c r="N63" s="14">
        <f>IF('Données projet'!$A$36&gt;35,N62+M63-V62,IF(A63&lt;'Données projet'!$A$36,$K$205^A63,IF(A63='Données projet'!$A$36,'Données projet'!$B$36,N62+M63-V62)))</f>
        <v>515.99999999999966</v>
      </c>
      <c r="O63" s="14">
        <f>N63*VLOOKUP('Données projet'!$B$9,Paramètres!$A$1:$I$89,3,0)*VLOOKUP('Données projet'!$B$9,Paramètres!$A$1:$I$89,5,0)</f>
        <v>241.48799999999986</v>
      </c>
      <c r="P63" s="14">
        <f t="shared" si="33"/>
        <v>58.759565673424916</v>
      </c>
      <c r="Q63" s="22">
        <f t="shared" si="53"/>
        <v>522.93117688121481</v>
      </c>
      <c r="R63" s="60">
        <f t="shared" si="0"/>
        <v>816.26451021454818</v>
      </c>
      <c r="S63" s="60">
        <f ca="1">AVERAGE(OFFSET($R$3,0,0,'Données projet'!$E$9+1,1))-AVERAGE(OFFSET($H$3,0,0,'Données projet'!$E$9+1,1))</f>
        <v>399.92909819003523</v>
      </c>
      <c r="T63" s="60">
        <f t="shared" si="34"/>
        <v>163.7053537268381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112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443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442.9999999999996</v>
      </c>
      <c r="AJ63" s="14">
        <f>AI63*VLOOKUP('Données projet'!$B$10,Paramètres!$A$1:$I$89,3,0)*VLOOKUP('Données projet'!$B$10,Paramètres!$A$1:$I$89,5,0)</f>
        <v>264.91399999999982</v>
      </c>
      <c r="AK63" s="14">
        <f t="shared" si="35"/>
        <v>63.768700008671566</v>
      </c>
      <c r="AL63" s="22">
        <f t="shared" si="4"/>
        <v>572.45570251510264</v>
      </c>
      <c r="AM63" s="60">
        <f t="shared" si="5"/>
        <v>865.78903584843601</v>
      </c>
      <c r="AN63" s="60">
        <f ca="1">AVERAGE(OFFSET($AM$3,0,0,'Données projet'!$E$10+1,1))-AVERAGE(OFFSET($H$3,0,0,'Données projet'!$E$10+1,1))</f>
        <v>455.43477166687273</v>
      </c>
      <c r="AO63" s="60">
        <f t="shared" si="36"/>
        <v>312.81310692672895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193.62719999999996</v>
      </c>
      <c r="BF63" s="14">
        <f t="shared" si="37"/>
        <v>48.340990547231193</v>
      </c>
      <c r="BG63" s="22">
        <f t="shared" si="7"/>
        <v>421.42793186976087</v>
      </c>
      <c r="BH63" s="60">
        <f t="shared" si="8"/>
        <v>714.76126520309413</v>
      </c>
      <c r="BI63" s="60">
        <f ca="1">AVERAGE(OFFSET($BH$3,0,0,'Données projet'!$E$11+1,1))-AVERAGE(OFFSET($H$3,0,0,'Données projet'!$E$11+1,1))</f>
        <v>430.11660085503223</v>
      </c>
      <c r="BJ63" s="60">
        <f t="shared" si="38"/>
        <v>231.36959598460686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projet'!$B$12,Paramètres!$A$1:$I$89,3,0)*VLOOKUP('Données projet'!$B$12,Paramètres!$A$1:$I$89,5,0)</f>
        <v>216.99600000000001</v>
      </c>
      <c r="CA63" s="14">
        <f t="shared" si="39"/>
        <v>53.461459647386917</v>
      </c>
      <c r="CB63" s="22">
        <f t="shared" si="10"/>
        <v>471.04674221919896</v>
      </c>
      <c r="CC63" s="60">
        <f t="shared" si="11"/>
        <v>764.38007555253228</v>
      </c>
      <c r="CD63" s="60">
        <f ca="1">AVERAGE(OFFSET($CC$3,0,0,'Données projet'!$E$12+1,1))-AVERAGE(OFFSET($H$3,0,0,'Données projet'!$E$12+1,1))</f>
        <v>476.8965664931755</v>
      </c>
      <c r="CE63" s="60">
        <f t="shared" si="40"/>
        <v>254.25036207346591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213.99999999999997</v>
      </c>
      <c r="CU63" s="18">
        <f>CT63*VLOOKUP('Données projet'!$B$13,Paramètres!$A$1:$I$89,3,0)*VLOOKUP('Données projet'!$B$13,Paramètres!$A$1:$I$89,5,0)</f>
        <v>206.98079999999996</v>
      </c>
      <c r="CV63" s="14">
        <f t="shared" si="41"/>
        <v>51.275259496675787</v>
      </c>
      <c r="CW63" s="22">
        <f t="shared" si="13"/>
        <v>449.7959702900435</v>
      </c>
      <c r="CX63" s="60">
        <f t="shared" si="14"/>
        <v>743.12930362337681</v>
      </c>
      <c r="CY63" s="60">
        <f ca="1">AVERAGE(OFFSET($CX$3,0,0,'Données projet'!$E$13+1,1))-AVERAGE(OFFSET($H$3,0,0,'Données projet'!$E$13+1,1))</f>
        <v>456.86147223520601</v>
      </c>
      <c r="CZ63" s="60">
        <f t="shared" si="42"/>
        <v>244.45149244446094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159.61538461538461</v>
      </c>
      <c r="DM63" s="13">
        <f>VLOOKUP(A63,'Données projet'!$A$165:$I$185,9,0)</f>
        <v>4.1025641025641049</v>
      </c>
      <c r="DN63" s="13">
        <f t="array" ref="DN63">INDEX(DM:DM,MIN(IF(ISNUMBER(DM63:DM259),ROW(DM63:DM259),"")))</f>
        <v>4.1025641025641049</v>
      </c>
      <c r="DO63" s="13">
        <f>IF('Données projet'!$A$166&gt;35,DO62+DN63-DW62,IF(A63&lt;'Données projet'!$A$166,$DL$205^A63,IF(A63='Données projet'!$A$166,'Données projet'!$B$166,DO62+DN63-DW62)))</f>
        <v>159.61538461538464</v>
      </c>
      <c r="DP63" s="18">
        <f>DO63*VLOOKUP('Données projet'!$B$14,Paramètres!$A$1:$I$89,3,0)*VLOOKUP('Données projet'!$B$14,Paramètres!$A$1:$I$89,5,0)</f>
        <v>151.89000000000001</v>
      </c>
      <c r="DQ63" s="14">
        <f t="shared" si="43"/>
        <v>39.007781402191782</v>
      </c>
      <c r="DR63" s="22">
        <f t="shared" si="16"/>
        <v>332.48030260881734</v>
      </c>
      <c r="DS63" s="60">
        <f t="shared" si="17"/>
        <v>625.81363594215065</v>
      </c>
      <c r="DT63" s="60">
        <f ca="1">AVERAGE(OFFSET($DS$3,0,0,'Données projet'!$E$14+1,1))-AVERAGE(OFFSET($H$3,0,0,'Données projet'!$E$14+1,1))</f>
        <v>300.36889324671682</v>
      </c>
      <c r="DU63" s="60">
        <f t="shared" si="44"/>
        <v>214.36051699039683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23.076923076923077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140</v>
      </c>
      <c r="EH63" s="13">
        <f>VLOOKUP(A63,'Données projet'!$A$191:$I$211,9,0)</f>
        <v>3.2</v>
      </c>
      <c r="EI63" s="13">
        <f t="array" ref="EI63">INDEX(EH:EH,MIN(IF(ISNUMBER(EH63:EH259),ROW(EH63:EH259),"")))</f>
        <v>3.2</v>
      </c>
      <c r="EJ63" s="13">
        <f>IF('Données projet'!$A$192&gt;35,EJ62+EI63-ER62,IF(A63&lt;'Données projet'!$A$192,$EG$205^A63,IF(A63='Données projet'!$A$192,'Données projet'!$B$192,EJ62+EI63-ER62)))</f>
        <v>139.99999999999991</v>
      </c>
      <c r="EK63" s="18">
        <f>EJ63*VLOOKUP('Données projet'!$B$15,Paramètres!$A$1:$I$89,3,0)*VLOOKUP('Données projet'!$B$15,Paramètres!$A$1:$I$89,5,0)</f>
        <v>122.30399999999995</v>
      </c>
      <c r="EL63" s="14">
        <f t="shared" si="45"/>
        <v>32.211773226559345</v>
      </c>
      <c r="EM63" s="22">
        <f t="shared" si="19"/>
        <v>269.11497170292409</v>
      </c>
      <c r="EN63" s="60">
        <f t="shared" si="20"/>
        <v>562.44830503625735</v>
      </c>
      <c r="EO63" s="60">
        <f ca="1">AVERAGE(OFFSET($EN$3,0,0,'Données projet'!$E$15+1,1))-AVERAGE(OFFSET($H$3,0,0,'Données projet'!$E$15+1,1))</f>
        <v>202.46844517174412</v>
      </c>
      <c r="EP63" s="60">
        <f t="shared" si="46"/>
        <v>185.00219255324515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255.12820512820511</v>
      </c>
      <c r="FC63" s="13">
        <f>VLOOKUP(A63,'Données projet'!$A$217:$I$237,9,0)</f>
        <v>5.8974358974358951</v>
      </c>
      <c r="FD63" s="13">
        <f t="array" ref="FD63">INDEX(FC:FC,MIN(IF(ISNUMBER(FC63:FC259),ROW(FC63:FC259),"")))</f>
        <v>5.8974358974358951</v>
      </c>
      <c r="FE63" s="13">
        <f>IF('Données projet'!$A$218&gt;35,FE62+FD63-FM62,IF(A63&lt;'Données projet'!$A$218,$FB$205^A63,IF(A63='Données projet'!$A$218,'Données projet'!$B$218,FE62+FD63-FM62)))</f>
        <v>255.12820512820508</v>
      </c>
      <c r="FF63" s="18">
        <f>FE63*VLOOKUP('Données projet'!$B$16,Paramètres!$A$1:$I$89,3,0)*VLOOKUP('Données projet'!$B$16,Paramètres!$A$1:$I$89,5,0)</f>
        <v>171.14</v>
      </c>
      <c r="FG63" s="14">
        <f t="shared" si="47"/>
        <v>43.345246262563791</v>
      </c>
      <c r="FH63" s="22">
        <f t="shared" si="22"/>
        <v>373.56180390729855</v>
      </c>
      <c r="FI63" s="60">
        <f t="shared" si="23"/>
        <v>666.89513724063181</v>
      </c>
      <c r="FJ63" s="60">
        <f ca="1">AVERAGE(OFFSET($FI$3,0,0,'Données projet'!$E$16+1,1))-AVERAGE(OFFSET($H$3,0,0,'Données projet'!$E$16+1,1))</f>
        <v>344.87493856469382</v>
      </c>
      <c r="FK63" s="60">
        <f t="shared" si="48"/>
        <v>261.91036689641402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>
        <f>FZ63*VLOOKUP('Données projet'!$B$17,Paramètres!$A$1:$I$89,3,0)*VLOOKUP('Données projet'!$B$17,Paramètres!$A$1:$I$89,5,0)</f>
        <v>0</v>
      </c>
      <c r="GB63" s="14" t="e">
        <f t="shared" si="49"/>
        <v>#NUM!</v>
      </c>
      <c r="GC63" s="22" t="e">
        <f t="shared" si="25"/>
        <v>#NUM!</v>
      </c>
      <c r="GD63" s="60" t="e">
        <f t="shared" si="26"/>
        <v>#NUM!</v>
      </c>
      <c r="GE63" s="60">
        <f ca="1">AVERAGE(OFFSET($GD$3,0,0,'Données projet'!$E$17+1,1))-AVERAGE(OFFSET($H$3,0,0,'Données projet'!$E$17+1,1))</f>
        <v>268.19959446602911</v>
      </c>
      <c r="GF63" s="60">
        <f t="shared" si="50"/>
        <v>691.2533336811855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79.351891455668678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79.351891455668678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297</v>
      </c>
      <c r="GS63" s="13">
        <f>VLOOKUP(A63,'Données projet'!$A$269:$I$289,9,0)</f>
        <v>9.375</v>
      </c>
      <c r="GT63" s="13">
        <f t="array" ref="GT63">INDEX(GS:GS,MIN(IF(ISNUMBER(GS63:GS259),ROW(GS63:GS259),"")))</f>
        <v>9.375</v>
      </c>
      <c r="GU63" s="13">
        <f>IF('Données projet'!$A$270&gt;35,GU62+GT63-HC62,IF(A63&lt;'Données projet'!$A$270,$GR$205^A63,IF(A63='Données projet'!$A$270,'Données projet'!$B$270,GU62+GT63-HC62)))</f>
        <v>296.99999999999994</v>
      </c>
      <c r="GV63" s="18">
        <f>GU63*VLOOKUP('Données projet'!$B$18,Paramètres!$A$1:$I$89,3,0)*VLOOKUP('Données projet'!$B$18,Paramètres!$A$1:$I$89,5,0)</f>
        <v>231.65999999999997</v>
      </c>
      <c r="GW63" s="14">
        <f t="shared" si="51"/>
        <v>56.641461975682766</v>
      </c>
      <c r="GX63" s="22">
        <f t="shared" si="28"/>
        <v>502.12504627431412</v>
      </c>
      <c r="GY63" s="60">
        <f t="shared" si="29"/>
        <v>795.45837960764743</v>
      </c>
      <c r="GZ63" s="60">
        <f ca="1">AVERAGE(OFFSET($GY$3,0,0,'Données projet'!$E$18+1,1))-AVERAGE(OFFSET($H$3,0,0,'Données projet'!$E$18+1,1))</f>
        <v>292.57482726862594</v>
      </c>
      <c r="HA63" s="60">
        <f t="shared" si="52"/>
        <v>283.48738729114024</v>
      </c>
      <c r="HB63" s="16">
        <f>IF(ISNA(VLOOKUP(A63,'Données projet'!$A$269:$I$289,3,0)),0,VLOOKUP(A63,'Données projet'!$A$269:$I$289,3,0))</f>
        <v>6</v>
      </c>
      <c r="HC63" s="16">
        <f>IF(ISNA(VLOOKUP(A63,'Données projet'!$A$269:$I$289,4,0)),0,VLOOKUP(A63,'Données projet'!$A$269:$I$289,4,0))</f>
        <v>47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22.7</v>
      </c>
      <c r="N64" s="14">
        <f>IF('Données projet'!$A$36&gt;35,N63+M64-V63,IF(A64&lt;'Données projet'!$A$36,$K$205^A64,IF(A64='Données projet'!$A$36,'Données projet'!$B$36,N63+M64-V63)))</f>
        <v>426.6999999999997</v>
      </c>
      <c r="O64" s="14">
        <f>N64*VLOOKUP('Données projet'!$B$9,Paramètres!$A$1:$I$89,3,0)*VLOOKUP('Données projet'!$B$9,Paramètres!$A$1:$I$89,5,0)</f>
        <v>199.69559999999984</v>
      </c>
      <c r="P64" s="14">
        <f t="shared" si="33"/>
        <v>49.677263889452327</v>
      </c>
      <c r="Q64" s="22">
        <f t="shared" si="53"/>
        <v>434.32440460746255</v>
      </c>
      <c r="R64" s="60">
        <f t="shared" si="0"/>
        <v>727.65773794079587</v>
      </c>
      <c r="S64" s="60">
        <f ca="1">AVERAGE(OFFSET($R$3,0,0,'Données projet'!$E$9+1,1))-AVERAGE(OFFSET($H$3,0,0,'Données projet'!$E$9+1,1))</f>
        <v>399.92909819003523</v>
      </c>
      <c r="T64" s="60">
        <f t="shared" si="34"/>
        <v>163.7053537268381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8.9</v>
      </c>
      <c r="AI64" s="14">
        <f>IF('Données projet'!$A$62&gt;35,AI63+AH64-AQ63,IF(A64&lt;'Données projet'!$A$62,$AF$205^A64,IF(A64='Données projet'!$A$62,'Données projet'!$B$62,AI63+AH64-AQ63)))</f>
        <v>451.89999999999958</v>
      </c>
      <c r="AJ64" s="14">
        <f>AI64*VLOOKUP('Données projet'!$B$10,Paramètres!$A$1:$I$89,3,0)*VLOOKUP('Données projet'!$B$10,Paramètres!$A$1:$I$89,5,0)</f>
        <v>270.23619999999977</v>
      </c>
      <c r="AK64" s="14">
        <f t="shared" si="35"/>
        <v>64.8993943377493</v>
      </c>
      <c r="AL64" s="22">
        <f t="shared" si="4"/>
        <v>583.69449347157956</v>
      </c>
      <c r="AM64" s="60">
        <f t="shared" si="5"/>
        <v>877.02782680491282</v>
      </c>
      <c r="AN64" s="60">
        <f ca="1">AVERAGE(OFFSET($AM$3,0,0,'Données projet'!$E$10+1,1))-AVERAGE(OFFSET($H$3,0,0,'Données projet'!$E$10+1,1))</f>
        <v>455.43477166687273</v>
      </c>
      <c r="AO64" s="60">
        <f t="shared" si="36"/>
        <v>312.81310692672895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221.19999999999996</v>
      </c>
      <c r="BE64" s="14">
        <f>BD64*VLOOKUP('Données projet'!$B$11,Paramètres!$A$1:$I$89,3,0)*VLOOKUP('Données projet'!$B$11,Paramètres!$A$1:$I$89,5,0)</f>
        <v>200.14175999999995</v>
      </c>
      <c r="BF64" s="14">
        <f t="shared" si="37"/>
        <v>49.775320997880847</v>
      </c>
      <c r="BG64" s="22">
        <f t="shared" si="7"/>
        <v>435.27224940464231</v>
      </c>
      <c r="BH64" s="60">
        <f t="shared" si="8"/>
        <v>728.60558273797562</v>
      </c>
      <c r="BI64" s="60">
        <f ca="1">AVERAGE(OFFSET($BH$3,0,0,'Données projet'!$E$11+1,1))-AVERAGE(OFFSET($H$3,0,0,'Données projet'!$E$11+1,1))</f>
        <v>430.11660085503223</v>
      </c>
      <c r="BJ64" s="60">
        <f t="shared" si="38"/>
        <v>231.36959598460686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221.19999999999996</v>
      </c>
      <c r="BZ64" s="14">
        <f>BY64*VLOOKUP('Données projet'!$B$12,Paramètres!$A$1:$I$89,3,0)*VLOOKUP('Données projet'!$B$12,Paramètres!$A$1:$I$89,5,0)</f>
        <v>224.29679999999996</v>
      </c>
      <c r="CA64" s="14">
        <f t="shared" si="39"/>
        <v>55.047720057866165</v>
      </c>
      <c r="CB64" s="22">
        <f t="shared" si="10"/>
        <v>486.52503910078349</v>
      </c>
      <c r="CC64" s="60">
        <f t="shared" si="11"/>
        <v>779.85837243411675</v>
      </c>
      <c r="CD64" s="60">
        <f ca="1">AVERAGE(OFFSET($CC$3,0,0,'Données projet'!$E$12+1,1))-AVERAGE(OFFSET($H$3,0,0,'Données projet'!$E$12+1,1))</f>
        <v>476.8965664931755</v>
      </c>
      <c r="CE64" s="60">
        <f t="shared" si="40"/>
        <v>254.25036207346591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221.19999999999996</v>
      </c>
      <c r="CU64" s="18">
        <f>CT64*VLOOKUP('Données projet'!$B$13,Paramètres!$A$1:$I$89,3,0)*VLOOKUP('Données projet'!$B$13,Paramètres!$A$1:$I$89,5,0)</f>
        <v>213.94463999999996</v>
      </c>
      <c r="CV64" s="14">
        <f t="shared" si="41"/>
        <v>52.796652939972844</v>
      </c>
      <c r="CW64" s="22">
        <f t="shared" si="13"/>
        <v>464.5744185371193</v>
      </c>
      <c r="CX64" s="60">
        <f t="shared" si="14"/>
        <v>757.90775187045256</v>
      </c>
      <c r="CY64" s="60">
        <f ca="1">AVERAGE(OFFSET($CX$3,0,0,'Données projet'!$E$13+1,1))-AVERAGE(OFFSET($H$3,0,0,'Données projet'!$E$13+1,1))</f>
        <v>456.86147223520601</v>
      </c>
      <c r="CZ64" s="60">
        <f t="shared" si="42"/>
        <v>244.45149244446094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3.9743589743589722</v>
      </c>
      <c r="DO64" s="13">
        <f>IF('Données projet'!$A$166&gt;35,DO63+DN64-DW63,IF(A64&lt;'Données projet'!$A$166,$DL$205^A64,IF(A64='Données projet'!$A$166,'Données projet'!$B$166,DO63+DN64-DW63)))</f>
        <v>140.51282051282055</v>
      </c>
      <c r="DP64" s="18">
        <f>DO64*VLOOKUP('Données projet'!$B$14,Paramètres!$A$1:$I$89,3,0)*VLOOKUP('Données projet'!$B$14,Paramètres!$A$1:$I$89,5,0)</f>
        <v>133.71200000000005</v>
      </c>
      <c r="DQ64" s="14">
        <f t="shared" si="43"/>
        <v>34.852683054963606</v>
      </c>
      <c r="DR64" s="22">
        <f t="shared" si="16"/>
        <v>293.58348965406168</v>
      </c>
      <c r="DS64" s="60">
        <f t="shared" si="17"/>
        <v>586.91682298739499</v>
      </c>
      <c r="DT64" s="60">
        <f ca="1">AVERAGE(OFFSET($DS$3,0,0,'Données projet'!$E$14+1,1))-AVERAGE(OFFSET($H$3,0,0,'Données projet'!$E$14+1,1))</f>
        <v>300.36889324671682</v>
      </c>
      <c r="DU64" s="60">
        <f t="shared" si="44"/>
        <v>214.36051699039683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2.6</v>
      </c>
      <c r="EJ64" s="13">
        <f>IF('Données projet'!$A$192&gt;35,EJ63+EI64-ER63,IF(A64&lt;'Données projet'!$A$192,$EG$205^A64,IF(A64='Données projet'!$A$192,'Données projet'!$B$192,EJ63+EI64-ER63)))</f>
        <v>142.59999999999991</v>
      </c>
      <c r="EK64" s="18">
        <f>EJ64*VLOOKUP('Données projet'!$B$15,Paramètres!$A$1:$I$89,3,0)*VLOOKUP('Données projet'!$B$15,Paramètres!$A$1:$I$89,5,0)</f>
        <v>124.57535999999993</v>
      </c>
      <c r="EL64" s="14">
        <f t="shared" si="45"/>
        <v>32.739791806000952</v>
      </c>
      <c r="EM64" s="22">
        <f t="shared" si="19"/>
        <v>273.99055606211817</v>
      </c>
      <c r="EN64" s="60">
        <f t="shared" si="20"/>
        <v>567.32388939545149</v>
      </c>
      <c r="EO64" s="60">
        <f ca="1">AVERAGE(OFFSET($EN$3,0,0,'Données projet'!$E$15+1,1))-AVERAGE(OFFSET($H$3,0,0,'Données projet'!$E$15+1,1))</f>
        <v>202.46844517174412</v>
      </c>
      <c r="EP64" s="60">
        <f t="shared" si="46"/>
        <v>185.00219255324515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5.3846153846153868</v>
      </c>
      <c r="FE64" s="13">
        <f>IF('Données projet'!$A$218&gt;35,FE63+FD64-FM63,IF(A64&lt;'Données projet'!$A$218,$FB$205^A64,IF(A64='Données projet'!$A$218,'Données projet'!$B$218,FE63+FD64-FM63)))</f>
        <v>260.51282051282044</v>
      </c>
      <c r="FF64" s="18">
        <f>FE64*VLOOKUP('Données projet'!$B$16,Paramètres!$A$1:$I$89,3,0)*VLOOKUP('Données projet'!$B$16,Paramètres!$A$1:$I$89,5,0)</f>
        <v>174.75199999999995</v>
      </c>
      <c r="FG64" s="14">
        <f t="shared" si="47"/>
        <v>44.15259980412263</v>
      </c>
      <c r="FH64" s="22">
        <f t="shared" si="22"/>
        <v>381.25884465884684</v>
      </c>
      <c r="FI64" s="60">
        <f t="shared" si="23"/>
        <v>674.59217799218015</v>
      </c>
      <c r="FJ64" s="60">
        <f ca="1">AVERAGE(OFFSET($FI$3,0,0,'Données projet'!$E$16+1,1))-AVERAGE(OFFSET($H$3,0,0,'Données projet'!$E$16+1,1))</f>
        <v>344.87493856469382</v>
      </c>
      <c r="FK64" s="60">
        <f t="shared" si="48"/>
        <v>261.91036689641402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>
        <f>FZ64*VLOOKUP('Données projet'!$B$17,Paramètres!$A$1:$I$89,3,0)*VLOOKUP('Données projet'!$B$17,Paramètres!$A$1:$I$89,5,0)</f>
        <v>0</v>
      </c>
      <c r="GB64" s="14" t="e">
        <f t="shared" si="49"/>
        <v>#NUM!</v>
      </c>
      <c r="GC64" s="22" t="e">
        <f t="shared" si="25"/>
        <v>#NUM!</v>
      </c>
      <c r="GD64" s="60" t="e">
        <f t="shared" si="26"/>
        <v>#NUM!</v>
      </c>
      <c r="GE64" s="60">
        <f ca="1">AVERAGE(OFFSET($GD$3,0,0,'Données projet'!$E$17+1,1))-AVERAGE(OFFSET($H$3,0,0,'Données projet'!$E$17+1,1))</f>
        <v>268.19959446602911</v>
      </c>
      <c r="GF64" s="60">
        <f t="shared" si="50"/>
        <v>691.2533336811855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77.795849264097711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77.795849264097711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8.6666666666666661</v>
      </c>
      <c r="GU64" s="13">
        <f>IF('Données projet'!$A$270&gt;35,GU63+GT64-HC63,IF(A64&lt;'Données projet'!$A$270,$GR$205^A64,IF(A64='Données projet'!$A$270,'Données projet'!$B$270,GU63+GT64-HC63)))</f>
        <v>258.66666666666663</v>
      </c>
      <c r="GV64" s="18">
        <f>GU64*VLOOKUP('Données projet'!$B$18,Paramètres!$A$1:$I$89,3,0)*VLOOKUP('Données projet'!$B$18,Paramètres!$A$1:$I$89,5,0)</f>
        <v>201.76</v>
      </c>
      <c r="GW64" s="14">
        <f t="shared" si="51"/>
        <v>50.130765000424212</v>
      </c>
      <c r="GX64" s="22">
        <f t="shared" si="28"/>
        <v>438.70974904240546</v>
      </c>
      <c r="GY64" s="60">
        <f t="shared" si="29"/>
        <v>732.04308237573878</v>
      </c>
      <c r="GZ64" s="60">
        <f ca="1">AVERAGE(OFFSET($GY$3,0,0,'Données projet'!$E$18+1,1))-AVERAGE(OFFSET($H$3,0,0,'Données projet'!$E$18+1,1))</f>
        <v>292.57482726862594</v>
      </c>
      <c r="HA64" s="60">
        <f t="shared" si="52"/>
        <v>283.48738729114024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22.7</v>
      </c>
      <c r="N65" s="14">
        <f>IF('Données projet'!$A$36&gt;35,N64+M65-V64,IF(A65&lt;'Données projet'!$A$36,$K$205^A65,IF(A65='Données projet'!$A$36,'Données projet'!$B$36,N64+M65-V64)))</f>
        <v>449.39999999999969</v>
      </c>
      <c r="O65" s="14">
        <f>N65*VLOOKUP('Données projet'!$B$9,Paramètres!$A$1:$I$89,3,0)*VLOOKUP('Données projet'!$B$9,Paramètres!$A$1:$I$89,5,0)</f>
        <v>210.31919999999985</v>
      </c>
      <c r="P65" s="14">
        <f t="shared" si="33"/>
        <v>52.005332762093687</v>
      </c>
      <c r="Q65" s="22">
        <f t="shared" si="53"/>
        <v>456.88189456064629</v>
      </c>
      <c r="R65" s="60">
        <f t="shared" si="0"/>
        <v>750.21522789397955</v>
      </c>
      <c r="S65" s="60">
        <f ca="1">AVERAGE(OFFSET($R$3,0,0,'Données projet'!$E$9+1,1))-AVERAGE(OFFSET($H$3,0,0,'Données projet'!$E$9+1,1))</f>
        <v>399.92909819003523</v>
      </c>
      <c r="T65" s="60">
        <f t="shared" si="34"/>
        <v>163.7053537268381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8.9</v>
      </c>
      <c r="AI65" s="14">
        <f>IF('Données projet'!$A$62&gt;35,AI64+AH65-AQ64,IF(A65&lt;'Données projet'!$A$62,$AF$205^A65,IF(A65='Données projet'!$A$62,'Données projet'!$B$62,AI64+AH65-AQ64)))</f>
        <v>460.79999999999956</v>
      </c>
      <c r="AJ65" s="14">
        <f>AI65*VLOOKUP('Données projet'!$B$10,Paramètres!$A$1:$I$89,3,0)*VLOOKUP('Données projet'!$B$10,Paramètres!$A$1:$I$89,5,0)</f>
        <v>275.55839999999978</v>
      </c>
      <c r="AK65" s="14">
        <f t="shared" si="35"/>
        <v>66.027499393878998</v>
      </c>
      <c r="AL65" s="22">
        <f t="shared" si="4"/>
        <v>594.92877477767217</v>
      </c>
      <c r="AM65" s="60">
        <f t="shared" si="5"/>
        <v>888.26210811100555</v>
      </c>
      <c r="AN65" s="60">
        <f ca="1">AVERAGE(OFFSET($AM$3,0,0,'Données projet'!$E$10+1,1))-AVERAGE(OFFSET($H$3,0,0,'Données projet'!$E$10+1,1))</f>
        <v>455.43477166687273</v>
      </c>
      <c r="AO65" s="60">
        <f t="shared" si="36"/>
        <v>312.81310692672895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228.39999999999995</v>
      </c>
      <c r="BE65" s="14">
        <f>BD65*VLOOKUP('Données projet'!$B$11,Paramètres!$A$1:$I$89,3,0)*VLOOKUP('Données projet'!$B$11,Paramètres!$A$1:$I$89,5,0)</f>
        <v>206.65631999999994</v>
      </c>
      <c r="BF65" s="14">
        <f t="shared" si="37"/>
        <v>51.20422634371338</v>
      </c>
      <c r="BG65" s="22">
        <f t="shared" si="7"/>
        <v>449.10711821530072</v>
      </c>
      <c r="BH65" s="60">
        <f t="shared" si="8"/>
        <v>742.44045154863397</v>
      </c>
      <c r="BI65" s="60">
        <f ca="1">AVERAGE(OFFSET($BH$3,0,0,'Données projet'!$E$11+1,1))-AVERAGE(OFFSET($H$3,0,0,'Données projet'!$E$11+1,1))</f>
        <v>430.11660085503223</v>
      </c>
      <c r="BJ65" s="60">
        <f t="shared" si="38"/>
        <v>231.36959598460686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228.39999999999995</v>
      </c>
      <c r="BZ65" s="14">
        <f>BY65*VLOOKUP('Données projet'!$B$12,Paramètres!$A$1:$I$89,3,0)*VLOOKUP('Données projet'!$B$12,Paramètres!$A$1:$I$89,5,0)</f>
        <v>231.59759999999997</v>
      </c>
      <c r="CA65" s="14">
        <f t="shared" si="39"/>
        <v>56.627980714948151</v>
      </c>
      <c r="CB65" s="22">
        <f t="shared" si="10"/>
        <v>501.99288641186791</v>
      </c>
      <c r="CC65" s="60">
        <f t="shared" si="11"/>
        <v>795.32621974520123</v>
      </c>
      <c r="CD65" s="60">
        <f ca="1">AVERAGE(OFFSET($CC$3,0,0,'Données projet'!$E$12+1,1))-AVERAGE(OFFSET($H$3,0,0,'Données projet'!$E$12+1,1))</f>
        <v>476.8965664931755</v>
      </c>
      <c r="CE65" s="60">
        <f t="shared" si="40"/>
        <v>254.25036207346591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228.39999999999995</v>
      </c>
      <c r="CU65" s="18">
        <f>CT65*VLOOKUP('Données projet'!$B$13,Paramètres!$A$1:$I$89,3,0)*VLOOKUP('Données projet'!$B$13,Paramètres!$A$1:$I$89,5,0)</f>
        <v>220.90847999999997</v>
      </c>
      <c r="CV65" s="14">
        <f t="shared" si="41"/>
        <v>54.312291977864817</v>
      </c>
      <c r="CW65" s="22">
        <f t="shared" si="13"/>
        <v>479.34284452811448</v>
      </c>
      <c r="CX65" s="60">
        <f t="shared" si="14"/>
        <v>772.67617786144774</v>
      </c>
      <c r="CY65" s="60">
        <f ca="1">AVERAGE(OFFSET($CX$3,0,0,'Données projet'!$E$13+1,1))-AVERAGE(OFFSET($H$3,0,0,'Données projet'!$E$13+1,1))</f>
        <v>456.86147223520601</v>
      </c>
      <c r="CZ65" s="60">
        <f t="shared" si="42"/>
        <v>244.45149244446094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3.9743589743589722</v>
      </c>
      <c r="DO65" s="13">
        <f>IF('Données projet'!$A$166&gt;35,DO64+DN65-DW64,IF(A65&lt;'Données projet'!$A$166,$DL$205^A65,IF(A65='Données projet'!$A$166,'Données projet'!$B$166,DO64+DN65-DW64)))</f>
        <v>144.48717948717953</v>
      </c>
      <c r="DP65" s="18">
        <f>DO65*VLOOKUP('Données projet'!$B$14,Paramètres!$A$1:$I$89,3,0)*VLOOKUP('Données projet'!$B$14,Paramètres!$A$1:$I$89,5,0)</f>
        <v>137.49400000000003</v>
      </c>
      <c r="DQ65" s="14">
        <f t="shared" si="43"/>
        <v>35.722313988505931</v>
      </c>
      <c r="DR65" s="22">
        <f t="shared" si="16"/>
        <v>301.68508019664785</v>
      </c>
      <c r="DS65" s="60">
        <f t="shared" si="17"/>
        <v>595.01841352998122</v>
      </c>
      <c r="DT65" s="60">
        <f ca="1">AVERAGE(OFFSET($DS$3,0,0,'Données projet'!$E$14+1,1))-AVERAGE(OFFSET($H$3,0,0,'Données projet'!$E$14+1,1))</f>
        <v>300.36889324671682</v>
      </c>
      <c r="DU65" s="60">
        <f t="shared" si="44"/>
        <v>214.36051699039683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2.6</v>
      </c>
      <c r="EJ65" s="13">
        <f>IF('Données projet'!$A$192&gt;35,EJ64+EI65-ER64,IF(A65&lt;'Données projet'!$A$192,$EG$205^A65,IF(A65='Données projet'!$A$192,'Données projet'!$B$192,EJ64+EI65-ER64)))</f>
        <v>145.1999999999999</v>
      </c>
      <c r="EK65" s="18">
        <f>EJ65*VLOOKUP('Données projet'!$B$15,Paramètres!$A$1:$I$89,3,0)*VLOOKUP('Données projet'!$B$15,Paramètres!$A$1:$I$89,5,0)</f>
        <v>126.84671999999993</v>
      </c>
      <c r="EL65" s="14">
        <f t="shared" si="45"/>
        <v>33.266690894263967</v>
      </c>
      <c r="EM65" s="22">
        <f t="shared" si="19"/>
        <v>278.86419064084293</v>
      </c>
      <c r="EN65" s="60">
        <f t="shared" si="20"/>
        <v>572.19752397417619</v>
      </c>
      <c r="EO65" s="60">
        <f ca="1">AVERAGE(OFFSET($EN$3,0,0,'Données projet'!$E$15+1,1))-AVERAGE(OFFSET($H$3,0,0,'Données projet'!$E$15+1,1))</f>
        <v>202.46844517174412</v>
      </c>
      <c r="EP65" s="60">
        <f t="shared" si="46"/>
        <v>185.00219255324515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5.3846153846153868</v>
      </c>
      <c r="FE65" s="13">
        <f>IF('Données projet'!$A$218&gt;35,FE64+FD65-FM64,IF(A65&lt;'Données projet'!$A$218,$FB$205^A65,IF(A65='Données projet'!$A$218,'Données projet'!$B$218,FE64+FD65-FM64)))</f>
        <v>265.8974358974358</v>
      </c>
      <c r="FF65" s="18">
        <f>FE65*VLOOKUP('Données projet'!$B$16,Paramètres!$A$1:$I$89,3,0)*VLOOKUP('Données projet'!$B$16,Paramètres!$A$1:$I$89,5,0)</f>
        <v>178.36399999999995</v>
      </c>
      <c r="FG65" s="14">
        <f t="shared" si="47"/>
        <v>44.958013118077915</v>
      </c>
      <c r="FH65" s="22">
        <f t="shared" si="22"/>
        <v>388.95250618065228</v>
      </c>
      <c r="FI65" s="60">
        <f t="shared" si="23"/>
        <v>682.28583951398559</v>
      </c>
      <c r="FJ65" s="60">
        <f ca="1">AVERAGE(OFFSET($FI$3,0,0,'Données projet'!$E$16+1,1))-AVERAGE(OFFSET($H$3,0,0,'Données projet'!$E$16+1,1))</f>
        <v>344.87493856469382</v>
      </c>
      <c r="FK65" s="60">
        <f t="shared" si="48"/>
        <v>261.91036689641402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>
        <f>FZ65*VLOOKUP('Données projet'!$B$17,Paramètres!$A$1:$I$89,3,0)*VLOOKUP('Données projet'!$B$17,Paramètres!$A$1:$I$89,5,0)</f>
        <v>0</v>
      </c>
      <c r="GB65" s="14" t="e">
        <f t="shared" si="49"/>
        <v>#NUM!</v>
      </c>
      <c r="GC65" s="22" t="e">
        <f t="shared" si="25"/>
        <v>#NUM!</v>
      </c>
      <c r="GD65" s="60" t="e">
        <f t="shared" si="26"/>
        <v>#NUM!</v>
      </c>
      <c r="GE65" s="60">
        <f ca="1">AVERAGE(OFFSET($GD$3,0,0,'Données projet'!$E$17+1,1))-AVERAGE(OFFSET($H$3,0,0,'Données projet'!$E$17+1,1))</f>
        <v>268.19959446602911</v>
      </c>
      <c r="GF65" s="60">
        <f t="shared" si="50"/>
        <v>691.2533336811855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76.270320110811426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76.270320110811426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8.6666666666666661</v>
      </c>
      <c r="GU65" s="13">
        <f>IF('Données projet'!$A$270&gt;35,GU64+GT65-HC64,IF(A65&lt;'Données projet'!$A$270,$GR$205^A65,IF(A65='Données projet'!$A$270,'Données projet'!$B$270,GU64+GT65-HC64)))</f>
        <v>267.33333333333331</v>
      </c>
      <c r="GV65" s="18">
        <f>GU65*VLOOKUP('Données projet'!$B$18,Paramètres!$A$1:$I$89,3,0)*VLOOKUP('Données projet'!$B$18,Paramètres!$A$1:$I$89,5,0)</f>
        <v>208.51999999999998</v>
      </c>
      <c r="GW65" s="14">
        <f t="shared" si="51"/>
        <v>51.612035456318509</v>
      </c>
      <c r="GX65" s="22">
        <f t="shared" si="28"/>
        <v>453.06329508642131</v>
      </c>
      <c r="GY65" s="60">
        <f t="shared" si="29"/>
        <v>746.39662841975462</v>
      </c>
      <c r="GZ65" s="60">
        <f ca="1">AVERAGE(OFFSET($GY$3,0,0,'Données projet'!$E$18+1,1))-AVERAGE(OFFSET($H$3,0,0,'Données projet'!$E$18+1,1))</f>
        <v>292.57482726862594</v>
      </c>
      <c r="HA65" s="60">
        <f t="shared" si="52"/>
        <v>283.48738729114024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22.7</v>
      </c>
      <c r="N66" s="14">
        <f>IF('Données projet'!$A$36&gt;35,N65+M66-V65,IF(A66&lt;'Données projet'!$A$36,$K$205^A66,IF(A66='Données projet'!$A$36,'Données projet'!$B$36,N65+M66-V65)))</f>
        <v>472.09999999999968</v>
      </c>
      <c r="O66" s="14">
        <f>N66*VLOOKUP('Données projet'!$B$9,Paramètres!$A$1:$I$89,3,0)*VLOOKUP('Données projet'!$B$9,Paramètres!$A$1:$I$89,5,0)</f>
        <v>220.94279999999983</v>
      </c>
      <c r="P66" s="14">
        <f t="shared" si="33"/>
        <v>54.31974761568528</v>
      </c>
      <c r="Q66" s="22">
        <f t="shared" si="53"/>
        <v>479.41560376398479</v>
      </c>
      <c r="R66" s="60">
        <f t="shared" si="0"/>
        <v>772.74893709731805</v>
      </c>
      <c r="S66" s="60">
        <f ca="1">AVERAGE(OFFSET($R$3,0,0,'Données projet'!$E$9+1,1))-AVERAGE(OFFSET($H$3,0,0,'Données projet'!$E$9+1,1))</f>
        <v>399.92909819003523</v>
      </c>
      <c r="T66" s="60">
        <f t="shared" si="34"/>
        <v>163.7053537268381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8.9</v>
      </c>
      <c r="AI66" s="14">
        <f>IF('Données projet'!$A$62&gt;35,AI65+AH66-AQ65,IF(A66&lt;'Données projet'!$A$62,$AF$205^A66,IF(A66='Données projet'!$A$62,'Données projet'!$B$62,AI65+AH66-AQ65)))</f>
        <v>469.69999999999953</v>
      </c>
      <c r="AJ66" s="14">
        <f>AI66*VLOOKUP('Données projet'!$B$10,Paramètres!$A$1:$I$89,3,0)*VLOOKUP('Données projet'!$B$10,Paramètres!$A$1:$I$89,5,0)</f>
        <v>280.88059999999973</v>
      </c>
      <c r="AK66" s="14">
        <f t="shared" si="35"/>
        <v>67.153070952318444</v>
      </c>
      <c r="AL66" s="22">
        <f t="shared" si="4"/>
        <v>606.15864357528756</v>
      </c>
      <c r="AM66" s="60">
        <f t="shared" si="5"/>
        <v>899.49197690862093</v>
      </c>
      <c r="AN66" s="60">
        <f ca="1">AVERAGE(OFFSET($AM$3,0,0,'Données projet'!$E$10+1,1))-AVERAGE(OFFSET($H$3,0,0,'Données projet'!$E$10+1,1))</f>
        <v>455.43477166687273</v>
      </c>
      <c r="AO66" s="60">
        <f t="shared" si="36"/>
        <v>312.81310692672895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235.59999999999994</v>
      </c>
      <c r="BE66" s="14">
        <f>BD66*VLOOKUP('Données projet'!$B$11,Paramètres!$A$1:$I$89,3,0)*VLOOKUP('Données projet'!$B$11,Paramètres!$A$1:$I$89,5,0)</f>
        <v>213.17087999999995</v>
      </c>
      <c r="BF66" s="14">
        <f t="shared" si="37"/>
        <v>52.627897224631596</v>
      </c>
      <c r="BG66" s="22">
        <f t="shared" si="7"/>
        <v>462.93287033289988</v>
      </c>
      <c r="BH66" s="60">
        <f t="shared" si="8"/>
        <v>756.2662036662332</v>
      </c>
      <c r="BI66" s="60">
        <f ca="1">AVERAGE(OFFSET($BH$3,0,0,'Données projet'!$E$11+1,1))-AVERAGE(OFFSET($H$3,0,0,'Données projet'!$E$11+1,1))</f>
        <v>430.11660085503223</v>
      </c>
      <c r="BJ66" s="60">
        <f t="shared" si="38"/>
        <v>231.36959598460686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235.59999999999994</v>
      </c>
      <c r="BZ66" s="14">
        <f>BY66*VLOOKUP('Données projet'!$B$12,Paramètres!$A$1:$I$89,3,0)*VLOOKUP('Données projet'!$B$12,Paramètres!$A$1:$I$89,5,0)</f>
        <v>238.89839999999995</v>
      </c>
      <c r="CA66" s="14">
        <f t="shared" si="39"/>
        <v>58.202452451868851</v>
      </c>
      <c r="CB66" s="22">
        <f t="shared" si="10"/>
        <v>517.45065135367156</v>
      </c>
      <c r="CC66" s="60">
        <f t="shared" si="11"/>
        <v>810.78398468700493</v>
      </c>
      <c r="CD66" s="60">
        <f ca="1">AVERAGE(OFFSET($CC$3,0,0,'Données projet'!$E$12+1,1))-AVERAGE(OFFSET($H$3,0,0,'Données projet'!$E$12+1,1))</f>
        <v>476.8965664931755</v>
      </c>
      <c r="CE66" s="60">
        <f t="shared" si="40"/>
        <v>254.25036207346591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235.59999999999994</v>
      </c>
      <c r="CU66" s="18">
        <f>CT66*VLOOKUP('Données projet'!$B$13,Paramètres!$A$1:$I$89,3,0)*VLOOKUP('Données projet'!$B$13,Paramètres!$A$1:$I$89,5,0)</f>
        <v>227.87231999999997</v>
      </c>
      <c r="CV66" s="14">
        <f t="shared" si="41"/>
        <v>55.822378821981488</v>
      </c>
      <c r="CW66" s="22">
        <f t="shared" si="13"/>
        <v>494.10160044828439</v>
      </c>
      <c r="CX66" s="60">
        <f t="shared" si="14"/>
        <v>787.4349337816177</v>
      </c>
      <c r="CY66" s="60">
        <f ca="1">AVERAGE(OFFSET($CX$3,0,0,'Données projet'!$E$13+1,1))-AVERAGE(OFFSET($H$3,0,0,'Données projet'!$E$13+1,1))</f>
        <v>456.86147223520601</v>
      </c>
      <c r="CZ66" s="60">
        <f t="shared" si="42"/>
        <v>244.45149244446094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3.9743589743589722</v>
      </c>
      <c r="DO66" s="13">
        <f>IF('Données projet'!$A$166&gt;35,DO65+DN66-DW65,IF(A66&lt;'Données projet'!$A$166,$DL$205^A66,IF(A66='Données projet'!$A$166,'Données projet'!$B$166,DO65+DN66-DW65)))</f>
        <v>148.46153846153851</v>
      </c>
      <c r="DP66" s="18">
        <f>DO66*VLOOKUP('Données projet'!$B$14,Paramètres!$A$1:$I$89,3,0)*VLOOKUP('Données projet'!$B$14,Paramètres!$A$1:$I$89,5,0)</f>
        <v>141.27600000000004</v>
      </c>
      <c r="DQ66" s="14">
        <f t="shared" si="43"/>
        <v>36.589164642010665</v>
      </c>
      <c r="DR66" s="22">
        <f t="shared" si="16"/>
        <v>309.78182841816863</v>
      </c>
      <c r="DS66" s="60">
        <f t="shared" si="17"/>
        <v>603.115161751502</v>
      </c>
      <c r="DT66" s="60">
        <f ca="1">AVERAGE(OFFSET($DS$3,0,0,'Données projet'!$E$14+1,1))-AVERAGE(OFFSET($H$3,0,0,'Données projet'!$E$14+1,1))</f>
        <v>300.36889324671682</v>
      </c>
      <c r="DU66" s="60">
        <f t="shared" si="44"/>
        <v>214.36051699039683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2.6</v>
      </c>
      <c r="EJ66" s="13">
        <f>IF('Données projet'!$A$192&gt;35,EJ65+EI66-ER65,IF(A66&lt;'Données projet'!$A$192,$EG$205^A66,IF(A66='Données projet'!$A$192,'Données projet'!$B$192,EJ65+EI66-ER65)))</f>
        <v>147.7999999999999</v>
      </c>
      <c r="EK66" s="18">
        <f>EJ66*VLOOKUP('Données projet'!$B$15,Paramètres!$A$1:$I$89,3,0)*VLOOKUP('Données projet'!$B$15,Paramètres!$A$1:$I$89,5,0)</f>
        <v>129.11807999999991</v>
      </c>
      <c r="EL66" s="14">
        <f t="shared" si="45"/>
        <v>33.792492849789163</v>
      </c>
      <c r="EM66" s="22">
        <f t="shared" si="19"/>
        <v>283.73591438004928</v>
      </c>
      <c r="EN66" s="60">
        <f t="shared" si="20"/>
        <v>577.06924771338254</v>
      </c>
      <c r="EO66" s="60">
        <f ca="1">AVERAGE(OFFSET($EN$3,0,0,'Données projet'!$E$15+1,1))-AVERAGE(OFFSET($H$3,0,0,'Données projet'!$E$15+1,1))</f>
        <v>202.46844517174412</v>
      </c>
      <c r="EP66" s="60">
        <f t="shared" si="46"/>
        <v>185.00219255324515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5.3846153846153868</v>
      </c>
      <c r="FE66" s="13">
        <f>IF('Données projet'!$A$218&gt;35,FE65+FD66-FM65,IF(A66&lt;'Données projet'!$A$218,$FB$205^A66,IF(A66='Données projet'!$A$218,'Données projet'!$B$218,FE65+FD66-FM65)))</f>
        <v>271.28205128205116</v>
      </c>
      <c r="FF66" s="18">
        <f>FE66*VLOOKUP('Données projet'!$B$16,Paramètres!$A$1:$I$89,3,0)*VLOOKUP('Données projet'!$B$16,Paramètres!$A$1:$I$89,5,0)</f>
        <v>181.97599999999991</v>
      </c>
      <c r="FG66" s="14">
        <f t="shared" si="47"/>
        <v>45.761530023303195</v>
      </c>
      <c r="FH66" s="22">
        <f t="shared" si="22"/>
        <v>396.6428647905862</v>
      </c>
      <c r="FI66" s="60">
        <f t="shared" si="23"/>
        <v>689.97619812391952</v>
      </c>
      <c r="FJ66" s="60">
        <f ca="1">AVERAGE(OFFSET($FI$3,0,0,'Données projet'!$E$16+1,1))-AVERAGE(OFFSET($H$3,0,0,'Données projet'!$E$16+1,1))</f>
        <v>344.87493856469382</v>
      </c>
      <c r="FK66" s="60">
        <f t="shared" si="48"/>
        <v>261.91036689641402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>
        <f>FZ66*VLOOKUP('Données projet'!$B$17,Paramètres!$A$1:$I$89,3,0)*VLOOKUP('Données projet'!$B$17,Paramètres!$A$1:$I$89,5,0)</f>
        <v>0</v>
      </c>
      <c r="GB66" s="14" t="e">
        <f t="shared" si="49"/>
        <v>#NUM!</v>
      </c>
      <c r="GC66" s="22" t="e">
        <f t="shared" si="25"/>
        <v>#NUM!</v>
      </c>
      <c r="GD66" s="60" t="e">
        <f t="shared" si="26"/>
        <v>#NUM!</v>
      </c>
      <c r="GE66" s="60">
        <f ca="1">AVERAGE(OFFSET($GD$3,0,0,'Données projet'!$E$17+1,1))-AVERAGE(OFFSET($H$3,0,0,'Données projet'!$E$17+1,1))</f>
        <v>268.19959446602911</v>
      </c>
      <c r="GF66" s="60">
        <f t="shared" si="50"/>
        <v>691.2533336811855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74.774705653740185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74.774705653740185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8.6666666666666661</v>
      </c>
      <c r="GU66" s="13">
        <f>IF('Données projet'!$A$270&gt;35,GU65+GT66-HC65,IF(A66&lt;'Données projet'!$A$270,$GR$205^A66,IF(A66='Données projet'!$A$270,'Données projet'!$B$270,GU65+GT66-HC65)))</f>
        <v>276</v>
      </c>
      <c r="GV66" s="18">
        <f>GU66*VLOOKUP('Données projet'!$B$18,Paramètres!$A$1:$I$89,3,0)*VLOOKUP('Données projet'!$B$18,Paramètres!$A$1:$I$89,5,0)</f>
        <v>215.28</v>
      </c>
      <c r="GW66" s="14">
        <f t="shared" si="51"/>
        <v>53.087725740853138</v>
      </c>
      <c r="GX66" s="22">
        <f t="shared" si="28"/>
        <v>467.40712233198587</v>
      </c>
      <c r="GY66" s="60">
        <f t="shared" si="29"/>
        <v>760.74045566531913</v>
      </c>
      <c r="GZ66" s="60">
        <f ca="1">AVERAGE(OFFSET($GY$3,0,0,'Données projet'!$E$18+1,1))-AVERAGE(OFFSET($H$3,0,0,'Données projet'!$E$18+1,1))</f>
        <v>292.57482726862594</v>
      </c>
      <c r="HA66" s="60">
        <f t="shared" si="52"/>
        <v>283.48738729114024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22.7</v>
      </c>
      <c r="N67" s="14">
        <f>IF('Données projet'!$A$36&gt;35,N66+M67-V66,IF(A67&lt;'Données projet'!$A$36,$K$205^A67,IF(A67='Données projet'!$A$36,'Données projet'!$B$36,N66+M67-V66)))</f>
        <v>494.79999999999967</v>
      </c>
      <c r="O67" s="14">
        <f>N67*VLOOKUP('Données projet'!$B$9,Paramètres!$A$1:$I$89,3,0)*VLOOKUP('Données projet'!$B$9,Paramètres!$A$1:$I$89,5,0)</f>
        <v>231.56639999999985</v>
      </c>
      <c r="P67" s="14">
        <f t="shared" si="33"/>
        <v>56.621239926036594</v>
      </c>
      <c r="Q67" s="22">
        <f t="shared" ref="Q67:Q98" si="54">(O67+P67)*0.475*44/12</f>
        <v>501.92680620451353</v>
      </c>
      <c r="R67" s="60">
        <f t="shared" ref="R67:R130" si="55">Q67+(I67+J67)*44/12</f>
        <v>795.26013953784684</v>
      </c>
      <c r="S67" s="60">
        <f ca="1">AVERAGE(OFFSET($R$3,0,0,'Données projet'!$E$9+1,1))-AVERAGE(OFFSET($H$3,0,0,'Données projet'!$E$9+1,1))</f>
        <v>399.92909819003523</v>
      </c>
      <c r="T67" s="60">
        <f t="shared" si="34"/>
        <v>163.7053537268381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8.9</v>
      </c>
      <c r="AI67" s="14">
        <f>IF('Données projet'!$A$62&gt;35,AI66+AH67-AQ66,IF(A67&lt;'Données projet'!$A$62,$AF$205^A67,IF(A67='Données projet'!$A$62,'Données projet'!$B$62,AI66+AH67-AQ66)))</f>
        <v>478.59999999999951</v>
      </c>
      <c r="AJ67" s="14">
        <f>AI67*VLOOKUP('Données projet'!$B$10,Paramètres!$A$1:$I$89,3,0)*VLOOKUP('Données projet'!$B$10,Paramètres!$A$1:$I$89,5,0)</f>
        <v>286.20279999999974</v>
      </c>
      <c r="AK67" s="14">
        <f t="shared" si="35"/>
        <v>68.276162553684031</v>
      </c>
      <c r="AL67" s="22">
        <f t="shared" si="4"/>
        <v>617.38419311433256</v>
      </c>
      <c r="AM67" s="60">
        <f t="shared" si="5"/>
        <v>910.71752644766593</v>
      </c>
      <c r="AN67" s="60">
        <f ca="1">AVERAGE(OFFSET($AM$3,0,0,'Données projet'!$E$10+1,1))-AVERAGE(OFFSET($H$3,0,0,'Données projet'!$E$10+1,1))</f>
        <v>455.43477166687273</v>
      </c>
      <c r="AO67" s="60">
        <f t="shared" si="36"/>
        <v>312.81310692672895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242.79999999999993</v>
      </c>
      <c r="BE67" s="14">
        <f>BD67*VLOOKUP('Données projet'!$B$11,Paramètres!$A$1:$I$89,3,0)*VLOOKUP('Données projet'!$B$11,Paramètres!$A$1:$I$89,5,0)</f>
        <v>219.68543999999994</v>
      </c>
      <c r="BF67" s="14">
        <f t="shared" si="37"/>
        <v>54.046511966469559</v>
      </c>
      <c r="BG67" s="22">
        <f t="shared" si="7"/>
        <v>476.74981634160105</v>
      </c>
      <c r="BH67" s="60">
        <f t="shared" si="8"/>
        <v>770.08314967493436</v>
      </c>
      <c r="BI67" s="60">
        <f ca="1">AVERAGE(OFFSET($BH$3,0,0,'Données projet'!$E$11+1,1))-AVERAGE(OFFSET($H$3,0,0,'Données projet'!$E$11+1,1))</f>
        <v>430.11660085503223</v>
      </c>
      <c r="BJ67" s="60">
        <f t="shared" si="38"/>
        <v>231.36959598460686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242.79999999999993</v>
      </c>
      <c r="BZ67" s="14">
        <f>BY67*VLOOKUP('Données projet'!$B$12,Paramètres!$A$1:$I$89,3,0)*VLOOKUP('Données projet'!$B$12,Paramètres!$A$1:$I$89,5,0)</f>
        <v>246.19919999999996</v>
      </c>
      <c r="CA67" s="14">
        <f t="shared" si="39"/>
        <v>59.77133248344078</v>
      </c>
      <c r="CB67" s="22">
        <f t="shared" si="10"/>
        <v>532.8986774086593</v>
      </c>
      <c r="CC67" s="60">
        <f t="shared" si="11"/>
        <v>826.23201074199255</v>
      </c>
      <c r="CD67" s="60">
        <f ca="1">AVERAGE(OFFSET($CC$3,0,0,'Données projet'!$E$12+1,1))-AVERAGE(OFFSET($H$3,0,0,'Données projet'!$E$12+1,1))</f>
        <v>476.8965664931755</v>
      </c>
      <c r="CE67" s="60">
        <f t="shared" si="40"/>
        <v>254.25036207346591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242.79999999999993</v>
      </c>
      <c r="CU67" s="18">
        <f>CT67*VLOOKUP('Données projet'!$B$13,Paramètres!$A$1:$I$89,3,0)*VLOOKUP('Données projet'!$B$13,Paramètres!$A$1:$I$89,5,0)</f>
        <v>234.83615999999992</v>
      </c>
      <c r="CV67" s="14">
        <f t="shared" si="41"/>
        <v>57.327102622427432</v>
      </c>
      <c r="CW67" s="22">
        <f t="shared" si="13"/>
        <v>508.85101573406092</v>
      </c>
      <c r="CX67" s="60">
        <f t="shared" si="14"/>
        <v>802.18434906739424</v>
      </c>
      <c r="CY67" s="60">
        <f ca="1">AVERAGE(OFFSET($CX$3,0,0,'Données projet'!$E$13+1,1))-AVERAGE(OFFSET($H$3,0,0,'Données projet'!$E$13+1,1))</f>
        <v>456.86147223520601</v>
      </c>
      <c r="CZ67" s="60">
        <f t="shared" si="42"/>
        <v>244.45149244446094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3.9743589743589722</v>
      </c>
      <c r="DO67" s="13">
        <f>IF('Données projet'!$A$166&gt;35,DO66+DN67-DW66,IF(A67&lt;'Données projet'!$A$166,$DL$205^A67,IF(A67='Données projet'!$A$166,'Données projet'!$B$166,DO66+DN67-DW66)))</f>
        <v>152.43589743589749</v>
      </c>
      <c r="DP67" s="18">
        <f>DO67*VLOOKUP('Données projet'!$B$14,Paramètres!$A$1:$I$89,3,0)*VLOOKUP('Données projet'!$B$14,Paramètres!$A$1:$I$89,5,0)</f>
        <v>145.05800000000005</v>
      </c>
      <c r="DQ67" s="14">
        <f t="shared" si="43"/>
        <v>37.453317998658314</v>
      </c>
      <c r="DR67" s="22">
        <f t="shared" si="16"/>
        <v>317.87387884766332</v>
      </c>
      <c r="DS67" s="60">
        <f t="shared" si="17"/>
        <v>611.20721218099663</v>
      </c>
      <c r="DT67" s="60">
        <f ca="1">AVERAGE(OFFSET($DS$3,0,0,'Données projet'!$E$14+1,1))-AVERAGE(OFFSET($H$3,0,0,'Données projet'!$E$14+1,1))</f>
        <v>300.36889324671682</v>
      </c>
      <c r="DU67" s="60">
        <f t="shared" si="44"/>
        <v>214.36051699039683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2.6</v>
      </c>
      <c r="EJ67" s="13">
        <f>IF('Données projet'!$A$192&gt;35,EJ66+EI67-ER66,IF(A67&lt;'Données projet'!$A$192,$EG$205^A67,IF(A67='Données projet'!$A$192,'Données projet'!$B$192,EJ66+EI67-ER66)))</f>
        <v>150.39999999999989</v>
      </c>
      <c r="EK67" s="18">
        <f>EJ67*VLOOKUP('Données projet'!$B$15,Paramètres!$A$1:$I$89,3,0)*VLOOKUP('Données projet'!$B$15,Paramètres!$A$1:$I$89,5,0)</f>
        <v>131.38943999999992</v>
      </c>
      <c r="EL67" s="14">
        <f t="shared" si="45"/>
        <v>34.317219199328726</v>
      </c>
      <c r="EM67" s="22">
        <f t="shared" si="19"/>
        <v>288.60576477216404</v>
      </c>
      <c r="EN67" s="60">
        <f t="shared" si="20"/>
        <v>581.93909810549735</v>
      </c>
      <c r="EO67" s="60">
        <f ca="1">AVERAGE(OFFSET($EN$3,0,0,'Données projet'!$E$15+1,1))-AVERAGE(OFFSET($H$3,0,0,'Données projet'!$E$15+1,1))</f>
        <v>202.46844517174412</v>
      </c>
      <c r="EP67" s="60">
        <f t="shared" si="46"/>
        <v>185.00219255324515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5.3846153846153868</v>
      </c>
      <c r="FE67" s="13">
        <f>IF('Données projet'!$A$218&gt;35,FE66+FD67-FM66,IF(A67&lt;'Données projet'!$A$218,$FB$205^A67,IF(A67='Données projet'!$A$218,'Données projet'!$B$218,FE66+FD67-FM66)))</f>
        <v>276.66666666666652</v>
      </c>
      <c r="FF67" s="18">
        <f>FE67*VLOOKUP('Données projet'!$B$16,Paramètres!$A$1:$I$89,3,0)*VLOOKUP('Données projet'!$B$16,Paramètres!$A$1:$I$89,5,0)</f>
        <v>185.58799999999991</v>
      </c>
      <c r="FG67" s="14">
        <f t="shared" si="47"/>
        <v>46.563192499694225</v>
      </c>
      <c r="FH67" s="22">
        <f t="shared" si="22"/>
        <v>404.32999360363391</v>
      </c>
      <c r="FI67" s="60">
        <f t="shared" si="23"/>
        <v>697.66332693696722</v>
      </c>
      <c r="FJ67" s="60">
        <f ca="1">AVERAGE(OFFSET($FI$3,0,0,'Données projet'!$E$16+1,1))-AVERAGE(OFFSET($H$3,0,0,'Données projet'!$E$16+1,1))</f>
        <v>344.87493856469382</v>
      </c>
      <c r="FK67" s="60">
        <f t="shared" si="48"/>
        <v>261.91036689641402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>
        <f>FZ67*VLOOKUP('Données projet'!$B$17,Paramètres!$A$1:$I$89,3,0)*VLOOKUP('Données projet'!$B$17,Paramètres!$A$1:$I$89,5,0)</f>
        <v>0</v>
      </c>
      <c r="GB67" s="14" t="e">
        <f t="shared" si="49"/>
        <v>#NUM!</v>
      </c>
      <c r="GC67" s="22" t="e">
        <f t="shared" si="25"/>
        <v>#NUM!</v>
      </c>
      <c r="GD67" s="60" t="e">
        <f t="shared" si="26"/>
        <v>#NUM!</v>
      </c>
      <c r="GE67" s="60">
        <f ca="1">AVERAGE(OFFSET($GD$3,0,0,'Données projet'!$E$17+1,1))-AVERAGE(OFFSET($H$3,0,0,'Données projet'!$E$17+1,1))</f>
        <v>268.19959446602911</v>
      </c>
      <c r="GF67" s="60">
        <f t="shared" si="50"/>
        <v>691.2533336811855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73.308419283937369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73.308419283937369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8.6666666666666661</v>
      </c>
      <c r="GU67" s="13">
        <f>IF('Données projet'!$A$270&gt;35,GU66+GT67-HC66,IF(A67&lt;'Données projet'!$A$270,$GR$205^A67,IF(A67='Données projet'!$A$270,'Données projet'!$B$270,GU66+GT67-HC66)))</f>
        <v>284.66666666666669</v>
      </c>
      <c r="GV67" s="18">
        <f>GU67*VLOOKUP('Données projet'!$B$18,Paramètres!$A$1:$I$89,3,0)*VLOOKUP('Données projet'!$B$18,Paramètres!$A$1:$I$89,5,0)</f>
        <v>222.04000000000002</v>
      </c>
      <c r="GW67" s="14">
        <f t="shared" si="51"/>
        <v>54.558031180803596</v>
      </c>
      <c r="GX67" s="22">
        <f t="shared" si="28"/>
        <v>481.74157097323291</v>
      </c>
      <c r="GY67" s="60">
        <f t="shared" si="29"/>
        <v>775.07490430656617</v>
      </c>
      <c r="GZ67" s="60">
        <f ca="1">AVERAGE(OFFSET($GY$3,0,0,'Données projet'!$E$18+1,1))-AVERAGE(OFFSET($H$3,0,0,'Données projet'!$E$18+1,1))</f>
        <v>292.57482726862594</v>
      </c>
      <c r="HA67" s="60">
        <f t="shared" si="52"/>
        <v>283.48738729114024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22.7</v>
      </c>
      <c r="N68" s="14">
        <f>IF('Données projet'!$A$36&gt;35,N67+M68-V67,IF(A68&lt;'Données projet'!$A$36,$K$205^A68,IF(A68='Données projet'!$A$36,'Données projet'!$B$36,N67+M68-V67)))</f>
        <v>517.49999999999966</v>
      </c>
      <c r="O68" s="14">
        <f>N68*VLOOKUP('Données projet'!$B$9,Paramètres!$A$1:$I$89,3,0)*VLOOKUP('Données projet'!$B$9,Paramètres!$A$1:$I$89,5,0)</f>
        <v>242.18999999999983</v>
      </c>
      <c r="P68" s="14">
        <f t="shared" si="33"/>
        <v>58.910470259429303</v>
      </c>
      <c r="Q68" s="22">
        <f t="shared" si="54"/>
        <v>524.41665236850577</v>
      </c>
      <c r="R68" s="60">
        <f t="shared" si="55"/>
        <v>817.74998570183902</v>
      </c>
      <c r="S68" s="60">
        <f ca="1">AVERAGE(OFFSET($R$3,0,0,'Données projet'!$E$9+1,1))-AVERAGE(OFFSET($H$3,0,0,'Données projet'!$E$9+1,1))</f>
        <v>399.92909819003523</v>
      </c>
      <c r="T68" s="60">
        <f t="shared" si="34"/>
        <v>163.7053537268381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8.9</v>
      </c>
      <c r="AI68" s="14">
        <f>IF('Données projet'!$A$62&gt;35,AI67+AH68-AQ67,IF(A68&lt;'Données projet'!$A$62,$AF$205^A68,IF(A68='Données projet'!$A$62,'Données projet'!$B$62,AI67+AH68-AQ67)))</f>
        <v>487.49999999999949</v>
      </c>
      <c r="AJ68" s="14">
        <f>AI68*VLOOKUP('Données projet'!$B$10,Paramètres!$A$1:$I$89,3,0)*VLOOKUP('Données projet'!$B$10,Paramètres!$A$1:$I$89,5,0)</f>
        <v>291.52499999999969</v>
      </c>
      <c r="AK68" s="14">
        <f t="shared" si="35"/>
        <v>69.396825633343269</v>
      </c>
      <c r="AL68" s="22">
        <f t="shared" ref="AL68:AL131" si="58">(AJ68+AK68)*0.475*44/12</f>
        <v>628.6055129780724</v>
      </c>
      <c r="AM68" s="60">
        <f t="shared" ref="AM68:AM131" si="59">AL68+(AD68+AE68)*44/12</f>
        <v>921.93884631140577</v>
      </c>
      <c r="AN68" s="60">
        <f ca="1">AVERAGE(OFFSET($AM$3,0,0,'Données projet'!$E$10+1,1))-AVERAGE(OFFSET($H$3,0,0,'Données projet'!$E$10+1,1))</f>
        <v>455.43477166687273</v>
      </c>
      <c r="AO68" s="60">
        <f t="shared" si="36"/>
        <v>312.81310692672895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249.99999999999991</v>
      </c>
      <c r="BE68" s="14">
        <f>BD68*VLOOKUP('Données projet'!$B$11,Paramètres!$A$1:$I$89,3,0)*VLOOKUP('Données projet'!$B$11,Paramètres!$A$1:$I$89,5,0)</f>
        <v>226.19999999999993</v>
      </c>
      <c r="BF68" s="14">
        <f t="shared" si="37"/>
        <v>55.460237717698107</v>
      </c>
      <c r="BG68" s="22">
        <f t="shared" ref="BG68:BG131" si="61">(BE68+BF68)*0.475*44/12</f>
        <v>490.55824735832402</v>
      </c>
      <c r="BH68" s="60">
        <f t="shared" ref="BH68:BH131" si="62">BG68+(AY68+AZ68)*44/12</f>
        <v>783.89158069165728</v>
      </c>
      <c r="BI68" s="60">
        <f ca="1">AVERAGE(OFFSET($BH$3,0,0,'Données projet'!$E$11+1,1))-AVERAGE(OFFSET($H$3,0,0,'Données projet'!$E$11+1,1))</f>
        <v>430.11660085503223</v>
      </c>
      <c r="BJ68" s="60">
        <f t="shared" si="38"/>
        <v>231.36959598460686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250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249.99999999999991</v>
      </c>
      <c r="BZ68" s="14">
        <f>BY68*VLOOKUP('Données projet'!$B$12,Paramètres!$A$1:$I$89,3,0)*VLOOKUP('Données projet'!$B$12,Paramètres!$A$1:$I$89,5,0)</f>
        <v>253.49999999999991</v>
      </c>
      <c r="CA68" s="14">
        <f t="shared" si="39"/>
        <v>61.334805663162498</v>
      </c>
      <c r="CB68" s="22">
        <f t="shared" ref="CB68:CB131" si="64">(BZ68+CA68)*0.475*44/12</f>
        <v>548.33728653000776</v>
      </c>
      <c r="CC68" s="60">
        <f t="shared" ref="CC68:CC131" si="65">CB68+(BT68+BU68)*44/12</f>
        <v>841.67061986334102</v>
      </c>
      <c r="CD68" s="60">
        <f ca="1">AVERAGE(OFFSET($CC$3,0,0,'Données projet'!$E$12+1,1))-AVERAGE(OFFSET($H$3,0,0,'Données projet'!$E$12+1,1))</f>
        <v>476.8965664931755</v>
      </c>
      <c r="CE68" s="60">
        <f t="shared" si="40"/>
        <v>254.25036207346591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42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250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249.99999999999991</v>
      </c>
      <c r="CU68" s="18">
        <f>CT68*VLOOKUP('Données projet'!$B$13,Paramètres!$A$1:$I$89,3,0)*VLOOKUP('Données projet'!$B$13,Paramètres!$A$1:$I$89,5,0)</f>
        <v>241.79999999999993</v>
      </c>
      <c r="CV68" s="14">
        <f t="shared" si="41"/>
        <v>58.826640673484839</v>
      </c>
      <c r="CW68" s="22">
        <f t="shared" ref="CW68:CW131" si="67">(CU68+CV68)*0.475*44/12</f>
        <v>523.59139917298592</v>
      </c>
      <c r="CX68" s="60">
        <f t="shared" ref="CX68:CX131" si="68">CW68+(CO68+CP68)*44/12</f>
        <v>816.92473250631929</v>
      </c>
      <c r="CY68" s="60">
        <f ca="1">AVERAGE(OFFSET($CX$3,0,0,'Données projet'!$E$13+1,1))-AVERAGE(OFFSET($H$3,0,0,'Données projet'!$E$13+1,1))</f>
        <v>456.86147223520601</v>
      </c>
      <c r="CZ68" s="60">
        <f t="shared" si="42"/>
        <v>244.45149244446094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156.41025641025641</v>
      </c>
      <c r="DM68" s="13">
        <f>VLOOKUP(A68,'Données projet'!$A$165:$I$185,9,0)</f>
        <v>3.9743589743589722</v>
      </c>
      <c r="DN68" s="13">
        <f t="array" ref="DN68">INDEX(DM:DM,MIN(IF(ISNUMBER(DM68:DM264),ROW(DM68:DM264),"")))</f>
        <v>3.9743589743589722</v>
      </c>
      <c r="DO68" s="13">
        <f>IF('Données projet'!$A$166&gt;35,DO67+DN68-DW67,IF(A68&lt;'Données projet'!$A$166,$DL$205^A68,IF(A68='Données projet'!$A$166,'Données projet'!$B$166,DO67+DN68-DW67)))</f>
        <v>156.41025641025647</v>
      </c>
      <c r="DP68" s="18">
        <f>DO68*VLOOKUP('Données projet'!$B$14,Paramètres!$A$1:$I$89,3,0)*VLOOKUP('Données projet'!$B$14,Paramètres!$A$1:$I$89,5,0)</f>
        <v>148.84000000000006</v>
      </c>
      <c r="DQ68" s="14">
        <f t="shared" si="43"/>
        <v>38.31485246803809</v>
      </c>
      <c r="DR68" s="22">
        <f t="shared" ref="DR68:DR131" si="70">(DP68+DQ68)*0.475*44/12</f>
        <v>325.96136804849976</v>
      </c>
      <c r="DS68" s="60">
        <f t="shared" ref="DS68:DS131" si="71">DR68+(DJ68+DK68)*44/12</f>
        <v>619.29470138183308</v>
      </c>
      <c r="DT68" s="60">
        <f ca="1">AVERAGE(OFFSET($DS$3,0,0,'Données projet'!$E$14+1,1))-AVERAGE(OFFSET($H$3,0,0,'Données projet'!$E$14+1,1))</f>
        <v>300.36889324671682</v>
      </c>
      <c r="DU68" s="60">
        <f t="shared" si="44"/>
        <v>214.36051699039683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153</v>
      </c>
      <c r="EH68" s="13">
        <f>VLOOKUP(A68,'Données projet'!$A$191:$I$211,9,0)</f>
        <v>2.6</v>
      </c>
      <c r="EI68" s="13">
        <f t="array" ref="EI68">INDEX(EH:EH,MIN(IF(ISNUMBER(EH68:EH264),ROW(EH68:EH264),"")))</f>
        <v>2.6</v>
      </c>
      <c r="EJ68" s="13">
        <f>IF('Données projet'!$A$192&gt;35,EJ67+EI68-ER67,IF(A68&lt;'Données projet'!$A$192,$EG$205^A68,IF(A68='Données projet'!$A$192,'Données projet'!$B$192,EJ67+EI68-ER67)))</f>
        <v>152.99999999999989</v>
      </c>
      <c r="EK68" s="18">
        <f>EJ68*VLOOKUP('Données projet'!$B$15,Paramètres!$A$1:$I$89,3,0)*VLOOKUP('Données projet'!$B$15,Paramètres!$A$1:$I$89,5,0)</f>
        <v>133.66079999999994</v>
      </c>
      <c r="EL68" s="14">
        <f t="shared" si="45"/>
        <v>34.840890682716719</v>
      </c>
      <c r="EM68" s="22">
        <f t="shared" ref="EM68:EM131" si="73">(EK68+EL68)*0.475*44/12</f>
        <v>293.47377793906486</v>
      </c>
      <c r="EN68" s="60">
        <f t="shared" ref="EN68:EN131" si="74">EM68+(EE68+EF68)*44/12</f>
        <v>586.80711127239817</v>
      </c>
      <c r="EO68" s="60">
        <f ca="1">AVERAGE(OFFSET($EN$3,0,0,'Données projet'!$E$15+1,1))-AVERAGE(OFFSET($H$3,0,0,'Données projet'!$E$15+1,1))</f>
        <v>202.46844517174412</v>
      </c>
      <c r="EP68" s="60">
        <f t="shared" si="46"/>
        <v>185.00219255324515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13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282.05128205128204</v>
      </c>
      <c r="FC68" s="13">
        <f>VLOOKUP(A68,'Données projet'!$A$217:$I$237,9,0)</f>
        <v>5.3846153846153868</v>
      </c>
      <c r="FD68" s="13">
        <f t="array" ref="FD68">INDEX(FC:FC,MIN(IF(ISNUMBER(FC68:FC264),ROW(FC68:FC264),"")))</f>
        <v>5.3846153846153868</v>
      </c>
      <c r="FE68" s="13">
        <f>IF('Données projet'!$A$218&gt;35,FE67+FD68-FM67,IF(A68&lt;'Données projet'!$A$218,$FB$205^A68,IF(A68='Données projet'!$A$218,'Données projet'!$B$218,FE67+FD68-FM67)))</f>
        <v>282.05128205128187</v>
      </c>
      <c r="FF68" s="18">
        <f>FE68*VLOOKUP('Données projet'!$B$16,Paramètres!$A$1:$I$89,3,0)*VLOOKUP('Données projet'!$B$16,Paramètres!$A$1:$I$89,5,0)</f>
        <v>189.19999999999987</v>
      </c>
      <c r="FG68" s="14">
        <f t="shared" si="47"/>
        <v>47.363040799609699</v>
      </c>
      <c r="FH68" s="22">
        <f t="shared" ref="FH68:FH131" si="76">(FF68+FG68)*0.475*44/12</f>
        <v>412.01396272598663</v>
      </c>
      <c r="FI68" s="60">
        <f t="shared" ref="FI68:FI131" si="77">FH68+(EZ68+FA68)*44/12</f>
        <v>705.34729605931989</v>
      </c>
      <c r="FJ68" s="60">
        <f ca="1">AVERAGE(OFFSET($FI$3,0,0,'Données projet'!$E$16+1,1))-AVERAGE(OFFSET($H$3,0,0,'Données projet'!$E$16+1,1))</f>
        <v>344.87493856469382</v>
      </c>
      <c r="FK68" s="60">
        <f t="shared" si="48"/>
        <v>261.91036689641402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31.410256410256409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>
        <f>FZ68*VLOOKUP('Données projet'!$B$17,Paramètres!$A$1:$I$89,3,0)*VLOOKUP('Données projet'!$B$17,Paramètres!$A$1:$I$89,5,0)</f>
        <v>0</v>
      </c>
      <c r="GB68" s="14" t="e">
        <f t="shared" si="49"/>
        <v>#NUM!</v>
      </c>
      <c r="GC68" s="22" t="e">
        <f t="shared" ref="GC68:GC131" si="79">(GA68+GB68)*0.475*44/12</f>
        <v>#NUM!</v>
      </c>
      <c r="GD68" s="60" t="e">
        <f t="shared" ref="GD68:GD131" si="80">GC68+(FU68+FV68)*44/12</f>
        <v>#NUM!</v>
      </c>
      <c r="GE68" s="60">
        <f ca="1">AVERAGE(OFFSET($GD$3,0,0,'Données projet'!$E$17+1,1))-AVERAGE(OFFSET($H$3,0,0,'Données projet'!$E$17+1,1))</f>
        <v>268.19959446602911</v>
      </c>
      <c r="GF68" s="60">
        <f t="shared" si="50"/>
        <v>691.2533336811855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71.87088589550001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71.87088589550001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8.6666666666666661</v>
      </c>
      <c r="GU68" s="13">
        <f>IF('Données projet'!$A$270&gt;35,GU67+GT68-HC67,IF(A68&lt;'Données projet'!$A$270,$GR$205^A68,IF(A68='Données projet'!$A$270,'Données projet'!$B$270,GU67+GT68-HC67)))</f>
        <v>293.33333333333337</v>
      </c>
      <c r="GV68" s="18">
        <f>GU68*VLOOKUP('Données projet'!$B$18,Paramètres!$A$1:$I$89,3,0)*VLOOKUP('Données projet'!$B$18,Paramètres!$A$1:$I$89,5,0)</f>
        <v>228.80000000000004</v>
      </c>
      <c r="GW68" s="14">
        <f t="shared" si="51"/>
        <v>56.023134533701196</v>
      </c>
      <c r="GX68" s="22">
        <f t="shared" ref="GX68:GX131" si="82">(GV68+GW68)*0.475*44/12</f>
        <v>496.06695931286299</v>
      </c>
      <c r="GY68" s="60">
        <f t="shared" ref="GY68:GY131" si="83">GX68+(GP68+GQ68)*44/12</f>
        <v>789.40029264619625</v>
      </c>
      <c r="GZ68" s="60">
        <f ca="1">AVERAGE(OFFSET($GY$3,0,0,'Données projet'!$E$18+1,1))-AVERAGE(OFFSET($H$3,0,0,'Données projet'!$E$18+1,1))</f>
        <v>292.57482726862594</v>
      </c>
      <c r="HA68" s="60">
        <f t="shared" si="52"/>
        <v>283.48738729114024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22.7</v>
      </c>
      <c r="N69" s="14">
        <f>IF('Données projet'!$A$36&gt;35,N68+M69-V68,IF(A69&lt;'Données projet'!$A$36,$K$205^A69,IF(A69='Données projet'!$A$36,'Données projet'!$B$36,N68+M69-V68)))</f>
        <v>540.1999999999997</v>
      </c>
      <c r="O69" s="14">
        <f>N69*VLOOKUP('Données projet'!$B$9,Paramètres!$A$1:$I$89,3,0)*VLOOKUP('Données projet'!$B$9,Paramètres!$A$1:$I$89,5,0)</f>
        <v>252.81359999999987</v>
      </c>
      <c r="P69" s="14">
        <f t="shared" ref="P69:P132" si="87">EXP(-1.0587+0.8836*LN(O69)+0.284)</f>
        <v>61.188037954168315</v>
      </c>
      <c r="Q69" s="22">
        <f t="shared" si="54"/>
        <v>546.88618610350966</v>
      </c>
      <c r="R69" s="60">
        <f t="shared" si="55"/>
        <v>840.21951943684303</v>
      </c>
      <c r="S69" s="60">
        <f ca="1">AVERAGE(OFFSET($R$3,0,0,'Données projet'!$E$9+1,1))-AVERAGE(OFFSET($H$3,0,0,'Données projet'!$E$9+1,1))</f>
        <v>399.92909819003523</v>
      </c>
      <c r="T69" s="60">
        <f t="shared" ref="T69:T132" si="88">$T$3</f>
        <v>163.7053537268381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8.9</v>
      </c>
      <c r="AI69" s="14">
        <f>IF('Données projet'!$A$62&gt;35,AI68+AH69-AQ68,IF(A69&lt;'Données projet'!$A$62,$AF$205^A69,IF(A69='Données projet'!$A$62,'Données projet'!$B$62,AI68+AH69-AQ68)))</f>
        <v>496.39999999999947</v>
      </c>
      <c r="AJ69" s="14">
        <f>AI69*VLOOKUP('Données projet'!$B$10,Paramètres!$A$1:$I$89,3,0)*VLOOKUP('Données projet'!$B$10,Paramètres!$A$1:$I$89,5,0)</f>
        <v>296.8471999999997</v>
      </c>
      <c r="AK69" s="14">
        <f t="shared" ref="AK69:AK132" si="89">EXP(-1.0587+0.8836*LN(AJ69)+0.284)</f>
        <v>70.515109641090689</v>
      </c>
      <c r="AL69" s="22">
        <f t="shared" si="58"/>
        <v>639.82268929156578</v>
      </c>
      <c r="AM69" s="60">
        <f t="shared" si="59"/>
        <v>933.15602262489915</v>
      </c>
      <c r="AN69" s="60">
        <f ca="1">AVERAGE(OFFSET($AM$3,0,0,'Données projet'!$E$10+1,1))-AVERAGE(OFFSET($H$3,0,0,'Données projet'!$E$10+1,1))</f>
        <v>455.43477166687273</v>
      </c>
      <c r="AO69" s="60">
        <f t="shared" ref="AO69:AO132" si="90">$AO$3</f>
        <v>312.81310692672895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projet'!$B$11,Paramètres!$A$1:$I$89,3,0)*VLOOKUP('Données projet'!$B$11,Paramètres!$A$1:$I$89,5,0)</f>
        <v>194.3510399999999</v>
      </c>
      <c r="BF69" s="14">
        <f t="shared" ref="BF69:BF132" si="91">EXP(-1.0587+0.8836*LN(BE69)+0.284)</f>
        <v>48.500634729810116</v>
      </c>
      <c r="BG69" s="22">
        <f t="shared" si="61"/>
        <v>422.96666682108577</v>
      </c>
      <c r="BH69" s="60">
        <f t="shared" si="62"/>
        <v>716.30000015441908</v>
      </c>
      <c r="BI69" s="60">
        <f ca="1">AVERAGE(OFFSET($BH$3,0,0,'Données projet'!$E$11+1,1))-AVERAGE(OFFSET($H$3,0,0,'Données projet'!$E$11+1,1))</f>
        <v>430.11660085503223</v>
      </c>
      <c r="BJ69" s="60">
        <f t="shared" ref="BJ69:BJ132" si="92">$BJ$3</f>
        <v>231.36959598460686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</v>
      </c>
      <c r="BZ69" s="14">
        <f>BY69*VLOOKUP('Données projet'!$B$12,Paramètres!$A$1:$I$89,3,0)*VLOOKUP('Données projet'!$B$12,Paramètres!$A$1:$I$89,5,0)</f>
        <v>217.80719999999994</v>
      </c>
      <c r="CA69" s="14">
        <f t="shared" ref="CA69:CA132" si="93">EXP(-1.0587+0.8836*LN(BZ69)+0.284)</f>
        <v>53.638013973813976</v>
      </c>
      <c r="CB69" s="22">
        <f t="shared" si="64"/>
        <v>472.76708100439259</v>
      </c>
      <c r="CC69" s="60">
        <f t="shared" si="65"/>
        <v>766.10041433772585</v>
      </c>
      <c r="CD69" s="60">
        <f ca="1">AVERAGE(OFFSET($CC$3,0,0,'Données projet'!$E$12+1,1))-AVERAGE(OFFSET($H$3,0,0,'Données projet'!$E$12+1,1))</f>
        <v>476.8965664931755</v>
      </c>
      <c r="CE69" s="60">
        <f t="shared" ref="CE69:CE132" si="94">$CE$3</f>
        <v>254.25036207346591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214.7999999999999</v>
      </c>
      <c r="CU69" s="18">
        <f>CT69*VLOOKUP('Données projet'!$B$13,Paramètres!$A$1:$I$89,3,0)*VLOOKUP('Données projet'!$B$13,Paramètres!$A$1:$I$89,5,0)</f>
        <v>207.75455999999991</v>
      </c>
      <c r="CV69" s="14">
        <f t="shared" ref="CV69:CV132" si="95">EXP(-1.0587+0.8836*LN(CU69)+0.284)</f>
        <v>51.444593984782131</v>
      </c>
      <c r="CW69" s="22">
        <f t="shared" si="67"/>
        <v>451.43852652349534</v>
      </c>
      <c r="CX69" s="60">
        <f t="shared" si="68"/>
        <v>744.77185985682866</v>
      </c>
      <c r="CY69" s="60">
        <f ca="1">AVERAGE(OFFSET($CX$3,0,0,'Données projet'!$E$13+1,1))-AVERAGE(OFFSET($H$3,0,0,'Données projet'!$E$13+1,1))</f>
        <v>456.86147223520601</v>
      </c>
      <c r="CZ69" s="60">
        <f t="shared" ref="CZ69:CZ132" si="96">$CZ$3</f>
        <v>244.45149244446094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3.7179487179487181</v>
      </c>
      <c r="DO69" s="13">
        <f>IF('Données projet'!$A$166&gt;35,DO68+DN69-DW68,IF(A69&lt;'Données projet'!$A$166,$DL$205^A69,IF(A69='Données projet'!$A$166,'Données projet'!$B$166,DO68+DN69-DW68)))</f>
        <v>160.1282051282052</v>
      </c>
      <c r="DP69" s="18">
        <f>DO69*VLOOKUP('Données projet'!$B$14,Paramètres!$A$1:$I$89,3,0)*VLOOKUP('Données projet'!$B$14,Paramètres!$A$1:$I$89,5,0)</f>
        <v>152.37800000000007</v>
      </c>
      <c r="DQ69" s="14">
        <f t="shared" ref="DQ69:DQ132" si="97">EXP(-1.0587+0.8836*LN(DP69)+0.284)</f>
        <v>39.118498955201538</v>
      </c>
      <c r="DR69" s="22">
        <f t="shared" si="70"/>
        <v>333.52306901364278</v>
      </c>
      <c r="DS69" s="60">
        <f t="shared" si="71"/>
        <v>626.8564023469761</v>
      </c>
      <c r="DT69" s="60">
        <f ca="1">AVERAGE(OFFSET($DS$3,0,0,'Données projet'!$E$14+1,1))-AVERAGE(OFFSET($H$3,0,0,'Données projet'!$E$14+1,1))</f>
        <v>300.36889324671682</v>
      </c>
      <c r="DU69" s="60">
        <f t="shared" ref="DU69:DU132" si="98">$DU$3</f>
        <v>214.36051699039683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2.2000000000000002</v>
      </c>
      <c r="EJ69" s="13">
        <f>IF('Données projet'!$A$192&gt;35,EJ68+EI69-ER68,IF(A69&lt;'Données projet'!$A$192,$EG$205^A69,IF(A69='Données projet'!$A$192,'Données projet'!$B$192,EJ68+EI69-ER68)))</f>
        <v>142.19999999999987</v>
      </c>
      <c r="EK69" s="18">
        <f>EJ69*VLOOKUP('Données projet'!$B$15,Paramètres!$A$1:$I$89,3,0)*VLOOKUP('Données projet'!$B$15,Paramètres!$A$1:$I$89,5,0)</f>
        <v>124.2259199999999</v>
      </c>
      <c r="EL69" s="14">
        <f t="shared" ref="EL69:EL132" si="99">EXP(-1.0587+0.8836*LN(EK69)+0.284)</f>
        <v>32.658631616019996</v>
      </c>
      <c r="EM69" s="22">
        <f t="shared" si="73"/>
        <v>273.24059406456797</v>
      </c>
      <c r="EN69" s="60">
        <f t="shared" si="74"/>
        <v>566.57392739790134</v>
      </c>
      <c r="EO69" s="60">
        <f ca="1">AVERAGE(OFFSET($EN$3,0,0,'Données projet'!$E$15+1,1))-AVERAGE(OFFSET($H$3,0,0,'Données projet'!$E$15+1,1))</f>
        <v>202.46844517174412</v>
      </c>
      <c r="EP69" s="60">
        <f t="shared" ref="EP69:EP132" si="100">$EP$3</f>
        <v>185.00219255324515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5.1282051282051269</v>
      </c>
      <c r="FE69" s="13">
        <f>IF('Données projet'!$A$218&gt;35,FE68+FD69-FM68,IF(A69&lt;'Données projet'!$A$218,$FB$205^A69,IF(A69='Données projet'!$A$218,'Données projet'!$B$218,FE68+FD69-FM68)))</f>
        <v>255.7692307692306</v>
      </c>
      <c r="FF69" s="18">
        <f>FE69*VLOOKUP('Données projet'!$B$16,Paramètres!$A$1:$I$89,3,0)*VLOOKUP('Données projet'!$B$16,Paramètres!$A$1:$I$89,5,0)</f>
        <v>171.56999999999988</v>
      </c>
      <c r="FG69" s="14">
        <f t="shared" ref="FG69:FG132" si="101">EXP(-1.0587+0.8836*LN(FF69)+0.284)</f>
        <v>43.441463006771166</v>
      </c>
      <c r="FH69" s="22">
        <f t="shared" si="76"/>
        <v>374.47829807012619</v>
      </c>
      <c r="FI69" s="60">
        <f t="shared" si="77"/>
        <v>667.8116314034595</v>
      </c>
      <c r="FJ69" s="60">
        <f ca="1">AVERAGE(OFFSET($FI$3,0,0,'Données projet'!$E$16+1,1))-AVERAGE(OFFSET($H$3,0,0,'Données projet'!$E$16+1,1))</f>
        <v>344.87493856469382</v>
      </c>
      <c r="FK69" s="60">
        <f t="shared" ref="FK69:FK132" si="102">$FK$3</f>
        <v>261.91036689641402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>
        <f>FZ69*VLOOKUP('Données projet'!$B$17,Paramètres!$A$1:$I$89,3,0)*VLOOKUP('Données projet'!$B$17,Paramètres!$A$1:$I$89,5,0)</f>
        <v>0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0" t="e">
        <f t="shared" si="80"/>
        <v>#NUM!</v>
      </c>
      <c r="GE69" s="60">
        <f ca="1">AVERAGE(OFFSET($GD$3,0,0,'Données projet'!$E$17+1,1))-AVERAGE(OFFSET($H$3,0,0,'Données projet'!$E$17+1,1))</f>
        <v>268.19959446602911</v>
      </c>
      <c r="GF69" s="60">
        <f t="shared" ref="GF69:GF132" si="104">$GF$3</f>
        <v>691.2533336811855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70.461541660001117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70.461541660001117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8.6666666666666661</v>
      </c>
      <c r="GU69" s="13">
        <f>IF('Données projet'!$A$270&gt;35,GU68+GT69-HC68,IF(A69&lt;'Données projet'!$A$270,$GR$205^A69,IF(A69='Données projet'!$A$270,'Données projet'!$B$270,GU68+GT69-HC68)))</f>
        <v>302.00000000000006</v>
      </c>
      <c r="GV69" s="18">
        <f>GU69*VLOOKUP('Données projet'!$B$18,Paramètres!$A$1:$I$89,3,0)*VLOOKUP('Données projet'!$B$18,Paramètres!$A$1:$I$89,5,0)</f>
        <v>235.56000000000006</v>
      </c>
      <c r="GW69" s="14">
        <f t="shared" ref="GW69:GW132" si="105">EXP(-1.0587+0.8836*LN(GV69)+0.284)</f>
        <v>57.483207143847771</v>
      </c>
      <c r="GX69" s="22">
        <f t="shared" si="82"/>
        <v>510.38358577553487</v>
      </c>
      <c r="GY69" s="60">
        <f t="shared" si="83"/>
        <v>803.71691910886818</v>
      </c>
      <c r="GZ69" s="60">
        <f ca="1">AVERAGE(OFFSET($GY$3,0,0,'Données projet'!$E$18+1,1))-AVERAGE(OFFSET($H$3,0,0,'Données projet'!$E$18+1,1))</f>
        <v>292.57482726862594</v>
      </c>
      <c r="HA69" s="60">
        <f t="shared" ref="HA69:HA132" si="106">$HA$3</f>
        <v>283.48738729114024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22.7</v>
      </c>
      <c r="N70" s="14">
        <f>IF('Données projet'!$A$36&gt;35,N69+M70-V69,IF(A70&lt;'Données projet'!$A$36,$K$205^A70,IF(A70='Données projet'!$A$36,'Données projet'!$B$36,N69+M70-V69)))</f>
        <v>562.89999999999975</v>
      </c>
      <c r="O70" s="14">
        <f>N70*VLOOKUP('Données projet'!$B$9,Paramètres!$A$1:$I$89,3,0)*VLOOKUP('Données projet'!$B$9,Paramètres!$A$1:$I$89,5,0)</f>
        <v>263.43719999999985</v>
      </c>
      <c r="P70" s="14">
        <f t="shared" si="87"/>
        <v>63.454489128933133</v>
      </c>
      <c r="Q70" s="22">
        <f t="shared" si="54"/>
        <v>569.33635856622493</v>
      </c>
      <c r="R70" s="60">
        <f t="shared" si="55"/>
        <v>862.6696918995583</v>
      </c>
      <c r="S70" s="60">
        <f ca="1">AVERAGE(OFFSET($R$3,0,0,'Données projet'!$E$9+1,1))-AVERAGE(OFFSET($H$3,0,0,'Données projet'!$E$9+1,1))</f>
        <v>399.92909819003523</v>
      </c>
      <c r="T70" s="60">
        <f t="shared" si="88"/>
        <v>163.7053537268381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8.9</v>
      </c>
      <c r="AI70" s="14">
        <f>IF('Données projet'!$A$62&gt;35,AI69+AH70-AQ69,IF(A70&lt;'Données projet'!$A$62,$AF$205^A70,IF(A70='Données projet'!$A$62,'Données projet'!$B$62,AI69+AH70-AQ69)))</f>
        <v>505.29999999999944</v>
      </c>
      <c r="AJ70" s="14">
        <f>AI70*VLOOKUP('Données projet'!$B$10,Paramètres!$A$1:$I$89,3,0)*VLOOKUP('Données projet'!$B$10,Paramètres!$A$1:$I$89,5,0)</f>
        <v>302.16939999999971</v>
      </c>
      <c r="AK70" s="14">
        <f t="shared" si="89"/>
        <v>71.631062151997952</v>
      </c>
      <c r="AL70" s="22">
        <f t="shared" si="58"/>
        <v>651.03580491472928</v>
      </c>
      <c r="AM70" s="60">
        <f t="shared" si="59"/>
        <v>944.36913824806265</v>
      </c>
      <c r="AN70" s="60">
        <f ca="1">AVERAGE(OFFSET($AM$3,0,0,'Données projet'!$E$10+1,1))-AVERAGE(OFFSET($H$3,0,0,'Données projet'!$E$10+1,1))</f>
        <v>455.43477166687273</v>
      </c>
      <c r="AO70" s="60">
        <f t="shared" si="90"/>
        <v>312.81310692672895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projet'!$B$11,Paramètres!$A$1:$I$89,3,0)*VLOOKUP('Données projet'!$B$11,Paramètres!$A$1:$I$89,5,0)</f>
        <v>200.50367999999992</v>
      </c>
      <c r="BF70" s="14">
        <f t="shared" si="91"/>
        <v>49.854845135229887</v>
      </c>
      <c r="BG70" s="22">
        <f t="shared" si="61"/>
        <v>436.04109794385857</v>
      </c>
      <c r="BH70" s="60">
        <f t="shared" si="62"/>
        <v>729.37443127719189</v>
      </c>
      <c r="BI70" s="60">
        <f ca="1">AVERAGE(OFFSET($BH$3,0,0,'Données projet'!$E$11+1,1))-AVERAGE(OFFSET($H$3,0,0,'Données projet'!$E$11+1,1))</f>
        <v>430.11660085503223</v>
      </c>
      <c r="BJ70" s="60">
        <f t="shared" si="92"/>
        <v>231.36959598460686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221.59999999999991</v>
      </c>
      <c r="BZ70" s="14">
        <f>BY70*VLOOKUP('Données projet'!$B$12,Paramètres!$A$1:$I$89,3,0)*VLOOKUP('Données projet'!$B$12,Paramètres!$A$1:$I$89,5,0)</f>
        <v>224.7023999999999</v>
      </c>
      <c r="CA70" s="14">
        <f t="shared" si="93"/>
        <v>55.135667706678262</v>
      </c>
      <c r="CB70" s="22">
        <f t="shared" si="64"/>
        <v>487.38463458913111</v>
      </c>
      <c r="CC70" s="60">
        <f t="shared" si="65"/>
        <v>780.71796792246437</v>
      </c>
      <c r="CD70" s="60">
        <f ca="1">AVERAGE(OFFSET($CC$3,0,0,'Données projet'!$E$12+1,1))-AVERAGE(OFFSET($H$3,0,0,'Données projet'!$E$12+1,1))</f>
        <v>476.8965664931755</v>
      </c>
      <c r="CE70" s="60">
        <f t="shared" si="94"/>
        <v>254.25036207346591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221.59999999999991</v>
      </c>
      <c r="CU70" s="18">
        <f>CT70*VLOOKUP('Données projet'!$B$13,Paramètres!$A$1:$I$89,3,0)*VLOOKUP('Données projet'!$B$13,Paramètres!$A$1:$I$89,5,0)</f>
        <v>214.3315199999999</v>
      </c>
      <c r="CV70" s="14">
        <f t="shared" si="95"/>
        <v>52.881004144461244</v>
      </c>
      <c r="CW70" s="22">
        <f t="shared" si="67"/>
        <v>465.39514621826976</v>
      </c>
      <c r="CX70" s="60">
        <f t="shared" si="68"/>
        <v>758.72847955160307</v>
      </c>
      <c r="CY70" s="60">
        <f ca="1">AVERAGE(OFFSET($CX$3,0,0,'Données projet'!$E$13+1,1))-AVERAGE(OFFSET($H$3,0,0,'Données projet'!$E$13+1,1))</f>
        <v>456.86147223520601</v>
      </c>
      <c r="CZ70" s="60">
        <f t="shared" si="96"/>
        <v>244.45149244446094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3.7179487179487181</v>
      </c>
      <c r="DO70" s="13">
        <f>IF('Données projet'!$A$166&gt;35,DO69+DN70-DW69,IF(A70&lt;'Données projet'!$A$166,$DL$205^A70,IF(A70='Données projet'!$A$166,'Données projet'!$B$166,DO69+DN70-DW69)))</f>
        <v>163.84615384615392</v>
      </c>
      <c r="DP70" s="18">
        <f>DO70*VLOOKUP('Données projet'!$B$14,Paramètres!$A$1:$I$89,3,0)*VLOOKUP('Données projet'!$B$14,Paramètres!$A$1:$I$89,5,0)</f>
        <v>155.91600000000008</v>
      </c>
      <c r="DQ70" s="14">
        <f t="shared" si="97"/>
        <v>39.919976199910032</v>
      </c>
      <c r="DR70" s="22">
        <f t="shared" si="70"/>
        <v>341.08099188151004</v>
      </c>
      <c r="DS70" s="60">
        <f t="shared" si="71"/>
        <v>634.4143252148433</v>
      </c>
      <c r="DT70" s="60">
        <f ca="1">AVERAGE(OFFSET($DS$3,0,0,'Données projet'!$E$14+1,1))-AVERAGE(OFFSET($H$3,0,0,'Données projet'!$E$14+1,1))</f>
        <v>300.36889324671682</v>
      </c>
      <c r="DU70" s="60">
        <f t="shared" si="98"/>
        <v>214.36051699039683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2.2000000000000002</v>
      </c>
      <c r="EJ70" s="13">
        <f>IF('Données projet'!$A$192&gt;35,EJ69+EI70-ER69,IF(A70&lt;'Données projet'!$A$192,$EG$205^A70,IF(A70='Données projet'!$A$192,'Données projet'!$B$192,EJ69+EI70-ER69)))</f>
        <v>144.39999999999986</v>
      </c>
      <c r="EK70" s="18">
        <f>EJ70*VLOOKUP('Données projet'!$B$15,Paramètres!$A$1:$I$89,3,0)*VLOOKUP('Données projet'!$B$15,Paramètres!$A$1:$I$89,5,0)</f>
        <v>126.1478399999999</v>
      </c>
      <c r="EL70" s="14">
        <f t="shared" si="99"/>
        <v>33.104685973525342</v>
      </c>
      <c r="EM70" s="22">
        <f t="shared" si="73"/>
        <v>277.36481607055646</v>
      </c>
      <c r="EN70" s="60">
        <f t="shared" si="74"/>
        <v>570.69814940388983</v>
      </c>
      <c r="EO70" s="60">
        <f ca="1">AVERAGE(OFFSET($EN$3,0,0,'Données projet'!$E$15+1,1))-AVERAGE(OFFSET($H$3,0,0,'Données projet'!$E$15+1,1))</f>
        <v>202.46844517174412</v>
      </c>
      <c r="EP70" s="60">
        <f t="shared" si="100"/>
        <v>185.00219255324515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5.1282051282051269</v>
      </c>
      <c r="FE70" s="13">
        <f>IF('Données projet'!$A$218&gt;35,FE69+FD70-FM69,IF(A70&lt;'Données projet'!$A$218,$FB$205^A70,IF(A70='Données projet'!$A$218,'Données projet'!$B$218,FE69+FD70-FM69)))</f>
        <v>260.89743589743574</v>
      </c>
      <c r="FF70" s="18">
        <f>FE70*VLOOKUP('Données projet'!$B$16,Paramètres!$A$1:$I$89,3,0)*VLOOKUP('Données projet'!$B$16,Paramètres!$A$1:$I$89,5,0)</f>
        <v>175.00999999999991</v>
      </c>
      <c r="FG70" s="14">
        <f t="shared" si="101"/>
        <v>44.210193140944149</v>
      </c>
      <c r="FH70" s="22">
        <f t="shared" si="76"/>
        <v>381.80850305381085</v>
      </c>
      <c r="FI70" s="60">
        <f t="shared" si="77"/>
        <v>675.14183638714417</v>
      </c>
      <c r="FJ70" s="60">
        <f ca="1">AVERAGE(OFFSET($FI$3,0,0,'Données projet'!$E$16+1,1))-AVERAGE(OFFSET($H$3,0,0,'Données projet'!$E$16+1,1))</f>
        <v>344.87493856469382</v>
      </c>
      <c r="FK70" s="60">
        <f t="shared" si="102"/>
        <v>261.91036689641402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>
        <f>FZ70*VLOOKUP('Données projet'!$B$17,Paramètres!$A$1:$I$89,3,0)*VLOOKUP('Données projet'!$B$17,Paramètres!$A$1:$I$89,5,0)</f>
        <v>0</v>
      </c>
      <c r="GB70" s="14" t="e">
        <f t="shared" si="103"/>
        <v>#NUM!</v>
      </c>
      <c r="GC70" s="22" t="e">
        <f t="shared" si="79"/>
        <v>#NUM!</v>
      </c>
      <c r="GD70" s="60" t="e">
        <f t="shared" si="80"/>
        <v>#NUM!</v>
      </c>
      <c r="GE70" s="60">
        <f ca="1">AVERAGE(OFFSET($GD$3,0,0,'Données projet'!$E$17+1,1))-AVERAGE(OFFSET($H$3,0,0,'Données projet'!$E$17+1,1))</f>
        <v>268.19959446602911</v>
      </c>
      <c r="GF70" s="60">
        <f t="shared" si="104"/>
        <v>691.2533336811855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69.079833805345245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69.079833805345245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8.6666666666666661</v>
      </c>
      <c r="GU70" s="13">
        <f>IF('Données projet'!$A$270&gt;35,GU69+GT70-HC69,IF(A70&lt;'Données projet'!$A$270,$GR$205^A70,IF(A70='Données projet'!$A$270,'Données projet'!$B$270,GU69+GT70-HC69)))</f>
        <v>310.66666666666674</v>
      </c>
      <c r="GV70" s="18">
        <f>GU70*VLOOKUP('Données projet'!$B$18,Paramètres!$A$1:$I$89,3,0)*VLOOKUP('Données projet'!$B$18,Paramètres!$A$1:$I$89,5,0)</f>
        <v>242.32000000000008</v>
      </c>
      <c r="GW70" s="14">
        <f t="shared" si="105"/>
        <v>58.938409961900909</v>
      </c>
      <c r="GX70" s="22">
        <f t="shared" si="82"/>
        <v>524.69173068364421</v>
      </c>
      <c r="GY70" s="60">
        <f t="shared" si="83"/>
        <v>818.02506401697747</v>
      </c>
      <c r="GZ70" s="60">
        <f ca="1">AVERAGE(OFFSET($GY$3,0,0,'Données projet'!$E$18+1,1))-AVERAGE(OFFSET($H$3,0,0,'Données projet'!$E$18+1,1))</f>
        <v>292.57482726862594</v>
      </c>
      <c r="HA70" s="60">
        <f t="shared" si="106"/>
        <v>283.48738729114024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22.7</v>
      </c>
      <c r="N71" s="14">
        <f>IF('Données projet'!$A$36&gt;35,N70+M71-V70,IF(A71&lt;'Données projet'!$A$36,$K$205^A71,IF(A71='Données projet'!$A$36,'Données projet'!$B$36,N70+M71-V70)))</f>
        <v>585.5999999999998</v>
      </c>
      <c r="O71" s="14">
        <f>N71*VLOOKUP('Données projet'!$B$9,Paramètres!$A$1:$I$89,3,0)*VLOOKUP('Données projet'!$B$9,Paramètres!$A$1:$I$89,5,0)</f>
        <v>274.06079999999992</v>
      </c>
      <c r="P71" s="14">
        <f t="shared" si="87"/>
        <v>65.710323362952934</v>
      </c>
      <c r="Q71" s="22">
        <f t="shared" si="54"/>
        <v>591.76803985714275</v>
      </c>
      <c r="R71" s="60">
        <f t="shared" si="55"/>
        <v>885.10137319047612</v>
      </c>
      <c r="S71" s="60">
        <f ca="1">AVERAGE(OFFSET($R$3,0,0,'Données projet'!$E$9+1,1))-AVERAGE(OFFSET($H$3,0,0,'Données projet'!$E$9+1,1))</f>
        <v>399.92909819003523</v>
      </c>
      <c r="T71" s="60">
        <f t="shared" si="88"/>
        <v>163.7053537268381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8.9</v>
      </c>
      <c r="AI71" s="14">
        <f>IF('Données projet'!$A$62&gt;35,AI70+AH71-AQ70,IF(A71&lt;'Données projet'!$A$62,$AF$205^A71,IF(A71='Données projet'!$A$62,'Données projet'!$B$62,AI70+AH71-AQ70)))</f>
        <v>514.19999999999948</v>
      </c>
      <c r="AJ71" s="14">
        <f>AI71*VLOOKUP('Données projet'!$B$10,Paramètres!$A$1:$I$89,3,0)*VLOOKUP('Données projet'!$B$10,Paramètres!$A$1:$I$89,5,0)</f>
        <v>307.49159999999972</v>
      </c>
      <c r="AK71" s="14">
        <f t="shared" si="89"/>
        <v>72.744728969233748</v>
      </c>
      <c r="AL71" s="22">
        <f t="shared" si="58"/>
        <v>662.24493962141491</v>
      </c>
      <c r="AM71" s="60">
        <f t="shared" si="59"/>
        <v>955.57827295474817</v>
      </c>
      <c r="AN71" s="60">
        <f ca="1">AVERAGE(OFFSET($AM$3,0,0,'Données projet'!$E$10+1,1))-AVERAGE(OFFSET($H$3,0,0,'Données projet'!$E$10+1,1))</f>
        <v>455.43477166687273</v>
      </c>
      <c r="AO71" s="60">
        <f t="shared" si="90"/>
        <v>312.81310692672895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projet'!$B$11,Paramètres!$A$1:$I$89,3,0)*VLOOKUP('Données projet'!$B$11,Paramètres!$A$1:$I$89,5,0)</f>
        <v>206.65631999999994</v>
      </c>
      <c r="BF71" s="14">
        <f t="shared" si="91"/>
        <v>51.20422634371338</v>
      </c>
      <c r="BG71" s="22">
        <f t="shared" si="61"/>
        <v>449.10711821530072</v>
      </c>
      <c r="BH71" s="60">
        <f t="shared" si="62"/>
        <v>742.44045154863397</v>
      </c>
      <c r="BI71" s="60">
        <f ca="1">AVERAGE(OFFSET($BH$3,0,0,'Données projet'!$E$11+1,1))-AVERAGE(OFFSET($H$3,0,0,'Données projet'!$E$11+1,1))</f>
        <v>430.11660085503223</v>
      </c>
      <c r="BJ71" s="60">
        <f t="shared" si="92"/>
        <v>231.36959598460686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228.39999999999992</v>
      </c>
      <c r="BZ71" s="14">
        <f>BY71*VLOOKUP('Données projet'!$B$12,Paramètres!$A$1:$I$89,3,0)*VLOOKUP('Données projet'!$B$12,Paramètres!$A$1:$I$89,5,0)</f>
        <v>231.59759999999994</v>
      </c>
      <c r="CA71" s="14">
        <f t="shared" si="93"/>
        <v>56.627980714948151</v>
      </c>
      <c r="CB71" s="22">
        <f t="shared" si="64"/>
        <v>501.99288641186786</v>
      </c>
      <c r="CC71" s="60">
        <f t="shared" si="65"/>
        <v>795.32621974520112</v>
      </c>
      <c r="CD71" s="60">
        <f ca="1">AVERAGE(OFFSET($CC$3,0,0,'Données projet'!$E$12+1,1))-AVERAGE(OFFSET($H$3,0,0,'Données projet'!$E$12+1,1))</f>
        <v>476.8965664931755</v>
      </c>
      <c r="CE71" s="60">
        <f t="shared" si="94"/>
        <v>254.25036207346591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228.39999999999992</v>
      </c>
      <c r="CU71" s="18">
        <f>CT71*VLOOKUP('Données projet'!$B$13,Paramètres!$A$1:$I$89,3,0)*VLOOKUP('Données projet'!$B$13,Paramètres!$A$1:$I$89,5,0)</f>
        <v>220.90847999999991</v>
      </c>
      <c r="CV71" s="14">
        <f t="shared" si="95"/>
        <v>54.312291977864817</v>
      </c>
      <c r="CW71" s="22">
        <f t="shared" si="67"/>
        <v>479.34284452811431</v>
      </c>
      <c r="CX71" s="60">
        <f t="shared" si="68"/>
        <v>772.67617786144763</v>
      </c>
      <c r="CY71" s="60">
        <f ca="1">AVERAGE(OFFSET($CX$3,0,0,'Données projet'!$E$13+1,1))-AVERAGE(OFFSET($H$3,0,0,'Données projet'!$E$13+1,1))</f>
        <v>456.86147223520601</v>
      </c>
      <c r="CZ71" s="60">
        <f t="shared" si="96"/>
        <v>244.45149244446094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3.7179487179487181</v>
      </c>
      <c r="DO71" s="13">
        <f>IF('Données projet'!$A$166&gt;35,DO70+DN71-DW70,IF(A71&lt;'Données projet'!$A$166,$DL$205^A71,IF(A71='Données projet'!$A$166,'Données projet'!$B$166,DO70+DN71-DW70)))</f>
        <v>167.56410256410265</v>
      </c>
      <c r="DP71" s="18">
        <f>DO71*VLOOKUP('Données projet'!$B$14,Paramètres!$A$1:$I$89,3,0)*VLOOKUP('Données projet'!$B$14,Paramètres!$A$1:$I$89,5,0)</f>
        <v>159.45400000000009</v>
      </c>
      <c r="DQ71" s="14">
        <f t="shared" si="97"/>
        <v>40.719339092635224</v>
      </c>
      <c r="DR71" s="22">
        <f t="shared" si="70"/>
        <v>348.63523225300651</v>
      </c>
      <c r="DS71" s="60">
        <f t="shared" si="71"/>
        <v>641.96856558633976</v>
      </c>
      <c r="DT71" s="60">
        <f ca="1">AVERAGE(OFFSET($DS$3,0,0,'Données projet'!$E$14+1,1))-AVERAGE(OFFSET($H$3,0,0,'Données projet'!$E$14+1,1))</f>
        <v>300.36889324671682</v>
      </c>
      <c r="DU71" s="60">
        <f t="shared" si="98"/>
        <v>214.36051699039683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2.2000000000000002</v>
      </c>
      <c r="EJ71" s="13">
        <f>IF('Données projet'!$A$192&gt;35,EJ70+EI71-ER70,IF(A71&lt;'Données projet'!$A$192,$EG$205^A71,IF(A71='Données projet'!$A$192,'Données projet'!$B$192,EJ70+EI71-ER70)))</f>
        <v>146.59999999999985</v>
      </c>
      <c r="EK71" s="18">
        <f>EJ71*VLOOKUP('Données projet'!$B$15,Paramètres!$A$1:$I$89,3,0)*VLOOKUP('Données projet'!$B$15,Paramètres!$A$1:$I$89,5,0)</f>
        <v>128.06975999999989</v>
      </c>
      <c r="EL71" s="14">
        <f t="shared" si="99"/>
        <v>33.549949963691333</v>
      </c>
      <c r="EM71" s="22">
        <f t="shared" si="73"/>
        <v>281.48766152009551</v>
      </c>
      <c r="EN71" s="60">
        <f t="shared" si="74"/>
        <v>574.82099485342883</v>
      </c>
      <c r="EO71" s="60">
        <f ca="1">AVERAGE(OFFSET($EN$3,0,0,'Données projet'!$E$15+1,1))-AVERAGE(OFFSET($H$3,0,0,'Données projet'!$E$15+1,1))</f>
        <v>202.46844517174412</v>
      </c>
      <c r="EP71" s="60">
        <f t="shared" si="100"/>
        <v>185.00219255324515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5.1282051282051269</v>
      </c>
      <c r="FE71" s="13">
        <f>IF('Données projet'!$A$218&gt;35,FE70+FD71-FM70,IF(A71&lt;'Données projet'!$A$218,$FB$205^A71,IF(A71='Données projet'!$A$218,'Données projet'!$B$218,FE70+FD71-FM70)))</f>
        <v>266.02564102564088</v>
      </c>
      <c r="FF71" s="18">
        <f>FE71*VLOOKUP('Données projet'!$B$16,Paramètres!$A$1:$I$89,3,0)*VLOOKUP('Données projet'!$B$16,Paramètres!$A$1:$I$89,5,0)</f>
        <v>178.4499999999999</v>
      </c>
      <c r="FG71" s="14">
        <f t="shared" si="101"/>
        <v>44.9771663417241</v>
      </c>
      <c r="FH71" s="22">
        <f t="shared" si="76"/>
        <v>389.13564804516926</v>
      </c>
      <c r="FI71" s="60">
        <f t="shared" si="77"/>
        <v>682.46898137850258</v>
      </c>
      <c r="FJ71" s="60">
        <f ca="1">AVERAGE(OFFSET($FI$3,0,0,'Données projet'!$E$16+1,1))-AVERAGE(OFFSET($H$3,0,0,'Données projet'!$E$16+1,1))</f>
        <v>344.87493856469382</v>
      </c>
      <c r="FK71" s="60">
        <f t="shared" si="102"/>
        <v>261.91036689641402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>
        <f>FZ71*VLOOKUP('Données projet'!$B$17,Paramètres!$A$1:$I$89,3,0)*VLOOKUP('Données projet'!$B$17,Paramètres!$A$1:$I$89,5,0)</f>
        <v>0</v>
      </c>
      <c r="GB71" s="14" t="e">
        <f t="shared" si="103"/>
        <v>#NUM!</v>
      </c>
      <c r="GC71" s="22" t="e">
        <f t="shared" si="79"/>
        <v>#NUM!</v>
      </c>
      <c r="GD71" s="60" t="e">
        <f t="shared" si="80"/>
        <v>#NUM!</v>
      </c>
      <c r="GE71" s="60">
        <f ca="1">AVERAGE(OFFSET($GD$3,0,0,'Données projet'!$E$17+1,1))-AVERAGE(OFFSET($H$3,0,0,'Données projet'!$E$17+1,1))</f>
        <v>268.19959446602911</v>
      </c>
      <c r="GF71" s="60">
        <f t="shared" si="104"/>
        <v>691.2533336811855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67.725220398960602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67.725220398960602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8.6666666666666661</v>
      </c>
      <c r="GU71" s="13">
        <f>IF('Données projet'!$A$270&gt;35,GU70+GT71-HC70,IF(A71&lt;'Données projet'!$A$270,$GR$205^A71,IF(A71='Données projet'!$A$270,'Données projet'!$B$270,GU70+GT71-HC70)))</f>
        <v>319.33333333333343</v>
      </c>
      <c r="GV71" s="18">
        <f>GU71*VLOOKUP('Données projet'!$B$18,Paramètres!$A$1:$I$89,3,0)*VLOOKUP('Données projet'!$B$18,Paramètres!$A$1:$I$89,5,0)</f>
        <v>249.08000000000007</v>
      </c>
      <c r="GW71" s="14">
        <f t="shared" si="105"/>
        <v>60.388894447487807</v>
      </c>
      <c r="GX71" s="22">
        <f t="shared" si="82"/>
        <v>538.99165782937473</v>
      </c>
      <c r="GY71" s="60">
        <f t="shared" si="83"/>
        <v>832.3249911627081</v>
      </c>
      <c r="GZ71" s="60">
        <f ca="1">AVERAGE(OFFSET($GY$3,0,0,'Données projet'!$E$18+1,1))-AVERAGE(OFFSET($H$3,0,0,'Données projet'!$E$18+1,1))</f>
        <v>292.57482726862594</v>
      </c>
      <c r="HA71" s="60">
        <f t="shared" si="106"/>
        <v>283.48738729114024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22.7</v>
      </c>
      <c r="N72" s="14">
        <f>IF('Données projet'!$A$36&gt;35,N71+M72-V71,IF(A72&lt;'Données projet'!$A$36,$K$205^A72,IF(A72='Données projet'!$A$36,'Données projet'!$B$36,N71+M72-V71)))</f>
        <v>608.29999999999984</v>
      </c>
      <c r="O72" s="14">
        <f>N72*VLOOKUP('Données projet'!$B$9,Paramètres!$A$1:$I$89,3,0)*VLOOKUP('Données projet'!$B$9,Paramètres!$A$1:$I$89,5,0)</f>
        <v>284.68439999999993</v>
      </c>
      <c r="P72" s="14">
        <f t="shared" si="87"/>
        <v>67.955999311251276</v>
      </c>
      <c r="Q72" s="22">
        <f t="shared" si="54"/>
        <v>614.18202880042918</v>
      </c>
      <c r="R72" s="60">
        <f t="shared" si="55"/>
        <v>907.51536213376244</v>
      </c>
      <c r="S72" s="60">
        <f ca="1">AVERAGE(OFFSET($R$3,0,0,'Données projet'!$E$9+1,1))-AVERAGE(OFFSET($H$3,0,0,'Données projet'!$E$9+1,1))</f>
        <v>399.92909819003523</v>
      </c>
      <c r="T72" s="60">
        <f t="shared" si="88"/>
        <v>163.7053537268381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8.9</v>
      </c>
      <c r="AI72" s="14">
        <f>IF('Données projet'!$A$62&gt;35,AI71+AH72-AQ71,IF(A72&lt;'Données projet'!$A$62,$AF$205^A72,IF(A72='Données projet'!$A$62,'Données projet'!$B$62,AI71+AH72-AQ71)))</f>
        <v>523.09999999999945</v>
      </c>
      <c r="AJ72" s="14">
        <f>AI72*VLOOKUP('Données projet'!$B$10,Paramètres!$A$1:$I$89,3,0)*VLOOKUP('Données projet'!$B$10,Paramètres!$A$1:$I$89,5,0)</f>
        <v>312.81379999999967</v>
      </c>
      <c r="AK72" s="14">
        <f t="shared" si="89"/>
        <v>73.856154219562512</v>
      </c>
      <c r="AL72" s="22">
        <f t="shared" si="58"/>
        <v>673.45017026573748</v>
      </c>
      <c r="AM72" s="60">
        <f t="shared" si="59"/>
        <v>966.78350359907085</v>
      </c>
      <c r="AN72" s="60">
        <f ca="1">AVERAGE(OFFSET($AM$3,0,0,'Données projet'!$E$10+1,1))-AVERAGE(OFFSET($H$3,0,0,'Données projet'!$E$10+1,1))</f>
        <v>455.43477166687273</v>
      </c>
      <c r="AO72" s="60">
        <f t="shared" si="90"/>
        <v>312.81310692672895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projet'!$B$11,Paramètres!$A$1:$I$89,3,0)*VLOOKUP('Données projet'!$B$11,Paramètres!$A$1:$I$89,5,0)</f>
        <v>212.8089599999999</v>
      </c>
      <c r="BF72" s="14">
        <f t="shared" si="91"/>
        <v>52.548938637485847</v>
      </c>
      <c r="BG72" s="22">
        <f t="shared" si="61"/>
        <v>462.16500679362093</v>
      </c>
      <c r="BH72" s="60">
        <f t="shared" si="62"/>
        <v>755.49834012695419</v>
      </c>
      <c r="BI72" s="60">
        <f ca="1">AVERAGE(OFFSET($BH$3,0,0,'Données projet'!$E$11+1,1))-AVERAGE(OFFSET($H$3,0,0,'Données projet'!$E$11+1,1))</f>
        <v>430.11660085503223</v>
      </c>
      <c r="BJ72" s="60">
        <f t="shared" si="92"/>
        <v>231.36959598460686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235.19999999999993</v>
      </c>
      <c r="BZ72" s="14">
        <f>BY72*VLOOKUP('Données projet'!$B$12,Paramètres!$A$1:$I$89,3,0)*VLOOKUP('Données projet'!$B$12,Paramètres!$A$1:$I$89,5,0)</f>
        <v>238.49279999999996</v>
      </c>
      <c r="CA72" s="14">
        <f t="shared" si="93"/>
        <v>58.115130258576542</v>
      </c>
      <c r="CB72" s="22">
        <f t="shared" si="64"/>
        <v>516.59214520035414</v>
      </c>
      <c r="CC72" s="60">
        <f t="shared" si="65"/>
        <v>809.92547853368751</v>
      </c>
      <c r="CD72" s="60">
        <f ca="1">AVERAGE(OFFSET($CC$3,0,0,'Données projet'!$E$12+1,1))-AVERAGE(OFFSET($H$3,0,0,'Données projet'!$E$12+1,1))</f>
        <v>476.8965664931755</v>
      </c>
      <c r="CE72" s="60">
        <f t="shared" si="94"/>
        <v>254.25036207346591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235.19999999999993</v>
      </c>
      <c r="CU72" s="18">
        <f>CT72*VLOOKUP('Données projet'!$B$13,Paramètres!$A$1:$I$89,3,0)*VLOOKUP('Données projet'!$B$13,Paramètres!$A$1:$I$89,5,0)</f>
        <v>227.48543999999993</v>
      </c>
      <c r="CV72" s="14">
        <f t="shared" si="95"/>
        <v>55.738627496252377</v>
      </c>
      <c r="CW72" s="22">
        <f t="shared" si="67"/>
        <v>493.28191755597277</v>
      </c>
      <c r="CX72" s="60">
        <f t="shared" si="68"/>
        <v>786.61525088930603</v>
      </c>
      <c r="CY72" s="60">
        <f ca="1">AVERAGE(OFFSET($CX$3,0,0,'Données projet'!$E$13+1,1))-AVERAGE(OFFSET($H$3,0,0,'Données projet'!$E$13+1,1))</f>
        <v>456.86147223520601</v>
      </c>
      <c r="CZ72" s="60">
        <f t="shared" si="96"/>
        <v>244.45149244446094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3.7179487179487181</v>
      </c>
      <c r="DO72" s="13">
        <f>IF('Données projet'!$A$166&gt;35,DO71+DN72-DW71,IF(A72&lt;'Données projet'!$A$166,$DL$205^A72,IF(A72='Données projet'!$A$166,'Données projet'!$B$166,DO71+DN72-DW71)))</f>
        <v>171.28205128205138</v>
      </c>
      <c r="DP72" s="18">
        <f>DO72*VLOOKUP('Données projet'!$B$14,Paramètres!$A$1:$I$89,3,0)*VLOOKUP('Données projet'!$B$14,Paramètres!$A$1:$I$89,5,0)</f>
        <v>162.9920000000001</v>
      </c>
      <c r="DQ72" s="14">
        <f t="shared" si="97"/>
        <v>41.516639948929928</v>
      </c>
      <c r="DR72" s="22">
        <f t="shared" si="70"/>
        <v>356.18588124438639</v>
      </c>
      <c r="DS72" s="60">
        <f t="shared" si="71"/>
        <v>649.51921457771971</v>
      </c>
      <c r="DT72" s="60">
        <f ca="1">AVERAGE(OFFSET($DS$3,0,0,'Données projet'!$E$14+1,1))-AVERAGE(OFFSET($H$3,0,0,'Données projet'!$E$14+1,1))</f>
        <v>300.36889324671682</v>
      </c>
      <c r="DU72" s="60">
        <f t="shared" si="98"/>
        <v>214.36051699039683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2.2000000000000002</v>
      </c>
      <c r="EJ72" s="13">
        <f>IF('Données projet'!$A$192&gt;35,EJ71+EI72-ER71,IF(A72&lt;'Données projet'!$A$192,$EG$205^A72,IF(A72='Données projet'!$A$192,'Données projet'!$B$192,EJ71+EI72-ER71)))</f>
        <v>148.79999999999984</v>
      </c>
      <c r="EK72" s="18">
        <f>EJ72*VLOOKUP('Données projet'!$B$15,Paramètres!$A$1:$I$89,3,0)*VLOOKUP('Données projet'!$B$15,Paramètres!$A$1:$I$89,5,0)</f>
        <v>129.99167999999989</v>
      </c>
      <c r="EL72" s="14">
        <f t="shared" si="99"/>
        <v>33.994436817469825</v>
      </c>
      <c r="EM72" s="22">
        <f t="shared" si="73"/>
        <v>285.60915345709304</v>
      </c>
      <c r="EN72" s="60">
        <f t="shared" si="74"/>
        <v>578.9424867904263</v>
      </c>
      <c r="EO72" s="60">
        <f ca="1">AVERAGE(OFFSET($EN$3,0,0,'Données projet'!$E$15+1,1))-AVERAGE(OFFSET($H$3,0,0,'Données projet'!$E$15+1,1))</f>
        <v>202.46844517174412</v>
      </c>
      <c r="EP72" s="60">
        <f t="shared" si="100"/>
        <v>185.00219255324515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5.1282051282051269</v>
      </c>
      <c r="FE72" s="13">
        <f>IF('Données projet'!$A$218&gt;35,FE71+FD72-FM71,IF(A72&lt;'Données projet'!$A$218,$FB$205^A72,IF(A72='Données projet'!$A$218,'Données projet'!$B$218,FE71+FD72-FM71)))</f>
        <v>271.15384615384602</v>
      </c>
      <c r="FF72" s="18">
        <f>FE72*VLOOKUP('Données projet'!$B$16,Paramètres!$A$1:$I$89,3,0)*VLOOKUP('Données projet'!$B$16,Paramètres!$A$1:$I$89,5,0)</f>
        <v>181.8899999999999</v>
      </c>
      <c r="FG72" s="14">
        <f t="shared" si="101"/>
        <v>45.742420382341599</v>
      </c>
      <c r="FH72" s="22">
        <f t="shared" si="76"/>
        <v>396.45979883257809</v>
      </c>
      <c r="FI72" s="60">
        <f t="shared" si="77"/>
        <v>689.7931321659114</v>
      </c>
      <c r="FJ72" s="60">
        <f ca="1">AVERAGE(OFFSET($FI$3,0,0,'Données projet'!$E$16+1,1))-AVERAGE(OFFSET($H$3,0,0,'Données projet'!$E$16+1,1))</f>
        <v>344.87493856469382</v>
      </c>
      <c r="FK72" s="60">
        <f t="shared" si="102"/>
        <v>261.91036689641402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>
        <f>FZ72*VLOOKUP('Données projet'!$B$17,Paramètres!$A$1:$I$89,3,0)*VLOOKUP('Données projet'!$B$17,Paramètres!$A$1:$I$89,5,0)</f>
        <v>0</v>
      </c>
      <c r="GB72" s="14" t="e">
        <f t="shared" si="103"/>
        <v>#NUM!</v>
      </c>
      <c r="GC72" s="22" t="e">
        <f t="shared" si="79"/>
        <v>#NUM!</v>
      </c>
      <c r="GD72" s="60" t="e">
        <f t="shared" si="80"/>
        <v>#NUM!</v>
      </c>
      <c r="GE72" s="60">
        <f ca="1">AVERAGE(OFFSET($GD$3,0,0,'Données projet'!$E$17+1,1))-AVERAGE(OFFSET($H$3,0,0,'Données projet'!$E$17+1,1))</f>
        <v>268.19959446602911</v>
      </c>
      <c r="GF72" s="60">
        <f t="shared" si="104"/>
        <v>691.2533336811855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66.397170135242575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66.397170135242575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>
        <f>VLOOKUP(A72,'Données projet'!$A$269:$I$289,2,0)</f>
        <v>328</v>
      </c>
      <c r="GS72" s="13">
        <f>VLOOKUP(A72,'Données projet'!$A$269:$I$289,9,0)</f>
        <v>8.6666666666666661</v>
      </c>
      <c r="GT72" s="13">
        <f t="array" ref="GT72">INDEX(GS:GS,MIN(IF(ISNUMBER(GS72:GS268),ROW(GS72:GS268),"")))</f>
        <v>8.6666666666666661</v>
      </c>
      <c r="GU72" s="13">
        <f>IF('Données projet'!$A$270&gt;35,GU71+GT72-HC71,IF(A72&lt;'Données projet'!$A$270,$GR$205^A72,IF(A72='Données projet'!$A$270,'Données projet'!$B$270,GU71+GT72-HC71)))</f>
        <v>328.00000000000011</v>
      </c>
      <c r="GV72" s="18">
        <f>GU72*VLOOKUP('Données projet'!$B$18,Paramètres!$A$1:$I$89,3,0)*VLOOKUP('Données projet'!$B$18,Paramètres!$A$1:$I$89,5,0)</f>
        <v>255.84000000000009</v>
      </c>
      <c r="GW72" s="14">
        <f t="shared" si="105"/>
        <v>61.834803371075836</v>
      </c>
      <c r="GX72" s="22">
        <f t="shared" si="82"/>
        <v>553.28361587129064</v>
      </c>
      <c r="GY72" s="60">
        <f t="shared" si="83"/>
        <v>846.61694920462401</v>
      </c>
      <c r="GZ72" s="60">
        <f ca="1">AVERAGE(OFFSET($GY$3,0,0,'Données projet'!$E$18+1,1))-AVERAGE(OFFSET($H$3,0,0,'Données projet'!$E$18+1,1))</f>
        <v>292.57482726862594</v>
      </c>
      <c r="HA72" s="60">
        <f t="shared" si="106"/>
        <v>283.48738729114024</v>
      </c>
      <c r="HB72" s="16">
        <f>IF(ISNA(VLOOKUP(A72,'Données projet'!$A$269:$I$289,3,0)),0,VLOOKUP(A72,'Données projet'!$A$269:$I$289,3,0))</f>
        <v>7</v>
      </c>
      <c r="HC72" s="16">
        <f>IF(ISNA(VLOOKUP(A72,'Données projet'!$A$269:$I$289,4,0)),0,VLOOKUP(A72,'Données projet'!$A$269:$I$289,4,0))</f>
        <v>328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631</v>
      </c>
      <c r="L73" s="13">
        <f>VLOOKUP(A73,'Données projet'!$A$35:$I$55,9,0)</f>
        <v>22.7</v>
      </c>
      <c r="M73" s="13">
        <f t="array" ref="M73">INDEX(L:L,MIN(IF(ISNUMBER(L73:L269),ROW(L73:L269),"")))</f>
        <v>22.7</v>
      </c>
      <c r="N73" s="14">
        <f>IF('Données projet'!$A$36&gt;35,N72+M73-V72,IF(A73&lt;'Données projet'!$A$36,$K$205^A73,IF(A73='Données projet'!$A$36,'Données projet'!$B$36,N72+M73-V72)))</f>
        <v>630.99999999999989</v>
      </c>
      <c r="O73" s="14">
        <f>N73*VLOOKUP('Données projet'!$B$9,Paramètres!$A$1:$I$89,3,0)*VLOOKUP('Données projet'!$B$9,Paramètres!$A$1:$I$89,5,0)</f>
        <v>295.30799999999994</v>
      </c>
      <c r="P73" s="14">
        <f t="shared" si="87"/>
        <v>70.191939458146834</v>
      </c>
      <c r="Q73" s="22">
        <f t="shared" si="54"/>
        <v>636.57906122293889</v>
      </c>
      <c r="R73" s="60">
        <f t="shared" si="55"/>
        <v>929.91239455627215</v>
      </c>
      <c r="S73" s="60">
        <f ca="1">AVERAGE(OFFSET($R$3,0,0,'Données projet'!$E$9+1,1))-AVERAGE(OFFSET($H$3,0,0,'Données projet'!$E$9+1,1))</f>
        <v>399.92909819003523</v>
      </c>
      <c r="T73" s="60">
        <f t="shared" si="88"/>
        <v>163.7053537268381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109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532</v>
      </c>
      <c r="AG73" s="13">
        <f>VLOOKUP(A73,'Données projet'!$A$61:$I$81,9,0)</f>
        <v>8.9</v>
      </c>
      <c r="AH73" s="13">
        <f t="array" ref="AH73">INDEX(AG:AG,MIN(IF(ISNUMBER(AG73:AG269),ROW(AG73:AG269),"")))</f>
        <v>8.9</v>
      </c>
      <c r="AI73" s="14">
        <f>IF('Données projet'!$A$62&gt;35,AI72+AH73-AQ72,IF(A73&lt;'Données projet'!$A$62,$AF$205^A73,IF(A73='Données projet'!$A$62,'Données projet'!$B$62,AI72+AH73-AQ72)))</f>
        <v>531.99999999999943</v>
      </c>
      <c r="AJ73" s="14">
        <f>AI73*VLOOKUP('Données projet'!$B$10,Paramètres!$A$1:$I$89,3,0)*VLOOKUP('Données projet'!$B$10,Paramètres!$A$1:$I$89,5,0)</f>
        <v>318.13599999999968</v>
      </c>
      <c r="AK73" s="14">
        <f t="shared" si="89"/>
        <v>74.965380442161106</v>
      </c>
      <c r="AL73" s="22">
        <f t="shared" si="58"/>
        <v>684.65157093676328</v>
      </c>
      <c r="AM73" s="60">
        <f t="shared" si="59"/>
        <v>977.98490427009665</v>
      </c>
      <c r="AN73" s="60">
        <f ca="1">AVERAGE(OFFSET($AM$3,0,0,'Données projet'!$E$10+1,1))-AVERAGE(OFFSET($H$3,0,0,'Données projet'!$E$10+1,1))</f>
        <v>455.43477166687273</v>
      </c>
      <c r="AO73" s="60">
        <f t="shared" si="90"/>
        <v>312.81310692672895</v>
      </c>
      <c r="AP73" s="16">
        <f>IF(ISNA(VLOOKUP(A73,'Données projet'!$A$61:$I$81,3,0)),0,VLOOKUP(A73,'Données projet'!$A$61:$I$81,3,0))</f>
        <v>3</v>
      </c>
      <c r="AQ73" s="16">
        <f>IF(ISNA(VLOOKUP(A73,'Données projet'!$A$61:$I$81,4,0)),0,VLOOKUP(A73,'Données projet'!$A$61:$I$81,4,0))</f>
        <v>81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projet'!$B$11,Paramètres!$A$1:$I$89,3,0)*VLOOKUP('Données projet'!$B$11,Paramètres!$A$1:$I$89,5,0)</f>
        <v>218.96159999999995</v>
      </c>
      <c r="BF73" s="14">
        <f t="shared" si="91"/>
        <v>53.88913250370743</v>
      </c>
      <c r="BG73" s="22">
        <f t="shared" si="61"/>
        <v>475.21502577729035</v>
      </c>
      <c r="BH73" s="60">
        <f t="shared" si="62"/>
        <v>768.54835911062366</v>
      </c>
      <c r="BI73" s="60">
        <f ca="1">AVERAGE(OFFSET($BH$3,0,0,'Données projet'!$E$11+1,1))-AVERAGE(OFFSET($H$3,0,0,'Données projet'!$E$11+1,1))</f>
        <v>430.11660085503223</v>
      </c>
      <c r="BJ73" s="60">
        <f t="shared" si="92"/>
        <v>231.36959598460686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241.99999999999994</v>
      </c>
      <c r="BZ73" s="14">
        <f>BY73*VLOOKUP('Données projet'!$B$12,Paramètres!$A$1:$I$89,3,0)*VLOOKUP('Données projet'!$B$12,Paramètres!$A$1:$I$89,5,0)</f>
        <v>245.38799999999995</v>
      </c>
      <c r="CA73" s="14">
        <f t="shared" si="93"/>
        <v>59.597282764919569</v>
      </c>
      <c r="CB73" s="22">
        <f t="shared" si="64"/>
        <v>531.18270081556818</v>
      </c>
      <c r="CC73" s="60">
        <f t="shared" si="65"/>
        <v>824.51603414890155</v>
      </c>
      <c r="CD73" s="60">
        <f ca="1">AVERAGE(OFFSET($CC$3,0,0,'Données projet'!$E$12+1,1))-AVERAGE(OFFSET($H$3,0,0,'Données projet'!$E$12+1,1))</f>
        <v>476.8965664931755</v>
      </c>
      <c r="CE73" s="60">
        <f t="shared" si="94"/>
        <v>254.25036207346591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241.99999999999994</v>
      </c>
      <c r="CU73" s="18">
        <f>CT73*VLOOKUP('Données projet'!$B$13,Paramètres!$A$1:$I$89,3,0)*VLOOKUP('Données projet'!$B$13,Paramètres!$A$1:$I$89,5,0)</f>
        <v>234.06239999999994</v>
      </c>
      <c r="CV73" s="14">
        <f t="shared" si="95"/>
        <v>57.16017032126387</v>
      </c>
      <c r="CW73" s="22">
        <f t="shared" si="67"/>
        <v>507.21264330953437</v>
      </c>
      <c r="CX73" s="60">
        <f t="shared" si="68"/>
        <v>800.54597664286769</v>
      </c>
      <c r="CY73" s="60">
        <f ca="1">AVERAGE(OFFSET($CX$3,0,0,'Données projet'!$E$13+1,1))-AVERAGE(OFFSET($H$3,0,0,'Données projet'!$E$13+1,1))</f>
        <v>456.86147223520601</v>
      </c>
      <c r="CZ73" s="60">
        <f t="shared" si="96"/>
        <v>244.45149244446094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175</v>
      </c>
      <c r="DM73" s="13">
        <f>VLOOKUP(A73,'Données projet'!$A$165:$I$185,9,0)</f>
        <v>3.7179487179487181</v>
      </c>
      <c r="DN73" s="13">
        <f t="array" ref="DN73">INDEX(DM:DM,MIN(IF(ISNUMBER(DM73:DM269),ROW(DM73:DM269),"")))</f>
        <v>3.7179487179487181</v>
      </c>
      <c r="DO73" s="13">
        <f>IF('Données projet'!$A$166&gt;35,DO72+DN73-DW72,IF(A73&lt;'Données projet'!$A$166,$DL$205^A73,IF(A73='Données projet'!$A$166,'Données projet'!$B$166,DO72+DN73-DW72)))</f>
        <v>175.00000000000011</v>
      </c>
      <c r="DP73" s="18">
        <f>DO73*VLOOKUP('Données projet'!$B$14,Paramètres!$A$1:$I$89,3,0)*VLOOKUP('Données projet'!$B$14,Paramètres!$A$1:$I$89,5,0)</f>
        <v>166.53000000000011</v>
      </c>
      <c r="DQ73" s="14">
        <f t="shared" si="97"/>
        <v>42.311928683446958</v>
      </c>
      <c r="DR73" s="22">
        <f t="shared" si="70"/>
        <v>363.73302579033697</v>
      </c>
      <c r="DS73" s="60">
        <f t="shared" si="71"/>
        <v>657.06635912367028</v>
      </c>
      <c r="DT73" s="60">
        <f ca="1">AVERAGE(OFFSET($DS$3,0,0,'Données projet'!$E$14+1,1))-AVERAGE(OFFSET($H$3,0,0,'Données projet'!$E$14+1,1))</f>
        <v>300.36889324671682</v>
      </c>
      <c r="DU73" s="60">
        <f t="shared" si="98"/>
        <v>214.36051699039683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23.076923076923077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151</v>
      </c>
      <c r="EH73" s="13">
        <f>VLOOKUP(A73,'Données projet'!$A$191:$I$211,9,0)</f>
        <v>2.2000000000000002</v>
      </c>
      <c r="EI73" s="13">
        <f t="array" ref="EI73">INDEX(EH:EH,MIN(IF(ISNUMBER(EH73:EH269),ROW(EH73:EH269),"")))</f>
        <v>2.2000000000000002</v>
      </c>
      <c r="EJ73" s="13">
        <f>IF('Données projet'!$A$192&gt;35,EJ72+EI73-ER72,IF(A73&lt;'Données projet'!$A$192,$EG$205^A73,IF(A73='Données projet'!$A$192,'Données projet'!$B$192,EJ72+EI73-ER72)))</f>
        <v>150.99999999999983</v>
      </c>
      <c r="EK73" s="18">
        <f>EJ73*VLOOKUP('Données projet'!$B$15,Paramètres!$A$1:$I$89,3,0)*VLOOKUP('Données projet'!$B$15,Paramètres!$A$1:$I$89,5,0)</f>
        <v>131.91359999999989</v>
      </c>
      <c r="EL73" s="14">
        <f t="shared" si="99"/>
        <v>34.438159352115974</v>
      </c>
      <c r="EM73" s="22">
        <f t="shared" si="73"/>
        <v>289.72931420493512</v>
      </c>
      <c r="EN73" s="60">
        <f t="shared" si="74"/>
        <v>583.06264753826849</v>
      </c>
      <c r="EO73" s="60">
        <f ca="1">AVERAGE(OFFSET($EN$3,0,0,'Données projet'!$E$15+1,1))-AVERAGE(OFFSET($H$3,0,0,'Données projet'!$E$15+1,1))</f>
        <v>202.46844517174412</v>
      </c>
      <c r="EP73" s="60">
        <f t="shared" si="100"/>
        <v>185.00219255324515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276.28205128205127</v>
      </c>
      <c r="FC73" s="13">
        <f>VLOOKUP(A73,'Données projet'!$A$217:$I$237,9,0)</f>
        <v>5.1282051282051269</v>
      </c>
      <c r="FD73" s="13">
        <f t="array" ref="FD73">INDEX(FC:FC,MIN(IF(ISNUMBER(FC73:FC269),ROW(FC73:FC269),"")))</f>
        <v>5.1282051282051269</v>
      </c>
      <c r="FE73" s="13">
        <f>IF('Données projet'!$A$218&gt;35,FE72+FD73-FM72,IF(A73&lt;'Données projet'!$A$218,$FB$205^A73,IF(A73='Données projet'!$A$218,'Données projet'!$B$218,FE72+FD73-FM72)))</f>
        <v>276.28205128205116</v>
      </c>
      <c r="FF73" s="18">
        <f>FE73*VLOOKUP('Données projet'!$B$16,Paramètres!$A$1:$I$89,3,0)*VLOOKUP('Données projet'!$B$16,Paramètres!$A$1:$I$89,5,0)</f>
        <v>185.32999999999993</v>
      </c>
      <c r="FG73" s="14">
        <f t="shared" si="101"/>
        <v>46.505991525491268</v>
      </c>
      <c r="FH73" s="22">
        <f t="shared" si="76"/>
        <v>403.78101857356381</v>
      </c>
      <c r="FI73" s="60">
        <f t="shared" si="77"/>
        <v>697.11435190689713</v>
      </c>
      <c r="FJ73" s="60">
        <f ca="1">AVERAGE(OFFSET($FI$3,0,0,'Données projet'!$E$16+1,1))-AVERAGE(OFFSET($H$3,0,0,'Données projet'!$E$16+1,1))</f>
        <v>344.87493856469382</v>
      </c>
      <c r="FK73" s="60">
        <f t="shared" si="102"/>
        <v>261.91036689641402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>
        <f>FZ73*VLOOKUP('Données projet'!$B$17,Paramètres!$A$1:$I$89,3,0)*VLOOKUP('Données projet'!$B$17,Paramètres!$A$1:$I$89,5,0)</f>
        <v>0</v>
      </c>
      <c r="GB73" s="14" t="e">
        <f t="shared" si="103"/>
        <v>#NUM!</v>
      </c>
      <c r="GC73" s="22" t="e">
        <f t="shared" si="79"/>
        <v>#NUM!</v>
      </c>
      <c r="GD73" s="60" t="e">
        <f t="shared" si="80"/>
        <v>#NUM!</v>
      </c>
      <c r="GE73" s="60">
        <f ca="1">AVERAGE(OFFSET($GD$3,0,0,'Données projet'!$E$17+1,1))-AVERAGE(OFFSET($H$3,0,0,'Données projet'!$E$17+1,1))</f>
        <v>268.19959446602911</v>
      </c>
      <c r="GF73" s="60">
        <f t="shared" si="104"/>
        <v>691.2533336811855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65.095162127165381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65.095162127165381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1.1368683772161603E-13</v>
      </c>
      <c r="GV73" s="18">
        <f>GU73*VLOOKUP('Données projet'!$B$18,Paramètres!$A$1:$I$89,3,0)*VLOOKUP('Données projet'!$B$18,Paramètres!$A$1:$I$89,5,0)</f>
        <v>8.8675733422860506E-14</v>
      </c>
      <c r="GW73" s="14">
        <f t="shared" si="105"/>
        <v>1.3509285393066301E-12</v>
      </c>
      <c r="GX73" s="22">
        <f t="shared" si="82"/>
        <v>2.5073107750038623E-12</v>
      </c>
      <c r="GY73" s="60">
        <f t="shared" si="83"/>
        <v>293.33333333333582</v>
      </c>
      <c r="GZ73" s="60">
        <f ca="1">AVERAGE(OFFSET($GY$3,0,0,'Données projet'!$E$18+1,1))-AVERAGE(OFFSET($H$3,0,0,'Données projet'!$E$18+1,1))</f>
        <v>292.57482726862594</v>
      </c>
      <c r="HA73" s="60">
        <f t="shared" si="106"/>
        <v>283.48738729114024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21.2</v>
      </c>
      <c r="N74" s="14">
        <f>IF('Données projet'!$A$36&gt;35,N73+M74-V73,IF(A74&lt;'Données projet'!$A$36,$K$205^A74,IF(A74='Données projet'!$A$36,'Données projet'!$B$36,N73+M74-V73)))</f>
        <v>543.19999999999993</v>
      </c>
      <c r="O74" s="14">
        <f>N74*VLOOKUP('Données projet'!$B$9,Paramètres!$A$1:$I$89,3,0)*VLOOKUP('Données projet'!$B$9,Paramètres!$A$1:$I$89,5,0)</f>
        <v>254.21759999999998</v>
      </c>
      <c r="P74" s="14">
        <f t="shared" si="87"/>
        <v>61.488195182366475</v>
      </c>
      <c r="Q74" s="22">
        <f t="shared" si="54"/>
        <v>549.85425994262152</v>
      </c>
      <c r="R74" s="60">
        <f t="shared" si="55"/>
        <v>843.1875932759549</v>
      </c>
      <c r="S74" s="60">
        <f ca="1">AVERAGE(OFFSET($R$3,0,0,'Données projet'!$E$9+1,1))-AVERAGE(OFFSET($H$3,0,0,'Données projet'!$E$9+1,1))</f>
        <v>399.92909819003523</v>
      </c>
      <c r="T74" s="60">
        <f t="shared" si="88"/>
        <v>163.7053537268381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7.5</v>
      </c>
      <c r="AI74" s="14">
        <f>IF('Données projet'!$A$62&gt;35,AI73+AH74-AQ73,IF(A74&lt;'Données projet'!$A$62,$AF$205^A74,IF(A74='Données projet'!$A$62,'Données projet'!$B$62,AI73+AH74-AQ73)))</f>
        <v>458.49999999999943</v>
      </c>
      <c r="AJ74" s="14">
        <f>AI74*VLOOKUP('Données projet'!$B$10,Paramètres!$A$1:$I$89,3,0)*VLOOKUP('Données projet'!$B$10,Paramètres!$A$1:$I$89,5,0)</f>
        <v>274.18299999999965</v>
      </c>
      <c r="AK74" s="14">
        <f t="shared" si="89"/>
        <v>65.736211591135358</v>
      </c>
      <c r="AL74" s="22">
        <f t="shared" si="58"/>
        <v>592.02596018789347</v>
      </c>
      <c r="AM74" s="60">
        <f t="shared" si="59"/>
        <v>885.35929352122685</v>
      </c>
      <c r="AN74" s="60">
        <f ca="1">AVERAGE(OFFSET($AM$3,0,0,'Données projet'!$E$10+1,1))-AVERAGE(OFFSET($H$3,0,0,'Données projet'!$E$10+1,1))</f>
        <v>455.43477166687273</v>
      </c>
      <c r="AO74" s="60">
        <f t="shared" si="90"/>
        <v>312.81310692672895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projet'!$B$11,Paramètres!$A$1:$I$89,3,0)*VLOOKUP('Données projet'!$B$11,Paramètres!$A$1:$I$89,5,0)</f>
        <v>224.57135999999994</v>
      </c>
      <c r="BF74" s="14">
        <f t="shared" si="91"/>
        <v>55.107255873104265</v>
      </c>
      <c r="BG74" s="22">
        <f t="shared" si="61"/>
        <v>487.10692264565643</v>
      </c>
      <c r="BH74" s="60">
        <f t="shared" si="62"/>
        <v>780.44025597898974</v>
      </c>
      <c r="BI74" s="60">
        <f ca="1">AVERAGE(OFFSET($BH$3,0,0,'Données projet'!$E$11+1,1))-AVERAGE(OFFSET($H$3,0,0,'Données projet'!$E$11+1,1))</f>
        <v>430.11660085503223</v>
      </c>
      <c r="BJ74" s="60">
        <f t="shared" si="92"/>
        <v>231.36959598460686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248.19999999999993</v>
      </c>
      <c r="BZ74" s="14">
        <f>BY74*VLOOKUP('Données projet'!$B$12,Paramètres!$A$1:$I$89,3,0)*VLOOKUP('Données projet'!$B$12,Paramètres!$A$1:$I$89,5,0)</f>
        <v>251.67479999999995</v>
      </c>
      <c r="CA74" s="14">
        <f t="shared" si="93"/>
        <v>60.944434584138449</v>
      </c>
      <c r="CB74" s="22">
        <f t="shared" si="64"/>
        <v>544.47850023404101</v>
      </c>
      <c r="CC74" s="60">
        <f t="shared" si="65"/>
        <v>837.81183356737438</v>
      </c>
      <c r="CD74" s="60">
        <f ca="1">AVERAGE(OFFSET($CC$3,0,0,'Données projet'!$E$12+1,1))-AVERAGE(OFFSET($H$3,0,0,'Données projet'!$E$12+1,1))</f>
        <v>476.8965664931755</v>
      </c>
      <c r="CE74" s="60">
        <f t="shared" si="94"/>
        <v>254.25036207346591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248.19999999999993</v>
      </c>
      <c r="CU74" s="18">
        <f>CT74*VLOOKUP('Données projet'!$B$13,Paramètres!$A$1:$I$89,3,0)*VLOOKUP('Données projet'!$B$13,Paramètres!$A$1:$I$89,5,0)</f>
        <v>240.05903999999995</v>
      </c>
      <c r="CV74" s="14">
        <f t="shared" si="95"/>
        <v>58.452233043970431</v>
      </c>
      <c r="CW74" s="22">
        <f t="shared" si="67"/>
        <v>519.90713388491497</v>
      </c>
      <c r="CX74" s="60">
        <f t="shared" si="68"/>
        <v>813.24046721824834</v>
      </c>
      <c r="CY74" s="60">
        <f ca="1">AVERAGE(OFFSET($CX$3,0,0,'Données projet'!$E$13+1,1))-AVERAGE(OFFSET($H$3,0,0,'Données projet'!$E$13+1,1))</f>
        <v>456.86147223520601</v>
      </c>
      <c r="CZ74" s="60">
        <f t="shared" si="96"/>
        <v>244.45149244446094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3.5897435897435854</v>
      </c>
      <c r="DO74" s="13">
        <f>IF('Données projet'!$A$166&gt;35,DO73+DN74-DW73,IF(A74&lt;'Données projet'!$A$166,$DL$205^A74,IF(A74='Données projet'!$A$166,'Données projet'!$B$166,DO73+DN74-DW73)))</f>
        <v>155.51282051282064</v>
      </c>
      <c r="DP74" s="18">
        <f>DO74*VLOOKUP('Données projet'!$B$14,Paramètres!$A$1:$I$89,3,0)*VLOOKUP('Données projet'!$B$14,Paramètres!$A$1:$I$89,5,0)</f>
        <v>147.98600000000013</v>
      </c>
      <c r="DQ74" s="14">
        <f t="shared" si="97"/>
        <v>38.120537441454275</v>
      </c>
      <c r="DR74" s="22">
        <f t="shared" si="70"/>
        <v>324.13555271053309</v>
      </c>
      <c r="DS74" s="60">
        <f t="shared" si="71"/>
        <v>617.46888604386641</v>
      </c>
      <c r="DT74" s="60">
        <f ca="1">AVERAGE(OFFSET($DS$3,0,0,'Données projet'!$E$14+1,1))-AVERAGE(OFFSET($H$3,0,0,'Données projet'!$E$14+1,1))</f>
        <v>300.36889324671682</v>
      </c>
      <c r="DU74" s="60">
        <f t="shared" si="98"/>
        <v>214.36051699039683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1.8</v>
      </c>
      <c r="EJ74" s="13">
        <f>IF('Données projet'!$A$192&gt;35,EJ73+EI74-ER73,IF(A74&lt;'Données projet'!$A$192,$EG$205^A74,IF(A74='Données projet'!$A$192,'Données projet'!$B$192,EJ73+EI74-ER73)))</f>
        <v>152.79999999999984</v>
      </c>
      <c r="EK74" s="18">
        <f>EJ74*VLOOKUP('Données projet'!$B$15,Paramètres!$A$1:$I$89,3,0)*VLOOKUP('Données projet'!$B$15,Paramètres!$A$1:$I$89,5,0)</f>
        <v>133.48607999999987</v>
      </c>
      <c r="EL74" s="14">
        <f t="shared" si="99"/>
        <v>34.800645252320457</v>
      </c>
      <c r="EM74" s="22">
        <f t="shared" si="73"/>
        <v>293.0993798144579</v>
      </c>
      <c r="EN74" s="60">
        <f t="shared" si="74"/>
        <v>586.43271314779122</v>
      </c>
      <c r="EO74" s="60">
        <f ca="1">AVERAGE(OFFSET($EN$3,0,0,'Données projet'!$E$15+1,1))-AVERAGE(OFFSET($H$3,0,0,'Données projet'!$E$15+1,1))</f>
        <v>202.46844517174412</v>
      </c>
      <c r="EP74" s="60">
        <f t="shared" si="100"/>
        <v>185.00219255324515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4.8717948717948731</v>
      </c>
      <c r="FE74" s="13">
        <f>IF('Données projet'!$A$218&gt;35,FE73+FD74-FM73,IF(A74&lt;'Données projet'!$A$218,$FB$205^A74,IF(A74='Données projet'!$A$218,'Données projet'!$B$218,FE73+FD74-FM73)))</f>
        <v>281.15384615384602</v>
      </c>
      <c r="FF74" s="18">
        <f>FE74*VLOOKUP('Données projet'!$B$16,Paramètres!$A$1:$I$89,3,0)*VLOOKUP('Données projet'!$B$16,Paramètres!$A$1:$I$89,5,0)</f>
        <v>188.5979999999999</v>
      </c>
      <c r="FG74" s="14">
        <f t="shared" si="101"/>
        <v>47.229857075388068</v>
      </c>
      <c r="FH74" s="22">
        <f t="shared" si="76"/>
        <v>410.73351773963401</v>
      </c>
      <c r="FI74" s="60">
        <f t="shared" si="77"/>
        <v>704.06685107296732</v>
      </c>
      <c r="FJ74" s="60">
        <f ca="1">AVERAGE(OFFSET($FI$3,0,0,'Données projet'!$E$16+1,1))-AVERAGE(OFFSET($H$3,0,0,'Données projet'!$E$16+1,1))</f>
        <v>344.87493856469382</v>
      </c>
      <c r="FK74" s="60">
        <f t="shared" si="102"/>
        <v>261.91036689641402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>
        <f>FZ74*VLOOKUP('Données projet'!$B$17,Paramètres!$A$1:$I$89,3,0)*VLOOKUP('Données projet'!$B$17,Paramètres!$A$1:$I$89,5,0)</f>
        <v>0</v>
      </c>
      <c r="GB74" s="14" t="e">
        <f t="shared" si="103"/>
        <v>#NUM!</v>
      </c>
      <c r="GC74" s="22" t="e">
        <f t="shared" si="79"/>
        <v>#NUM!</v>
      </c>
      <c r="GD74" s="60" t="e">
        <f t="shared" si="80"/>
        <v>#NUM!</v>
      </c>
      <c r="GE74" s="60">
        <f ca="1">AVERAGE(OFFSET($GD$3,0,0,'Données projet'!$E$17+1,1))-AVERAGE(OFFSET($H$3,0,0,'Données projet'!$E$17+1,1))</f>
        <v>268.19959446602911</v>
      </c>
      <c r="GF74" s="60">
        <f t="shared" si="104"/>
        <v>691.2533336811855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63.818685701980108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63.818685701980108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1.1368683772161603E-13</v>
      </c>
      <c r="GV74" s="18">
        <f>GU74*VLOOKUP('Données projet'!$B$18,Paramètres!$A$1:$I$89,3,0)*VLOOKUP('Données projet'!$B$18,Paramètres!$A$1:$I$89,5,0)</f>
        <v>8.8675733422860506E-14</v>
      </c>
      <c r="GW74" s="14">
        <f t="shared" si="105"/>
        <v>1.3509285393066301E-12</v>
      </c>
      <c r="GX74" s="22">
        <f t="shared" si="82"/>
        <v>2.5073107750038623E-12</v>
      </c>
      <c r="GY74" s="60">
        <f t="shared" si="83"/>
        <v>293.33333333333582</v>
      </c>
      <c r="GZ74" s="60">
        <f ca="1">AVERAGE(OFFSET($GY$3,0,0,'Données projet'!$E$18+1,1))-AVERAGE(OFFSET($H$3,0,0,'Données projet'!$E$18+1,1))</f>
        <v>292.57482726862594</v>
      </c>
      <c r="HA74" s="60">
        <f t="shared" si="106"/>
        <v>283.48738729114024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21.2</v>
      </c>
      <c r="N75" s="14">
        <f>IF('Données projet'!$A$36&gt;35,N74+M75-V74,IF(A75&lt;'Données projet'!$A$36,$K$205^A75,IF(A75='Données projet'!$A$36,'Données projet'!$B$36,N74+M75-V74)))</f>
        <v>564.4</v>
      </c>
      <c r="O75" s="14">
        <f>N75*VLOOKUP('Données projet'!$B$9,Paramètres!$A$1:$I$89,3,0)*VLOOKUP('Données projet'!$B$9,Paramètres!$A$1:$I$89,5,0)</f>
        <v>264.13920000000002</v>
      </c>
      <c r="P75" s="14">
        <f t="shared" si="87"/>
        <v>63.60387543087441</v>
      </c>
      <c r="Q75" s="22">
        <f t="shared" si="54"/>
        <v>570.81918970877302</v>
      </c>
      <c r="R75" s="60">
        <f t="shared" si="55"/>
        <v>864.1525230421064</v>
      </c>
      <c r="S75" s="60">
        <f ca="1">AVERAGE(OFFSET($R$3,0,0,'Données projet'!$E$9+1,1))-AVERAGE(OFFSET($H$3,0,0,'Données projet'!$E$9+1,1))</f>
        <v>399.92909819003523</v>
      </c>
      <c r="T75" s="60">
        <f t="shared" si="88"/>
        <v>163.7053537268381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7.5</v>
      </c>
      <c r="AI75" s="14">
        <f>IF('Données projet'!$A$62&gt;35,AI74+AH75-AQ74,IF(A75&lt;'Données projet'!$A$62,$AF$205^A75,IF(A75='Données projet'!$A$62,'Données projet'!$B$62,AI74+AH75-AQ74)))</f>
        <v>465.99999999999943</v>
      </c>
      <c r="AJ75" s="14">
        <f>AI75*VLOOKUP('Données projet'!$B$10,Paramètres!$A$1:$I$89,3,0)*VLOOKUP('Données projet'!$B$10,Paramètres!$A$1:$I$89,5,0)</f>
        <v>278.66799999999972</v>
      </c>
      <c r="AK75" s="14">
        <f t="shared" si="89"/>
        <v>66.685440917424486</v>
      </c>
      <c r="AL75" s="22">
        <f t="shared" si="58"/>
        <v>601.49057626451383</v>
      </c>
      <c r="AM75" s="60">
        <f t="shared" si="59"/>
        <v>894.82390959784721</v>
      </c>
      <c r="AN75" s="60">
        <f ca="1">AVERAGE(OFFSET($AM$3,0,0,'Données projet'!$E$10+1,1))-AVERAGE(OFFSET($H$3,0,0,'Données projet'!$E$10+1,1))</f>
        <v>455.43477166687273</v>
      </c>
      <c r="AO75" s="60">
        <f t="shared" si="90"/>
        <v>312.81310692672895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projet'!$B$11,Paramètres!$A$1:$I$89,3,0)*VLOOKUP('Données projet'!$B$11,Paramètres!$A$1:$I$89,5,0)</f>
        <v>230.18111999999991</v>
      </c>
      <c r="BF75" s="14">
        <f t="shared" si="91"/>
        <v>56.321842115392933</v>
      </c>
      <c r="BG75" s="22">
        <f t="shared" si="61"/>
        <v>498.99265901764255</v>
      </c>
      <c r="BH75" s="60">
        <f t="shared" si="62"/>
        <v>792.32599235097587</v>
      </c>
      <c r="BI75" s="60">
        <f ca="1">AVERAGE(OFFSET($BH$3,0,0,'Données projet'!$E$11+1,1))-AVERAGE(OFFSET($H$3,0,0,'Données projet'!$E$11+1,1))</f>
        <v>430.11660085503223</v>
      </c>
      <c r="BJ75" s="60">
        <f t="shared" si="92"/>
        <v>231.36959598460686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254.39999999999992</v>
      </c>
      <c r="BZ75" s="14">
        <f>BY75*VLOOKUP('Données projet'!$B$12,Paramètres!$A$1:$I$89,3,0)*VLOOKUP('Données projet'!$B$12,Paramètres!$A$1:$I$89,5,0)</f>
        <v>257.96159999999992</v>
      </c>
      <c r="CA75" s="14">
        <f t="shared" si="93"/>
        <v>62.287674609742481</v>
      </c>
      <c r="CB75" s="22">
        <f t="shared" si="64"/>
        <v>557.76748661196802</v>
      </c>
      <c r="CC75" s="60">
        <f t="shared" si="65"/>
        <v>851.10081994530128</v>
      </c>
      <c r="CD75" s="60">
        <f ca="1">AVERAGE(OFFSET($CC$3,0,0,'Données projet'!$E$12+1,1))-AVERAGE(OFFSET($H$3,0,0,'Données projet'!$E$12+1,1))</f>
        <v>476.8965664931755</v>
      </c>
      <c r="CE75" s="60">
        <f t="shared" si="94"/>
        <v>254.25036207346591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254.39999999999992</v>
      </c>
      <c r="CU75" s="18">
        <f>CT75*VLOOKUP('Données projet'!$B$13,Paramètres!$A$1:$I$89,3,0)*VLOOKUP('Données projet'!$B$13,Paramètres!$A$1:$I$89,5,0)</f>
        <v>246.05567999999994</v>
      </c>
      <c r="CV75" s="14">
        <f t="shared" si="95"/>
        <v>59.740543938088187</v>
      </c>
      <c r="CW75" s="22">
        <f t="shared" si="67"/>
        <v>532.59509002550351</v>
      </c>
      <c r="CX75" s="60">
        <f t="shared" si="68"/>
        <v>825.92842335883688</v>
      </c>
      <c r="CY75" s="60">
        <f ca="1">AVERAGE(OFFSET($CX$3,0,0,'Données projet'!$E$13+1,1))-AVERAGE(OFFSET($H$3,0,0,'Données projet'!$E$13+1,1))</f>
        <v>456.86147223520601</v>
      </c>
      <c r="CZ75" s="60">
        <f t="shared" si="96"/>
        <v>244.45149244446094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3.5897435897435854</v>
      </c>
      <c r="DO75" s="13">
        <f>IF('Données projet'!$A$166&gt;35,DO74+DN75-DW74,IF(A75&lt;'Données projet'!$A$166,$DL$205^A75,IF(A75='Données projet'!$A$166,'Données projet'!$B$166,DO74+DN75-DW74)))</f>
        <v>159.10256410256423</v>
      </c>
      <c r="DP75" s="18">
        <f>DO75*VLOOKUP('Données projet'!$B$14,Paramètres!$A$1:$I$89,3,0)*VLOOKUP('Données projet'!$B$14,Paramètres!$A$1:$I$89,5,0)</f>
        <v>151.40200000000013</v>
      </c>
      <c r="DQ75" s="14">
        <f t="shared" si="97"/>
        <v>38.897022435666386</v>
      </c>
      <c r="DR75" s="22">
        <f t="shared" si="70"/>
        <v>331.43746407545251</v>
      </c>
      <c r="DS75" s="60">
        <f t="shared" si="71"/>
        <v>624.77079740878582</v>
      </c>
      <c r="DT75" s="60">
        <f ca="1">AVERAGE(OFFSET($DS$3,0,0,'Données projet'!$E$14+1,1))-AVERAGE(OFFSET($H$3,0,0,'Données projet'!$E$14+1,1))</f>
        <v>300.36889324671682</v>
      </c>
      <c r="DU75" s="60">
        <f t="shared" si="98"/>
        <v>214.36051699039683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1.8</v>
      </c>
      <c r="EJ75" s="13">
        <f>IF('Données projet'!$A$192&gt;35,EJ74+EI75-ER74,IF(A75&lt;'Données projet'!$A$192,$EG$205^A75,IF(A75='Données projet'!$A$192,'Données projet'!$B$192,EJ74+EI75-ER74)))</f>
        <v>154.59999999999985</v>
      </c>
      <c r="EK75" s="18">
        <f>EJ75*VLOOKUP('Données projet'!$B$15,Paramètres!$A$1:$I$89,3,0)*VLOOKUP('Données projet'!$B$15,Paramètres!$A$1:$I$89,5,0)</f>
        <v>135.05855999999989</v>
      </c>
      <c r="EL75" s="14">
        <f t="shared" si="99"/>
        <v>35.162634438808851</v>
      </c>
      <c r="EM75" s="22">
        <f t="shared" si="73"/>
        <v>296.46858031425853</v>
      </c>
      <c r="EN75" s="60">
        <f t="shared" si="74"/>
        <v>589.80191364759185</v>
      </c>
      <c r="EO75" s="60">
        <f ca="1">AVERAGE(OFFSET($EN$3,0,0,'Données projet'!$E$15+1,1))-AVERAGE(OFFSET($H$3,0,0,'Données projet'!$E$15+1,1))</f>
        <v>202.46844517174412</v>
      </c>
      <c r="EP75" s="60">
        <f t="shared" si="100"/>
        <v>185.00219255324515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4.8717948717948731</v>
      </c>
      <c r="FE75" s="13">
        <f>IF('Données projet'!$A$218&gt;35,FE74+FD75-FM74,IF(A75&lt;'Données projet'!$A$218,$FB$205^A75,IF(A75='Données projet'!$A$218,'Données projet'!$B$218,FE74+FD75-FM74)))</f>
        <v>286.02564102564088</v>
      </c>
      <c r="FF75" s="18">
        <f>FE75*VLOOKUP('Données projet'!$B$16,Paramètres!$A$1:$I$89,3,0)*VLOOKUP('Données projet'!$B$16,Paramètres!$A$1:$I$89,5,0)</f>
        <v>191.8659999999999</v>
      </c>
      <c r="FG75" s="14">
        <f t="shared" si="101"/>
        <v>47.952264009442324</v>
      </c>
      <c r="FH75" s="22">
        <f t="shared" si="76"/>
        <v>417.68347648311186</v>
      </c>
      <c r="FI75" s="60">
        <f t="shared" si="77"/>
        <v>711.01680981644517</v>
      </c>
      <c r="FJ75" s="60">
        <f ca="1">AVERAGE(OFFSET($FI$3,0,0,'Données projet'!$E$16+1,1))-AVERAGE(OFFSET($H$3,0,0,'Données projet'!$E$16+1,1))</f>
        <v>344.87493856469382</v>
      </c>
      <c r="FK75" s="60">
        <f t="shared" si="102"/>
        <v>261.91036689641402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>
        <f>FZ75*VLOOKUP('Données projet'!$B$17,Paramètres!$A$1:$I$89,3,0)*VLOOKUP('Données projet'!$B$17,Paramètres!$A$1:$I$89,5,0)</f>
        <v>0</v>
      </c>
      <c r="GB75" s="14" t="e">
        <f t="shared" si="103"/>
        <v>#NUM!</v>
      </c>
      <c r="GC75" s="22" t="e">
        <f t="shared" si="79"/>
        <v>#NUM!</v>
      </c>
      <c r="GD75" s="60" t="e">
        <f t="shared" si="80"/>
        <v>#NUM!</v>
      </c>
      <c r="GE75" s="60">
        <f ca="1">AVERAGE(OFFSET($GD$3,0,0,'Données projet'!$E$17+1,1))-AVERAGE(OFFSET($H$3,0,0,'Données projet'!$E$17+1,1))</f>
        <v>268.19959446602911</v>
      </c>
      <c r="GF75" s="60">
        <f t="shared" si="104"/>
        <v>691.2533336811855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62.567240200918974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62.567240200918974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1.1368683772161603E-13</v>
      </c>
      <c r="GV75" s="18">
        <f>GU75*VLOOKUP('Données projet'!$B$18,Paramètres!$A$1:$I$89,3,0)*VLOOKUP('Données projet'!$B$18,Paramètres!$A$1:$I$89,5,0)</f>
        <v>8.8675733422860506E-14</v>
      </c>
      <c r="GW75" s="14">
        <f t="shared" si="105"/>
        <v>1.3509285393066301E-12</v>
      </c>
      <c r="GX75" s="22">
        <f t="shared" si="82"/>
        <v>2.5073107750038623E-12</v>
      </c>
      <c r="GY75" s="60">
        <f t="shared" si="83"/>
        <v>293.33333333333582</v>
      </c>
      <c r="GZ75" s="60">
        <f ca="1">AVERAGE(OFFSET($GY$3,0,0,'Données projet'!$E$18+1,1))-AVERAGE(OFFSET($H$3,0,0,'Données projet'!$E$18+1,1))</f>
        <v>292.57482726862594</v>
      </c>
      <c r="HA75" s="60">
        <f t="shared" si="106"/>
        <v>283.48738729114024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21.2</v>
      </c>
      <c r="N76" s="14">
        <f>IF('Données projet'!$A$36&gt;35,N75+M76-V75,IF(A76&lt;'Données projet'!$A$36,$K$205^A76,IF(A76='Données projet'!$A$36,'Données projet'!$B$36,N75+M76-V75)))</f>
        <v>585.6</v>
      </c>
      <c r="O76" s="14">
        <f>N76*VLOOKUP('Données projet'!$B$9,Paramètres!$A$1:$I$89,3,0)*VLOOKUP('Données projet'!$B$9,Paramètres!$A$1:$I$89,5,0)</f>
        <v>274.06080000000003</v>
      </c>
      <c r="P76" s="14">
        <f t="shared" si="87"/>
        <v>65.710323362952991</v>
      </c>
      <c r="Q76" s="22">
        <f t="shared" si="54"/>
        <v>591.76803985714309</v>
      </c>
      <c r="R76" s="60">
        <f t="shared" si="55"/>
        <v>885.10137319047635</v>
      </c>
      <c r="S76" s="60">
        <f ca="1">AVERAGE(OFFSET($R$3,0,0,'Données projet'!$E$9+1,1))-AVERAGE(OFFSET($H$3,0,0,'Données projet'!$E$9+1,1))</f>
        <v>399.92909819003523</v>
      </c>
      <c r="T76" s="60">
        <f t="shared" si="88"/>
        <v>163.7053537268381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7.5</v>
      </c>
      <c r="AI76" s="14">
        <f>IF('Données projet'!$A$62&gt;35,AI75+AH76-AQ75,IF(A76&lt;'Données projet'!$A$62,$AF$205^A76,IF(A76='Données projet'!$A$62,'Données projet'!$B$62,AI75+AH76-AQ75)))</f>
        <v>473.49999999999943</v>
      </c>
      <c r="AJ76" s="14">
        <f>AI76*VLOOKUP('Données projet'!$B$10,Paramètres!$A$1:$I$89,3,0)*VLOOKUP('Données projet'!$B$10,Paramètres!$A$1:$I$89,5,0)</f>
        <v>283.15299999999968</v>
      </c>
      <c r="AK76" s="14">
        <f t="shared" si="89"/>
        <v>67.632893550024505</v>
      </c>
      <c r="AL76" s="22">
        <f t="shared" si="58"/>
        <v>610.95209793295874</v>
      </c>
      <c r="AM76" s="60">
        <f t="shared" si="59"/>
        <v>904.28543126629211</v>
      </c>
      <c r="AN76" s="60">
        <f ca="1">AVERAGE(OFFSET($AM$3,0,0,'Données projet'!$E$10+1,1))-AVERAGE(OFFSET($H$3,0,0,'Données projet'!$E$10+1,1))</f>
        <v>455.43477166687273</v>
      </c>
      <c r="AO76" s="60">
        <f t="shared" si="90"/>
        <v>312.81310692672895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projet'!$B$11,Paramètres!$A$1:$I$89,3,0)*VLOOKUP('Données projet'!$B$11,Paramètres!$A$1:$I$89,5,0)</f>
        <v>235.7908799999999</v>
      </c>
      <c r="BF76" s="14">
        <f t="shared" si="91"/>
        <v>57.532987351107714</v>
      </c>
      <c r="BG76" s="22">
        <f t="shared" si="61"/>
        <v>510.87240230317911</v>
      </c>
      <c r="BH76" s="60">
        <f t="shared" si="62"/>
        <v>804.20573563651237</v>
      </c>
      <c r="BI76" s="60">
        <f ca="1">AVERAGE(OFFSET($BH$3,0,0,'Données projet'!$E$11+1,1))-AVERAGE(OFFSET($H$3,0,0,'Données projet'!$E$11+1,1))</f>
        <v>430.11660085503223</v>
      </c>
      <c r="BJ76" s="60">
        <f t="shared" si="92"/>
        <v>231.36959598460686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260.59999999999991</v>
      </c>
      <c r="BZ76" s="14">
        <f>BY76*VLOOKUP('Données projet'!$B$12,Paramètres!$A$1:$I$89,3,0)*VLOOKUP('Données projet'!$B$12,Paramètres!$A$1:$I$89,5,0)</f>
        <v>264.24839999999995</v>
      </c>
      <c r="CA76" s="14">
        <f t="shared" si="93"/>
        <v>63.627109143733414</v>
      </c>
      <c r="CB76" s="22">
        <f t="shared" si="64"/>
        <v>571.04984509200233</v>
      </c>
      <c r="CC76" s="60">
        <f t="shared" si="65"/>
        <v>864.3831784253357</v>
      </c>
      <c r="CD76" s="60">
        <f ca="1">AVERAGE(OFFSET($CC$3,0,0,'Données projet'!$E$12+1,1))-AVERAGE(OFFSET($H$3,0,0,'Données projet'!$E$12+1,1))</f>
        <v>476.8965664931755</v>
      </c>
      <c r="CE76" s="60">
        <f t="shared" si="94"/>
        <v>254.25036207346591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260.59999999999991</v>
      </c>
      <c r="CU76" s="18">
        <f>CT76*VLOOKUP('Données projet'!$B$13,Paramètres!$A$1:$I$89,3,0)*VLOOKUP('Données projet'!$B$13,Paramètres!$A$1:$I$89,5,0)</f>
        <v>252.05231999999992</v>
      </c>
      <c r="CV76" s="14">
        <f t="shared" si="95"/>
        <v>61.025204958609983</v>
      </c>
      <c r="CW76" s="22">
        <f t="shared" si="67"/>
        <v>545.27668930291225</v>
      </c>
      <c r="CX76" s="60">
        <f t="shared" si="68"/>
        <v>838.6100226362455</v>
      </c>
      <c r="CY76" s="60">
        <f ca="1">AVERAGE(OFFSET($CX$3,0,0,'Données projet'!$E$13+1,1))-AVERAGE(OFFSET($H$3,0,0,'Données projet'!$E$13+1,1))</f>
        <v>456.86147223520601</v>
      </c>
      <c r="CZ76" s="60">
        <f t="shared" si="96"/>
        <v>244.45149244446094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3.5897435897435854</v>
      </c>
      <c r="DO76" s="13">
        <f>IF('Données projet'!$A$166&gt;35,DO75+DN76-DW75,IF(A76&lt;'Données projet'!$A$166,$DL$205^A76,IF(A76='Données projet'!$A$166,'Données projet'!$B$166,DO75+DN76-DW75)))</f>
        <v>162.69230769230782</v>
      </c>
      <c r="DP76" s="18">
        <f>DO76*VLOOKUP('Données projet'!$B$14,Paramètres!$A$1:$I$89,3,0)*VLOOKUP('Données projet'!$B$14,Paramètres!$A$1:$I$89,5,0)</f>
        <v>154.81800000000013</v>
      </c>
      <c r="DQ76" s="14">
        <f t="shared" si="97"/>
        <v>39.671470664133182</v>
      </c>
      <c r="DR76" s="22">
        <f t="shared" si="70"/>
        <v>338.73582807336555</v>
      </c>
      <c r="DS76" s="60">
        <f t="shared" si="71"/>
        <v>632.06916140669887</v>
      </c>
      <c r="DT76" s="60">
        <f ca="1">AVERAGE(OFFSET($DS$3,0,0,'Données projet'!$E$14+1,1))-AVERAGE(OFFSET($H$3,0,0,'Données projet'!$E$14+1,1))</f>
        <v>300.36889324671682</v>
      </c>
      <c r="DU76" s="60">
        <f t="shared" si="98"/>
        <v>214.36051699039683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1.8</v>
      </c>
      <c r="EJ76" s="13">
        <f>IF('Données projet'!$A$192&gt;35,EJ75+EI76-ER75,IF(A76&lt;'Données projet'!$A$192,$EG$205^A76,IF(A76='Données projet'!$A$192,'Données projet'!$B$192,EJ75+EI76-ER75)))</f>
        <v>156.39999999999986</v>
      </c>
      <c r="EK76" s="18">
        <f>EJ76*VLOOKUP('Données projet'!$B$15,Paramètres!$A$1:$I$89,3,0)*VLOOKUP('Données projet'!$B$15,Paramètres!$A$1:$I$89,5,0)</f>
        <v>136.6310399999999</v>
      </c>
      <c r="EL76" s="14">
        <f t="shared" si="99"/>
        <v>35.524133363879962</v>
      </c>
      <c r="EM76" s="22">
        <f t="shared" si="73"/>
        <v>299.83692694209077</v>
      </c>
      <c r="EN76" s="60">
        <f t="shared" si="74"/>
        <v>593.17026027542408</v>
      </c>
      <c r="EO76" s="60">
        <f ca="1">AVERAGE(OFFSET($EN$3,0,0,'Données projet'!$E$15+1,1))-AVERAGE(OFFSET($H$3,0,0,'Données projet'!$E$15+1,1))</f>
        <v>202.46844517174412</v>
      </c>
      <c r="EP76" s="60">
        <f t="shared" si="100"/>
        <v>185.00219255324515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4.8717948717948731</v>
      </c>
      <c r="FE76" s="13">
        <f>IF('Données projet'!$A$218&gt;35,FE75+FD76-FM75,IF(A76&lt;'Données projet'!$A$218,$FB$205^A76,IF(A76='Données projet'!$A$218,'Données projet'!$B$218,FE75+FD76-FM75)))</f>
        <v>290.89743589743574</v>
      </c>
      <c r="FF76" s="18">
        <f>FE76*VLOOKUP('Données projet'!$B$16,Paramètres!$A$1:$I$89,3,0)*VLOOKUP('Données projet'!$B$16,Paramètres!$A$1:$I$89,5,0)</f>
        <v>195.1339999999999</v>
      </c>
      <c r="FG76" s="14">
        <f t="shared" si="101"/>
        <v>48.673240038938658</v>
      </c>
      <c r="FH76" s="22">
        <f t="shared" si="76"/>
        <v>424.63094306781801</v>
      </c>
      <c r="FI76" s="60">
        <f t="shared" si="77"/>
        <v>717.96427640115132</v>
      </c>
      <c r="FJ76" s="60">
        <f ca="1">AVERAGE(OFFSET($FI$3,0,0,'Données projet'!$E$16+1,1))-AVERAGE(OFFSET($H$3,0,0,'Données projet'!$E$16+1,1))</f>
        <v>344.87493856469382</v>
      </c>
      <c r="FK76" s="60">
        <f t="shared" si="102"/>
        <v>261.91036689641402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>
        <f>FZ76*VLOOKUP('Données projet'!$B$17,Paramètres!$A$1:$I$89,3,0)*VLOOKUP('Données projet'!$B$17,Paramètres!$A$1:$I$89,5,0)</f>
        <v>0</v>
      </c>
      <c r="GB76" s="14" t="e">
        <f t="shared" si="103"/>
        <v>#NUM!</v>
      </c>
      <c r="GC76" s="22" t="e">
        <f t="shared" si="79"/>
        <v>#NUM!</v>
      </c>
      <c r="GD76" s="60" t="e">
        <f t="shared" si="80"/>
        <v>#NUM!</v>
      </c>
      <c r="GE76" s="60">
        <f ca="1">AVERAGE(OFFSET($GD$3,0,0,'Données projet'!$E$17+1,1))-AVERAGE(OFFSET($H$3,0,0,'Données projet'!$E$17+1,1))</f>
        <v>268.19959446602911</v>
      </c>
      <c r="GF76" s="60">
        <f t="shared" si="104"/>
        <v>691.2533336811855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61.340334782827263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61.340334782827263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1.1368683772161603E-13</v>
      </c>
      <c r="GV76" s="18">
        <f>GU76*VLOOKUP('Données projet'!$B$18,Paramètres!$A$1:$I$89,3,0)*VLOOKUP('Données projet'!$B$18,Paramètres!$A$1:$I$89,5,0)</f>
        <v>8.8675733422860506E-14</v>
      </c>
      <c r="GW76" s="14">
        <f t="shared" si="105"/>
        <v>1.3509285393066301E-12</v>
      </c>
      <c r="GX76" s="22">
        <f t="shared" si="82"/>
        <v>2.5073107750038623E-12</v>
      </c>
      <c r="GY76" s="60">
        <f t="shared" si="83"/>
        <v>293.33333333333582</v>
      </c>
      <c r="GZ76" s="60">
        <f ca="1">AVERAGE(OFFSET($GY$3,0,0,'Données projet'!$E$18+1,1))-AVERAGE(OFFSET($H$3,0,0,'Données projet'!$E$18+1,1))</f>
        <v>292.57482726862594</v>
      </c>
      <c r="HA76" s="60">
        <f t="shared" si="106"/>
        <v>283.48738729114024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21.2</v>
      </c>
      <c r="N77" s="14">
        <f>IF('Données projet'!$A$36&gt;35,N76+M77-V76,IF(A77&lt;'Données projet'!$A$36,$K$205^A77,IF(A77='Données projet'!$A$36,'Données projet'!$B$36,N76+M77-V76)))</f>
        <v>606.80000000000007</v>
      </c>
      <c r="O77" s="14">
        <f>N77*VLOOKUP('Données projet'!$B$9,Paramètres!$A$1:$I$89,3,0)*VLOOKUP('Données projet'!$B$9,Paramètres!$A$1:$I$89,5,0)</f>
        <v>283.98240000000004</v>
      </c>
      <c r="P77" s="14">
        <f t="shared" si="87"/>
        <v>67.807911493441154</v>
      </c>
      <c r="Q77" s="22">
        <f t="shared" si="54"/>
        <v>612.70145918441006</v>
      </c>
      <c r="R77" s="60">
        <f t="shared" si="55"/>
        <v>906.03479251774343</v>
      </c>
      <c r="S77" s="60">
        <f ca="1">AVERAGE(OFFSET($R$3,0,0,'Données projet'!$E$9+1,1))-AVERAGE(OFFSET($H$3,0,0,'Données projet'!$E$9+1,1))</f>
        <v>399.92909819003523</v>
      </c>
      <c r="T77" s="60">
        <f t="shared" si="88"/>
        <v>163.7053537268381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7.5</v>
      </c>
      <c r="AI77" s="14">
        <f>IF('Données projet'!$A$62&gt;35,AI76+AH77-AQ76,IF(A77&lt;'Données projet'!$A$62,$AF$205^A77,IF(A77='Données projet'!$A$62,'Données projet'!$B$62,AI76+AH77-AQ76)))</f>
        <v>480.99999999999943</v>
      </c>
      <c r="AJ77" s="14">
        <f>AI77*VLOOKUP('Données projet'!$B$10,Paramètres!$A$1:$I$89,3,0)*VLOOKUP('Données projet'!$B$10,Paramètres!$A$1:$I$89,5,0)</f>
        <v>287.63799999999969</v>
      </c>
      <c r="AK77" s="14">
        <f t="shared" si="89"/>
        <v>68.578600880282522</v>
      </c>
      <c r="AL77" s="22">
        <f t="shared" si="58"/>
        <v>620.4105798664915</v>
      </c>
      <c r="AM77" s="60">
        <f t="shared" si="59"/>
        <v>913.74391319982487</v>
      </c>
      <c r="AN77" s="60">
        <f ca="1">AVERAGE(OFFSET($AM$3,0,0,'Données projet'!$E$10+1,1))-AVERAGE(OFFSET($H$3,0,0,'Données projet'!$E$10+1,1))</f>
        <v>455.43477166687273</v>
      </c>
      <c r="AO77" s="60">
        <f t="shared" si="90"/>
        <v>312.81310692672895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projet'!$B$11,Paramètres!$A$1:$I$89,3,0)*VLOOKUP('Données projet'!$B$11,Paramètres!$A$1:$I$89,5,0)</f>
        <v>241.40063999999992</v>
      </c>
      <c r="BF77" s="14">
        <f t="shared" si="91"/>
        <v>58.740782866262698</v>
      </c>
      <c r="BG77" s="22">
        <f t="shared" si="61"/>
        <v>522.74631149207403</v>
      </c>
      <c r="BH77" s="60">
        <f t="shared" si="62"/>
        <v>816.07964482540729</v>
      </c>
      <c r="BI77" s="60">
        <f ca="1">AVERAGE(OFFSET($BH$3,0,0,'Données projet'!$E$11+1,1))-AVERAGE(OFFSET($H$3,0,0,'Données projet'!$E$11+1,1))</f>
        <v>430.11660085503223</v>
      </c>
      <c r="BJ77" s="60">
        <f t="shared" si="92"/>
        <v>231.36959598460686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266.7999999999999</v>
      </c>
      <c r="BZ77" s="14">
        <f>BY77*VLOOKUP('Données projet'!$B$12,Paramètres!$A$1:$I$89,3,0)*VLOOKUP('Données projet'!$B$12,Paramètres!$A$1:$I$89,5,0)</f>
        <v>270.53519999999992</v>
      </c>
      <c r="CA77" s="14">
        <f t="shared" si="93"/>
        <v>64.962839141501405</v>
      </c>
      <c r="CB77" s="22">
        <f t="shared" si="64"/>
        <v>584.32575150478135</v>
      </c>
      <c r="CC77" s="60">
        <f t="shared" si="65"/>
        <v>877.65908483811472</v>
      </c>
      <c r="CD77" s="60">
        <f ca="1">AVERAGE(OFFSET($CC$3,0,0,'Données projet'!$E$12+1,1))-AVERAGE(OFFSET($H$3,0,0,'Données projet'!$E$12+1,1))</f>
        <v>476.8965664931755</v>
      </c>
      <c r="CE77" s="60">
        <f t="shared" si="94"/>
        <v>254.25036207346591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266.7999999999999</v>
      </c>
      <c r="CU77" s="18">
        <f>CT77*VLOOKUP('Données projet'!$B$13,Paramètres!$A$1:$I$89,3,0)*VLOOKUP('Données projet'!$B$13,Paramètres!$A$1:$I$89,5,0)</f>
        <v>258.04895999999991</v>
      </c>
      <c r="CV77" s="14">
        <f t="shared" si="95"/>
        <v>62.306312932555763</v>
      </c>
      <c r="CW77" s="22">
        <f t="shared" si="67"/>
        <v>557.95210035753439</v>
      </c>
      <c r="CX77" s="60">
        <f t="shared" si="68"/>
        <v>851.28543369086765</v>
      </c>
      <c r="CY77" s="60">
        <f ca="1">AVERAGE(OFFSET($CX$3,0,0,'Données projet'!$E$13+1,1))-AVERAGE(OFFSET($H$3,0,0,'Données projet'!$E$13+1,1))</f>
        <v>456.86147223520601</v>
      </c>
      <c r="CZ77" s="60">
        <f t="shared" si="96"/>
        <v>244.45149244446094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3.5897435897435854</v>
      </c>
      <c r="DO77" s="13">
        <f>IF('Données projet'!$A$166&gt;35,DO76+DN77-DW76,IF(A77&lt;'Données projet'!$A$166,$DL$205^A77,IF(A77='Données projet'!$A$166,'Données projet'!$B$166,DO76+DN77-DW76)))</f>
        <v>166.28205128205141</v>
      </c>
      <c r="DP77" s="18">
        <f>DO77*VLOOKUP('Données projet'!$B$14,Paramètres!$A$1:$I$89,3,0)*VLOOKUP('Données projet'!$B$14,Paramètres!$A$1:$I$89,5,0)</f>
        <v>158.23400000000012</v>
      </c>
      <c r="DQ77" s="14">
        <f t="shared" si="97"/>
        <v>40.443932242223461</v>
      </c>
      <c r="DR77" s="22">
        <f t="shared" si="70"/>
        <v>346.0307319885394</v>
      </c>
      <c r="DS77" s="60">
        <f t="shared" si="71"/>
        <v>639.36406532187266</v>
      </c>
      <c r="DT77" s="60">
        <f ca="1">AVERAGE(OFFSET($DS$3,0,0,'Données projet'!$E$14+1,1))-AVERAGE(OFFSET($H$3,0,0,'Données projet'!$E$14+1,1))</f>
        <v>300.36889324671682</v>
      </c>
      <c r="DU77" s="60">
        <f t="shared" si="98"/>
        <v>214.36051699039683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1.8</v>
      </c>
      <c r="EJ77" s="13">
        <f>IF('Données projet'!$A$192&gt;35,EJ76+EI77-ER76,IF(A77&lt;'Données projet'!$A$192,$EG$205^A77,IF(A77='Données projet'!$A$192,'Données projet'!$B$192,EJ76+EI77-ER76)))</f>
        <v>158.19999999999987</v>
      </c>
      <c r="EK77" s="18">
        <f>EJ77*VLOOKUP('Données projet'!$B$15,Paramètres!$A$1:$I$89,3,0)*VLOOKUP('Données projet'!$B$15,Paramètres!$A$1:$I$89,5,0)</f>
        <v>138.20351999999991</v>
      </c>
      <c r="EL77" s="14">
        <f t="shared" si="99"/>
        <v>35.885148322765289</v>
      </c>
      <c r="EM77" s="22">
        <f t="shared" si="73"/>
        <v>303.20443066214938</v>
      </c>
      <c r="EN77" s="60">
        <f t="shared" si="74"/>
        <v>596.53776399548269</v>
      </c>
      <c r="EO77" s="60">
        <f ca="1">AVERAGE(OFFSET($EN$3,0,0,'Données projet'!$E$15+1,1))-AVERAGE(OFFSET($H$3,0,0,'Données projet'!$E$15+1,1))</f>
        <v>202.46844517174412</v>
      </c>
      <c r="EP77" s="60">
        <f t="shared" si="100"/>
        <v>185.00219255324515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4.8717948717948731</v>
      </c>
      <c r="FE77" s="13">
        <f>IF('Données projet'!$A$218&gt;35,FE76+FD77-FM76,IF(A77&lt;'Données projet'!$A$218,$FB$205^A77,IF(A77='Données projet'!$A$218,'Données projet'!$B$218,FE76+FD77-FM76)))</f>
        <v>295.7692307692306</v>
      </c>
      <c r="FF77" s="18">
        <f>FE77*VLOOKUP('Données projet'!$B$16,Paramètres!$A$1:$I$89,3,0)*VLOOKUP('Données projet'!$B$16,Paramètres!$A$1:$I$89,5,0)</f>
        <v>198.4019999999999</v>
      </c>
      <c r="FG77" s="14">
        <f t="shared" si="101"/>
        <v>49.392811893773114</v>
      </c>
      <c r="FH77" s="22">
        <f t="shared" si="76"/>
        <v>431.57596404832128</v>
      </c>
      <c r="FI77" s="60">
        <f t="shared" si="77"/>
        <v>724.9092973816546</v>
      </c>
      <c r="FJ77" s="60">
        <f ca="1">AVERAGE(OFFSET($FI$3,0,0,'Données projet'!$E$16+1,1))-AVERAGE(OFFSET($H$3,0,0,'Données projet'!$E$16+1,1))</f>
        <v>344.87493856469382</v>
      </c>
      <c r="FK77" s="60">
        <f t="shared" si="102"/>
        <v>261.91036689641402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>
        <f>FZ77*VLOOKUP('Données projet'!$B$17,Paramètres!$A$1:$I$89,3,0)*VLOOKUP('Données projet'!$B$17,Paramètres!$A$1:$I$89,5,0)</f>
        <v>0</v>
      </c>
      <c r="GB77" s="14" t="e">
        <f t="shared" si="103"/>
        <v>#NUM!</v>
      </c>
      <c r="GC77" s="22" t="e">
        <f t="shared" si="79"/>
        <v>#NUM!</v>
      </c>
      <c r="GD77" s="60" t="e">
        <f t="shared" si="80"/>
        <v>#NUM!</v>
      </c>
      <c r="GE77" s="60">
        <f ca="1">AVERAGE(OFFSET($GD$3,0,0,'Données projet'!$E$17+1,1))-AVERAGE(OFFSET($H$3,0,0,'Données projet'!$E$17+1,1))</f>
        <v>268.19959446602911</v>
      </c>
      <c r="GF77" s="60">
        <f t="shared" si="104"/>
        <v>691.2533336811855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60.137488231645918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60.137488231645918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1.1368683772161603E-13</v>
      </c>
      <c r="GV77" s="18">
        <f>GU77*VLOOKUP('Données projet'!$B$18,Paramètres!$A$1:$I$89,3,0)*VLOOKUP('Données projet'!$B$18,Paramètres!$A$1:$I$89,5,0)</f>
        <v>8.8675733422860506E-14</v>
      </c>
      <c r="GW77" s="14">
        <f t="shared" si="105"/>
        <v>1.3509285393066301E-12</v>
      </c>
      <c r="GX77" s="22">
        <f t="shared" si="82"/>
        <v>2.5073107750038623E-12</v>
      </c>
      <c r="GY77" s="60">
        <f t="shared" si="83"/>
        <v>293.33333333333582</v>
      </c>
      <c r="GZ77" s="60">
        <f ca="1">AVERAGE(OFFSET($GY$3,0,0,'Données projet'!$E$18+1,1))-AVERAGE(OFFSET($H$3,0,0,'Données projet'!$E$18+1,1))</f>
        <v>292.57482726862594</v>
      </c>
      <c r="HA77" s="60">
        <f t="shared" si="106"/>
        <v>283.48738729114024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21.2</v>
      </c>
      <c r="N78" s="14">
        <f>IF('Données projet'!$A$36&gt;35,N77+M78-V77,IF(A78&lt;'Données projet'!$A$36,$K$205^A78,IF(A78='Données projet'!$A$36,'Données projet'!$B$36,N77+M78-V77)))</f>
        <v>628.00000000000011</v>
      </c>
      <c r="O78" s="14">
        <f>N78*VLOOKUP('Données projet'!$B$9,Paramètres!$A$1:$I$89,3,0)*VLOOKUP('Données projet'!$B$9,Paramètres!$A$1:$I$89,5,0)</f>
        <v>293.90400000000005</v>
      </c>
      <c r="P78" s="14">
        <f t="shared" si="87"/>
        <v>69.896984831773324</v>
      </c>
      <c r="Q78" s="22">
        <f t="shared" si="54"/>
        <v>633.62004858200532</v>
      </c>
      <c r="R78" s="60">
        <f t="shared" si="55"/>
        <v>926.9533819153387</v>
      </c>
      <c r="S78" s="60">
        <f ca="1">AVERAGE(OFFSET($R$3,0,0,'Données projet'!$E$9+1,1))-AVERAGE(OFFSET($H$3,0,0,'Données projet'!$E$9+1,1))</f>
        <v>399.92909819003523</v>
      </c>
      <c r="T78" s="60">
        <f t="shared" si="88"/>
        <v>163.7053537268381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7.5</v>
      </c>
      <c r="AI78" s="14">
        <f>IF('Données projet'!$A$62&gt;35,AI77+AH78-AQ77,IF(A78&lt;'Données projet'!$A$62,$AF$205^A78,IF(A78='Données projet'!$A$62,'Données projet'!$B$62,AI77+AH78-AQ77)))</f>
        <v>488.49999999999943</v>
      </c>
      <c r="AJ78" s="14">
        <f>AI78*VLOOKUP('Données projet'!$B$10,Paramètres!$A$1:$I$89,3,0)*VLOOKUP('Données projet'!$B$10,Paramètres!$A$1:$I$89,5,0)</f>
        <v>292.12299999999971</v>
      </c>
      <c r="AK78" s="14">
        <f t="shared" si="89"/>
        <v>69.522593264445433</v>
      </c>
      <c r="AL78" s="22">
        <f t="shared" si="58"/>
        <v>629.86607493557528</v>
      </c>
      <c r="AM78" s="60">
        <f t="shared" si="59"/>
        <v>923.19940826890866</v>
      </c>
      <c r="AN78" s="60">
        <f ca="1">AVERAGE(OFFSET($AM$3,0,0,'Données projet'!$E$10+1,1))-AVERAGE(OFFSET($H$3,0,0,'Données projet'!$E$10+1,1))</f>
        <v>455.43477166687273</v>
      </c>
      <c r="AO78" s="60">
        <f t="shared" si="90"/>
        <v>312.81310692672895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projet'!$B$11,Paramètres!$A$1:$I$89,3,0)*VLOOKUP('Données projet'!$B$11,Paramètres!$A$1:$I$89,5,0)</f>
        <v>247.01039999999989</v>
      </c>
      <c r="BF78" s="14">
        <f t="shared" si="91"/>
        <v>59.945315462121812</v>
      </c>
      <c r="BG78" s="22">
        <f t="shared" si="61"/>
        <v>534.61453776319524</v>
      </c>
      <c r="BH78" s="60">
        <f t="shared" si="62"/>
        <v>827.94787109652862</v>
      </c>
      <c r="BI78" s="60">
        <f ca="1">AVERAGE(OFFSET($BH$3,0,0,'Données projet'!$E$11+1,1))-AVERAGE(OFFSET($H$3,0,0,'Données projet'!$E$11+1,1))</f>
        <v>430.11660085503223</v>
      </c>
      <c r="BJ78" s="60">
        <f t="shared" si="92"/>
        <v>231.36959598460686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273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272.99999999999989</v>
      </c>
      <c r="BZ78" s="14">
        <f>BY78*VLOOKUP('Données projet'!$B$12,Paramètres!$A$1:$I$89,3,0)*VLOOKUP('Données projet'!$B$12,Paramètres!$A$1:$I$89,5,0)</f>
        <v>276.82199999999989</v>
      </c>
      <c r="CA78" s="14">
        <f t="shared" si="93"/>
        <v>66.29496059864374</v>
      </c>
      <c r="CB78" s="22">
        <f t="shared" si="64"/>
        <v>597.59537304263756</v>
      </c>
      <c r="CC78" s="60">
        <f t="shared" si="65"/>
        <v>890.92870637597093</v>
      </c>
      <c r="CD78" s="60">
        <f ca="1">AVERAGE(OFFSET($CC$3,0,0,'Données projet'!$E$12+1,1))-AVERAGE(OFFSET($H$3,0,0,'Données projet'!$E$12+1,1))</f>
        <v>476.8965664931755</v>
      </c>
      <c r="CE78" s="60">
        <f t="shared" si="94"/>
        <v>254.25036207346591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42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273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272.99999999999989</v>
      </c>
      <c r="CU78" s="18">
        <f>CT78*VLOOKUP('Données projet'!$B$13,Paramètres!$A$1:$I$89,3,0)*VLOOKUP('Données projet'!$B$13,Paramètres!$A$1:$I$89,5,0)</f>
        <v>264.04559999999992</v>
      </c>
      <c r="CV78" s="14">
        <f t="shared" si="95"/>
        <v>63.58395992997368</v>
      </c>
      <c r="CW78" s="22">
        <f t="shared" si="67"/>
        <v>570.62148354470401</v>
      </c>
      <c r="CX78" s="60">
        <f t="shared" si="68"/>
        <v>863.95481687803726</v>
      </c>
      <c r="CY78" s="60">
        <f ca="1">AVERAGE(OFFSET($CX$3,0,0,'Données projet'!$E$13+1,1))-AVERAGE(OFFSET($H$3,0,0,'Données projet'!$E$13+1,1))</f>
        <v>456.86147223520601</v>
      </c>
      <c r="CZ78" s="60">
        <f t="shared" si="96"/>
        <v>244.45149244446094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169.87179487179486</v>
      </c>
      <c r="DM78" s="13">
        <f>VLOOKUP(A78,'Données projet'!$A$165:$I$185,9,0)</f>
        <v>3.5897435897435854</v>
      </c>
      <c r="DN78" s="13">
        <f t="array" ref="DN78">INDEX(DM:DM,MIN(IF(ISNUMBER(DM78:DM274),ROW(DM78:DM274),"")))</f>
        <v>3.5897435897435854</v>
      </c>
      <c r="DO78" s="13">
        <f>IF('Données projet'!$A$166&gt;35,DO77+DN78-DW77,IF(A78&lt;'Données projet'!$A$166,$DL$205^A78,IF(A78='Données projet'!$A$166,'Données projet'!$B$166,DO77+DN78-DW77)))</f>
        <v>169.871794871795</v>
      </c>
      <c r="DP78" s="18">
        <f>DO78*VLOOKUP('Données projet'!$B$14,Paramètres!$A$1:$I$89,3,0)*VLOOKUP('Données projet'!$B$14,Paramètres!$A$1:$I$89,5,0)</f>
        <v>161.65000000000012</v>
      </c>
      <c r="DQ78" s="14">
        <f t="shared" si="97"/>
        <v>41.214454997903914</v>
      </c>
      <c r="DR78" s="22">
        <f t="shared" si="70"/>
        <v>353.32225912134953</v>
      </c>
      <c r="DS78" s="60">
        <f t="shared" si="71"/>
        <v>646.65559245468285</v>
      </c>
      <c r="DT78" s="60">
        <f ca="1">AVERAGE(OFFSET($DS$3,0,0,'Données projet'!$E$14+1,1))-AVERAGE(OFFSET($H$3,0,0,'Données projet'!$E$14+1,1))</f>
        <v>300.36889324671682</v>
      </c>
      <c r="DU78" s="60">
        <f t="shared" si="98"/>
        <v>214.36051699039683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160</v>
      </c>
      <c r="EH78" s="13">
        <f>VLOOKUP(A78,'Données projet'!$A$191:$I$211,9,0)</f>
        <v>1.8</v>
      </c>
      <c r="EI78" s="13">
        <f t="array" ref="EI78">INDEX(EH:EH,MIN(IF(ISNUMBER(EH78:EH274),ROW(EH78:EH274),"")))</f>
        <v>1.8</v>
      </c>
      <c r="EJ78" s="13">
        <f>IF('Données projet'!$A$192&gt;35,EJ77+EI78-ER77,IF(A78&lt;'Données projet'!$A$192,$EG$205^A78,IF(A78='Données projet'!$A$192,'Données projet'!$B$192,EJ77+EI78-ER77)))</f>
        <v>159.99999999999989</v>
      </c>
      <c r="EK78" s="18">
        <f>EJ78*VLOOKUP('Données projet'!$B$15,Paramètres!$A$1:$I$89,3,0)*VLOOKUP('Données projet'!$B$15,Paramètres!$A$1:$I$89,5,0)</f>
        <v>139.77599999999993</v>
      </c>
      <c r="EL78" s="14">
        <f t="shared" si="99"/>
        <v>36.245685459195258</v>
      </c>
      <c r="EM78" s="22">
        <f t="shared" si="73"/>
        <v>306.57110217476492</v>
      </c>
      <c r="EN78" s="60">
        <f t="shared" si="74"/>
        <v>599.90443550809823</v>
      </c>
      <c r="EO78" s="60">
        <f ca="1">AVERAGE(OFFSET($EN$3,0,0,'Données projet'!$E$15+1,1))-AVERAGE(OFFSET($H$3,0,0,'Données projet'!$E$15+1,1))</f>
        <v>202.46844517174412</v>
      </c>
      <c r="EP78" s="60">
        <f t="shared" si="100"/>
        <v>185.00219255324515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300.64102564102564</v>
      </c>
      <c r="FC78" s="13">
        <f>VLOOKUP(A78,'Données projet'!$A$217:$I$237,9,0)</f>
        <v>4.8717948717948731</v>
      </c>
      <c r="FD78" s="13">
        <f t="array" ref="FD78">INDEX(FC:FC,MIN(IF(ISNUMBER(FC78:FC274),ROW(FC78:FC274),"")))</f>
        <v>4.8717948717948731</v>
      </c>
      <c r="FE78" s="13">
        <f>IF('Données projet'!$A$218&gt;35,FE77+FD78-FM77,IF(A78&lt;'Données projet'!$A$218,$FB$205^A78,IF(A78='Données projet'!$A$218,'Données projet'!$B$218,FE77+FD78-FM77)))</f>
        <v>300.64102564102546</v>
      </c>
      <c r="FF78" s="18">
        <f>FE78*VLOOKUP('Données projet'!$B$16,Paramètres!$A$1:$I$89,3,0)*VLOOKUP('Données projet'!$B$16,Paramètres!$A$1:$I$89,5,0)</f>
        <v>201.66999999999987</v>
      </c>
      <c r="FG78" s="14">
        <f t="shared" si="101"/>
        <v>50.111005372790743</v>
      </c>
      <c r="FH78" s="22">
        <f t="shared" si="76"/>
        <v>438.51858435761028</v>
      </c>
      <c r="FI78" s="60">
        <f t="shared" si="77"/>
        <v>731.85191769094354</v>
      </c>
      <c r="FJ78" s="60">
        <f ca="1">AVERAGE(OFFSET($FI$3,0,0,'Données projet'!$E$16+1,1))-AVERAGE(OFFSET($H$3,0,0,'Données projet'!$E$16+1,1))</f>
        <v>344.87493856469382</v>
      </c>
      <c r="FK78" s="60">
        <f t="shared" si="102"/>
        <v>261.91036689641402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28.846153846153847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>
        <f>FZ78*VLOOKUP('Données projet'!$B$17,Paramètres!$A$1:$I$89,3,0)*VLOOKUP('Données projet'!$B$17,Paramètres!$A$1:$I$89,5,0)</f>
        <v>0</v>
      </c>
      <c r="GB78" s="14" t="e">
        <f t="shared" si="103"/>
        <v>#NUM!</v>
      </c>
      <c r="GC78" s="22" t="e">
        <f t="shared" si="79"/>
        <v>#NUM!</v>
      </c>
      <c r="GD78" s="60" t="e">
        <f t="shared" si="80"/>
        <v>#NUM!</v>
      </c>
      <c r="GE78" s="60">
        <f ca="1">AVERAGE(OFFSET($GD$3,0,0,'Données projet'!$E$17+1,1))-AVERAGE(OFFSET($H$3,0,0,'Données projet'!$E$17+1,1))</f>
        <v>268.19959446602911</v>
      </c>
      <c r="GF78" s="60">
        <f t="shared" si="104"/>
        <v>691.2533336811855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58.95822876766929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58.95822876766929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1.1368683772161603E-13</v>
      </c>
      <c r="GV78" s="18">
        <f>GU78*VLOOKUP('Données projet'!$B$18,Paramètres!$A$1:$I$89,3,0)*VLOOKUP('Données projet'!$B$18,Paramètres!$A$1:$I$89,5,0)</f>
        <v>8.8675733422860506E-14</v>
      </c>
      <c r="GW78" s="14">
        <f t="shared" si="105"/>
        <v>1.3509285393066301E-12</v>
      </c>
      <c r="GX78" s="22">
        <f t="shared" si="82"/>
        <v>2.5073107750038623E-12</v>
      </c>
      <c r="GY78" s="60">
        <f t="shared" si="83"/>
        <v>293.33333333333582</v>
      </c>
      <c r="GZ78" s="60">
        <f ca="1">AVERAGE(OFFSET($GY$3,0,0,'Données projet'!$E$18+1,1))-AVERAGE(OFFSET($H$3,0,0,'Données projet'!$E$18+1,1))</f>
        <v>292.57482726862594</v>
      </c>
      <c r="HA78" s="60">
        <f t="shared" si="106"/>
        <v>283.48738729114024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21.2</v>
      </c>
      <c r="N79" s="14">
        <f>IF('Données projet'!$A$36&gt;35,N78+M79-V78,IF(A79&lt;'Données projet'!$A$36,$K$205^A79,IF(A79='Données projet'!$A$36,'Données projet'!$B$36,N78+M79-V78)))</f>
        <v>649.20000000000016</v>
      </c>
      <c r="O79" s="14">
        <f>N79*VLOOKUP('Données projet'!$B$9,Paramètres!$A$1:$I$89,3,0)*VLOOKUP('Données projet'!$B$9,Paramètres!$A$1:$I$89,5,0)</f>
        <v>303.82560000000007</v>
      </c>
      <c r="P79" s="14">
        <f t="shared" si="87"/>
        <v>71.977863772206462</v>
      </c>
      <c r="Q79" s="22">
        <f t="shared" si="54"/>
        <v>654.52436606992637</v>
      </c>
      <c r="R79" s="60">
        <f t="shared" si="55"/>
        <v>947.85769940325963</v>
      </c>
      <c r="S79" s="60">
        <f ca="1">AVERAGE(OFFSET($R$3,0,0,'Données projet'!$E$9+1,1))-AVERAGE(OFFSET($H$3,0,0,'Données projet'!$E$9+1,1))</f>
        <v>399.92909819003523</v>
      </c>
      <c r="T79" s="60">
        <f t="shared" si="88"/>
        <v>163.7053537268381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7.5</v>
      </c>
      <c r="AI79" s="14">
        <f>IF('Données projet'!$A$62&gt;35,AI78+AH79-AQ78,IF(A79&lt;'Données projet'!$A$62,$AF$205^A79,IF(A79='Données projet'!$A$62,'Données projet'!$B$62,AI78+AH79-AQ78)))</f>
        <v>495.99999999999943</v>
      </c>
      <c r="AJ79" s="14">
        <f>AI79*VLOOKUP('Données projet'!$B$10,Paramètres!$A$1:$I$89,3,0)*VLOOKUP('Données projet'!$B$10,Paramètres!$A$1:$I$89,5,0)</f>
        <v>296.60799999999966</v>
      </c>
      <c r="AK79" s="14">
        <f t="shared" si="89"/>
        <v>70.464900073149266</v>
      </c>
      <c r="AL79" s="22">
        <f t="shared" si="58"/>
        <v>639.31863429406769</v>
      </c>
      <c r="AM79" s="60">
        <f t="shared" si="59"/>
        <v>932.65196762740106</v>
      </c>
      <c r="AN79" s="60">
        <f ca="1">AVERAGE(OFFSET($AM$3,0,0,'Données projet'!$E$10+1,1))-AVERAGE(OFFSET($H$3,0,0,'Données projet'!$E$10+1,1))</f>
        <v>455.43477166687273</v>
      </c>
      <c r="AO79" s="60">
        <f t="shared" si="90"/>
        <v>312.81310692672895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214.43759999999989</v>
      </c>
      <c r="BF79" s="14">
        <f t="shared" si="91"/>
        <v>52.904129603372375</v>
      </c>
      <c r="BG79" s="22">
        <f t="shared" si="61"/>
        <v>465.62017905920658</v>
      </c>
      <c r="BH79" s="60">
        <f t="shared" si="62"/>
        <v>758.95351239253989</v>
      </c>
      <c r="BI79" s="60">
        <f ca="1">AVERAGE(OFFSET($BH$3,0,0,'Données projet'!$E$11+1,1))-AVERAGE(OFFSET($H$3,0,0,'Données projet'!$E$11+1,1))</f>
        <v>430.11660085503223</v>
      </c>
      <c r="BJ79" s="60">
        <f t="shared" si="92"/>
        <v>231.36959598460686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projet'!$B$12,Paramètres!$A$1:$I$89,3,0)*VLOOKUP('Données projet'!$B$12,Paramètres!$A$1:$I$89,5,0)</f>
        <v>240.3179999999999</v>
      </c>
      <c r="CA79" s="14">
        <f t="shared" si="93"/>
        <v>58.507944457766484</v>
      </c>
      <c r="CB79" s="22">
        <f t="shared" si="64"/>
        <v>520.45518659727634</v>
      </c>
      <c r="CC79" s="60">
        <f t="shared" si="65"/>
        <v>813.78851993060971</v>
      </c>
      <c r="CD79" s="60">
        <f ca="1">AVERAGE(OFFSET($CC$3,0,0,'Données projet'!$E$12+1,1))-AVERAGE(OFFSET($H$3,0,0,'Données projet'!$E$12+1,1))</f>
        <v>476.8965664931755</v>
      </c>
      <c r="CE79" s="60">
        <f t="shared" si="94"/>
        <v>254.25036207346591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236.99999999999989</v>
      </c>
      <c r="CU79" s="18">
        <f>CT79*VLOOKUP('Données projet'!$B$13,Paramètres!$A$1:$I$89,3,0)*VLOOKUP('Données projet'!$B$13,Paramètres!$A$1:$I$89,5,0)</f>
        <v>229.22639999999993</v>
      </c>
      <c r="CV79" s="14">
        <f t="shared" si="95"/>
        <v>56.115378339388542</v>
      </c>
      <c r="CW79" s="22">
        <f t="shared" si="67"/>
        <v>496.97026394110162</v>
      </c>
      <c r="CX79" s="60">
        <f t="shared" si="68"/>
        <v>790.30359727443488</v>
      </c>
      <c r="CY79" s="60">
        <f ca="1">AVERAGE(OFFSET($CX$3,0,0,'Données projet'!$E$13+1,1))-AVERAGE(OFFSET($H$3,0,0,'Données projet'!$E$13+1,1))</f>
        <v>456.86147223520601</v>
      </c>
      <c r="CZ79" s="60">
        <f t="shared" si="96"/>
        <v>244.45149244446094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3.4615384615384643</v>
      </c>
      <c r="DO79" s="13">
        <f>IF('Données projet'!$A$166&gt;35,DO78+DN79-DW78,IF(A79&lt;'Données projet'!$A$166,$DL$205^A79,IF(A79='Données projet'!$A$166,'Données projet'!$B$166,DO78+DN79-DW78)))</f>
        <v>173.33333333333346</v>
      </c>
      <c r="DP79" s="18">
        <f>DO79*VLOOKUP('Données projet'!$B$14,Paramètres!$A$1:$I$89,3,0)*VLOOKUP('Données projet'!$B$14,Paramètres!$A$1:$I$89,5,0)</f>
        <v>164.94400000000013</v>
      </c>
      <c r="DQ79" s="14">
        <f t="shared" si="97"/>
        <v>41.955665664568855</v>
      </c>
      <c r="DR79" s="22">
        <f t="shared" si="70"/>
        <v>360.35025103245766</v>
      </c>
      <c r="DS79" s="60">
        <f t="shared" si="71"/>
        <v>653.68358436579092</v>
      </c>
      <c r="DT79" s="60">
        <f ca="1">AVERAGE(OFFSET($DS$3,0,0,'Données projet'!$E$14+1,1))-AVERAGE(OFFSET($H$3,0,0,'Données projet'!$E$14+1,1))</f>
        <v>300.36889324671682</v>
      </c>
      <c r="DU79" s="60">
        <f t="shared" si="98"/>
        <v>214.36051699039683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1.8</v>
      </c>
      <c r="EJ79" s="13">
        <f>IF('Données projet'!$A$192&gt;35,EJ78+EI79-ER78,IF(A79&lt;'Données projet'!$A$192,$EG$205^A79,IF(A79='Données projet'!$A$192,'Données projet'!$B$192,EJ78+EI79-ER78)))</f>
        <v>161.7999999999999</v>
      </c>
      <c r="EK79" s="18">
        <f>EJ79*VLOOKUP('Données projet'!$B$15,Paramètres!$A$1:$I$89,3,0)*VLOOKUP('Données projet'!$B$15,Paramètres!$A$1:$I$89,5,0)</f>
        <v>141.34847999999991</v>
      </c>
      <c r="EL79" s="14">
        <f t="shared" si="99"/>
        <v>36.605750770707772</v>
      </c>
      <c r="EM79" s="22">
        <f t="shared" si="73"/>
        <v>309.93695192564923</v>
      </c>
      <c r="EN79" s="60">
        <f t="shared" si="74"/>
        <v>603.27028525898254</v>
      </c>
      <c r="EO79" s="60">
        <f ca="1">AVERAGE(OFFSET($EN$3,0,0,'Données projet'!$E$15+1,1))-AVERAGE(OFFSET($H$3,0,0,'Données projet'!$E$15+1,1))</f>
        <v>202.46844517174412</v>
      </c>
      <c r="EP79" s="60">
        <f t="shared" si="100"/>
        <v>185.00219255324515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4.4871794871794917</v>
      </c>
      <c r="FE79" s="13">
        <f>IF('Données projet'!$A$218&gt;35,FE78+FD79-FM78,IF(A79&lt;'Données projet'!$A$218,$FB$205^A79,IF(A79='Données projet'!$A$218,'Données projet'!$B$218,FE78+FD79-FM78)))</f>
        <v>276.2820512820511</v>
      </c>
      <c r="FF79" s="18">
        <f>FE79*VLOOKUP('Données projet'!$B$16,Paramètres!$A$1:$I$89,3,0)*VLOOKUP('Données projet'!$B$16,Paramètres!$A$1:$I$89,5,0)</f>
        <v>185.32999999999987</v>
      </c>
      <c r="FG79" s="14">
        <f t="shared" si="101"/>
        <v>46.505991525491268</v>
      </c>
      <c r="FH79" s="22">
        <f t="shared" si="76"/>
        <v>403.7810185735637</v>
      </c>
      <c r="FI79" s="60">
        <f t="shared" si="77"/>
        <v>697.11435190689701</v>
      </c>
      <c r="FJ79" s="60">
        <f ca="1">AVERAGE(OFFSET($FI$3,0,0,'Données projet'!$E$16+1,1))-AVERAGE(OFFSET($H$3,0,0,'Données projet'!$E$16+1,1))</f>
        <v>344.87493856469382</v>
      </c>
      <c r="FK79" s="60">
        <f t="shared" si="102"/>
        <v>261.91036689641402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>
        <f>FZ79*VLOOKUP('Données projet'!$B$17,Paramètres!$A$1:$I$89,3,0)*VLOOKUP('Données projet'!$B$17,Paramètres!$A$1:$I$89,5,0)</f>
        <v>0</v>
      </c>
      <c r="GB79" s="14" t="e">
        <f t="shared" si="103"/>
        <v>#NUM!</v>
      </c>
      <c r="GC79" s="22" t="e">
        <f t="shared" si="79"/>
        <v>#NUM!</v>
      </c>
      <c r="GD79" s="60" t="e">
        <f t="shared" si="80"/>
        <v>#NUM!</v>
      </c>
      <c r="GE79" s="60">
        <f ca="1">AVERAGE(OFFSET($GD$3,0,0,'Données projet'!$E$17+1,1))-AVERAGE(OFFSET($H$3,0,0,'Données projet'!$E$17+1,1))</f>
        <v>268.19959446602911</v>
      </c>
      <c r="GF79" s="60">
        <f t="shared" si="104"/>
        <v>691.2533336811855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57.802093862503995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57.802093862503995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1.1368683772161603E-13</v>
      </c>
      <c r="GV79" s="18">
        <f>GU79*VLOOKUP('Données projet'!$B$18,Paramètres!$A$1:$I$89,3,0)*VLOOKUP('Données projet'!$B$18,Paramètres!$A$1:$I$89,5,0)</f>
        <v>8.8675733422860506E-14</v>
      </c>
      <c r="GW79" s="14">
        <f t="shared" si="105"/>
        <v>1.3509285393066301E-12</v>
      </c>
      <c r="GX79" s="22">
        <f t="shared" si="82"/>
        <v>2.5073107750038623E-12</v>
      </c>
      <c r="GY79" s="60">
        <f t="shared" si="83"/>
        <v>293.33333333333582</v>
      </c>
      <c r="GZ79" s="60">
        <f ca="1">AVERAGE(OFFSET($GY$3,0,0,'Données projet'!$E$18+1,1))-AVERAGE(OFFSET($H$3,0,0,'Données projet'!$E$18+1,1))</f>
        <v>292.57482726862594</v>
      </c>
      <c r="HA79" s="60">
        <f t="shared" si="106"/>
        <v>283.48738729114024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21.2</v>
      </c>
      <c r="N80" s="14">
        <f>IF('Données projet'!$A$36&gt;35,N79+M80-V79,IF(A80&lt;'Données projet'!$A$36,$K$205^A80,IF(A80='Données projet'!$A$36,'Données projet'!$B$36,N79+M80-V79)))</f>
        <v>670.4000000000002</v>
      </c>
      <c r="O80" s="14">
        <f>N80*VLOOKUP('Données projet'!$B$9,Paramètres!$A$1:$I$89,3,0)*VLOOKUP('Données projet'!$B$9,Paramètres!$A$1:$I$89,5,0)</f>
        <v>313.74720000000008</v>
      </c>
      <c r="P80" s="14">
        <f t="shared" si="87"/>
        <v>74.050846595914663</v>
      </c>
      <c r="Q80" s="22">
        <f t="shared" si="54"/>
        <v>675.41493115455148</v>
      </c>
      <c r="R80" s="60">
        <f t="shared" si="55"/>
        <v>968.74826448788485</v>
      </c>
      <c r="S80" s="60">
        <f ca="1">AVERAGE(OFFSET($R$3,0,0,'Données projet'!$E$9+1,1))-AVERAGE(OFFSET($H$3,0,0,'Données projet'!$E$9+1,1))</f>
        <v>399.92909819003523</v>
      </c>
      <c r="T80" s="60">
        <f t="shared" si="88"/>
        <v>163.7053537268381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7.5</v>
      </c>
      <c r="AI80" s="14">
        <f>IF('Données projet'!$A$62&gt;35,AI79+AH80-AQ79,IF(A80&lt;'Données projet'!$A$62,$AF$205^A80,IF(A80='Données projet'!$A$62,'Données projet'!$B$62,AI79+AH80-AQ79)))</f>
        <v>503.49999999999943</v>
      </c>
      <c r="AJ80" s="14">
        <f>AI80*VLOOKUP('Données projet'!$B$10,Paramètres!$A$1:$I$89,3,0)*VLOOKUP('Données projet'!$B$10,Paramètres!$A$1:$I$89,5,0)</f>
        <v>301.09299999999968</v>
      </c>
      <c r="AK80" s="14">
        <f t="shared" si="89"/>
        <v>71.405549737830583</v>
      </c>
      <c r="AL80" s="22">
        <f t="shared" si="58"/>
        <v>648.76830746005442</v>
      </c>
      <c r="AM80" s="60">
        <f t="shared" si="59"/>
        <v>942.10164079338779</v>
      </c>
      <c r="AN80" s="60">
        <f ca="1">AVERAGE(OFFSET($AM$3,0,0,'Données projet'!$E$10+1,1))-AVERAGE(OFFSET($H$3,0,0,'Données projet'!$E$10+1,1))</f>
        <v>455.43477166687273</v>
      </c>
      <c r="AO80" s="60">
        <f t="shared" si="90"/>
        <v>312.81310692672895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219.86639999999989</v>
      </c>
      <c r="BF80" s="14">
        <f t="shared" si="91"/>
        <v>54.085847394182416</v>
      </c>
      <c r="BG80" s="22">
        <f t="shared" si="61"/>
        <v>477.13349754486745</v>
      </c>
      <c r="BH80" s="60">
        <f t="shared" si="62"/>
        <v>770.46683087820077</v>
      </c>
      <c r="BI80" s="60">
        <f ca="1">AVERAGE(OFFSET($BH$3,0,0,'Données projet'!$E$11+1,1))-AVERAGE(OFFSET($H$3,0,0,'Données projet'!$E$11+1,1))</f>
        <v>430.11660085503223</v>
      </c>
      <c r="BJ80" s="60">
        <f t="shared" si="92"/>
        <v>231.36959598460686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projet'!$B$12,Paramètres!$A$1:$I$89,3,0)*VLOOKUP('Données projet'!$B$12,Paramètres!$A$1:$I$89,5,0)</f>
        <v>246.4019999999999</v>
      </c>
      <c r="CA80" s="14">
        <f t="shared" si="93"/>
        <v>59.814834475385474</v>
      </c>
      <c r="CB80" s="22">
        <f t="shared" si="64"/>
        <v>533.32765337796286</v>
      </c>
      <c r="CC80" s="60">
        <f t="shared" si="65"/>
        <v>826.66098671129612</v>
      </c>
      <c r="CD80" s="60">
        <f ca="1">AVERAGE(OFFSET($CC$3,0,0,'Données projet'!$E$12+1,1))-AVERAGE(OFFSET($H$3,0,0,'Données projet'!$E$12+1,1))</f>
        <v>476.8965664931755</v>
      </c>
      <c r="CE80" s="60">
        <f t="shared" si="94"/>
        <v>254.25036207346591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242.99999999999989</v>
      </c>
      <c r="CU80" s="18">
        <f>CT80*VLOOKUP('Données projet'!$B$13,Paramètres!$A$1:$I$89,3,0)*VLOOKUP('Données projet'!$B$13,Paramètres!$A$1:$I$89,5,0)</f>
        <v>235.0295999999999</v>
      </c>
      <c r="CV80" s="14">
        <f t="shared" si="95"/>
        <v>57.368825686861157</v>
      </c>
      <c r="CW80" s="22">
        <f t="shared" si="67"/>
        <v>509.26059140461626</v>
      </c>
      <c r="CX80" s="60">
        <f t="shared" si="68"/>
        <v>802.59392473794958</v>
      </c>
      <c r="CY80" s="60">
        <f ca="1">AVERAGE(OFFSET($CX$3,0,0,'Données projet'!$E$13+1,1))-AVERAGE(OFFSET($H$3,0,0,'Données projet'!$E$13+1,1))</f>
        <v>456.86147223520601</v>
      </c>
      <c r="CZ80" s="60">
        <f t="shared" si="96"/>
        <v>244.45149244446094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3.4615384615384643</v>
      </c>
      <c r="DO80" s="13">
        <f>IF('Données projet'!$A$166&gt;35,DO79+DN80-DW79,IF(A80&lt;'Données projet'!$A$166,$DL$205^A80,IF(A80='Données projet'!$A$166,'Données projet'!$B$166,DO79+DN80-DW79)))</f>
        <v>176.79487179487191</v>
      </c>
      <c r="DP80" s="18">
        <f>DO80*VLOOKUP('Données projet'!$B$14,Paramètres!$A$1:$I$89,3,0)*VLOOKUP('Données projet'!$B$14,Paramètres!$A$1:$I$89,5,0)</f>
        <v>168.23800000000011</v>
      </c>
      <c r="DQ80" s="14">
        <f t="shared" si="97"/>
        <v>42.695155225481031</v>
      </c>
      <c r="DR80" s="22">
        <f t="shared" si="70"/>
        <v>367.37524535104626</v>
      </c>
      <c r="DS80" s="60">
        <f t="shared" si="71"/>
        <v>660.70857868437952</v>
      </c>
      <c r="DT80" s="60">
        <f ca="1">AVERAGE(OFFSET($DS$3,0,0,'Données projet'!$E$14+1,1))-AVERAGE(OFFSET($H$3,0,0,'Données projet'!$E$14+1,1))</f>
        <v>300.36889324671682</v>
      </c>
      <c r="DU80" s="60">
        <f t="shared" si="98"/>
        <v>214.36051699039683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1.8</v>
      </c>
      <c r="EJ80" s="13">
        <f>IF('Données projet'!$A$192&gt;35,EJ79+EI80-ER79,IF(A80&lt;'Données projet'!$A$192,$EG$205^A80,IF(A80='Données projet'!$A$192,'Données projet'!$B$192,EJ79+EI80-ER79)))</f>
        <v>163.59999999999991</v>
      </c>
      <c r="EK80" s="18">
        <f>EJ80*VLOOKUP('Données projet'!$B$15,Paramètres!$A$1:$I$89,3,0)*VLOOKUP('Données projet'!$B$15,Paramètres!$A$1:$I$89,5,0)</f>
        <v>142.92095999999995</v>
      </c>
      <c r="EL80" s="14">
        <f t="shared" si="99"/>
        <v>36.965350113713654</v>
      </c>
      <c r="EM80" s="22">
        <f t="shared" si="73"/>
        <v>313.30199011471785</v>
      </c>
      <c r="EN80" s="60">
        <f t="shared" si="74"/>
        <v>606.63532344805117</v>
      </c>
      <c r="EO80" s="60">
        <f ca="1">AVERAGE(OFFSET($EN$3,0,0,'Données projet'!$E$15+1,1))-AVERAGE(OFFSET($H$3,0,0,'Données projet'!$E$15+1,1))</f>
        <v>202.46844517174412</v>
      </c>
      <c r="EP80" s="60">
        <f t="shared" si="100"/>
        <v>185.00219255324515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4.4871794871794917</v>
      </c>
      <c r="FE80" s="13">
        <f>IF('Données projet'!$A$218&gt;35,FE79+FD80-FM79,IF(A80&lt;'Données projet'!$A$218,$FB$205^A80,IF(A80='Données projet'!$A$218,'Données projet'!$B$218,FE79+FD80-FM79)))</f>
        <v>280.7692307692306</v>
      </c>
      <c r="FF80" s="18">
        <f>FE80*VLOOKUP('Données projet'!$B$16,Paramètres!$A$1:$I$89,3,0)*VLOOKUP('Données projet'!$B$16,Paramètres!$A$1:$I$89,5,0)</f>
        <v>188.33999999999989</v>
      </c>
      <c r="FG80" s="14">
        <f t="shared" si="101"/>
        <v>47.172763195766144</v>
      </c>
      <c r="FH80" s="22">
        <f t="shared" si="76"/>
        <v>410.18472923262584</v>
      </c>
      <c r="FI80" s="60">
        <f t="shared" si="77"/>
        <v>703.5180625659591</v>
      </c>
      <c r="FJ80" s="60">
        <f ca="1">AVERAGE(OFFSET($FI$3,0,0,'Données projet'!$E$16+1,1))-AVERAGE(OFFSET($H$3,0,0,'Données projet'!$E$16+1,1))</f>
        <v>344.87493856469382</v>
      </c>
      <c r="FK80" s="60">
        <f t="shared" si="102"/>
        <v>261.91036689641402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>
        <f>FZ80*VLOOKUP('Données projet'!$B$17,Paramètres!$A$1:$I$89,3,0)*VLOOKUP('Données projet'!$B$17,Paramètres!$A$1:$I$89,5,0)</f>
        <v>0</v>
      </c>
      <c r="GB80" s="14" t="e">
        <f t="shared" si="103"/>
        <v>#NUM!</v>
      </c>
      <c r="GC80" s="22" t="e">
        <f t="shared" si="79"/>
        <v>#NUM!</v>
      </c>
      <c r="GD80" s="60" t="e">
        <f t="shared" si="80"/>
        <v>#NUM!</v>
      </c>
      <c r="GE80" s="60">
        <f ca="1">AVERAGE(OFFSET($GD$3,0,0,'Données projet'!$E$17+1,1))-AVERAGE(OFFSET($H$3,0,0,'Données projet'!$E$17+1,1))</f>
        <v>268.19959446602911</v>
      </c>
      <c r="GF80" s="60">
        <f t="shared" si="104"/>
        <v>691.2533336811855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56.66863005765633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56.66863005765633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1.1368683772161603E-13</v>
      </c>
      <c r="GV80" s="18">
        <f>GU80*VLOOKUP('Données projet'!$B$18,Paramètres!$A$1:$I$89,3,0)*VLOOKUP('Données projet'!$B$18,Paramètres!$A$1:$I$89,5,0)</f>
        <v>8.8675733422860506E-14</v>
      </c>
      <c r="GW80" s="14">
        <f t="shared" si="105"/>
        <v>1.3509285393066301E-12</v>
      </c>
      <c r="GX80" s="22">
        <f t="shared" si="82"/>
        <v>2.5073107750038623E-12</v>
      </c>
      <c r="GY80" s="60">
        <f t="shared" si="83"/>
        <v>293.33333333333582</v>
      </c>
      <c r="GZ80" s="60">
        <f ca="1">AVERAGE(OFFSET($GY$3,0,0,'Données projet'!$E$18+1,1))-AVERAGE(OFFSET($H$3,0,0,'Données projet'!$E$18+1,1))</f>
        <v>292.57482726862594</v>
      </c>
      <c r="HA80" s="60">
        <f t="shared" si="106"/>
        <v>283.48738729114024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21.2</v>
      </c>
      <c r="N81" s="14">
        <f>IF('Données projet'!$A$36&gt;35,N80+M81-V80,IF(A81&lt;'Données projet'!$A$36,$K$205^A81,IF(A81='Données projet'!$A$36,'Données projet'!$B$36,N80+M81-V80)))</f>
        <v>691.60000000000025</v>
      </c>
      <c r="O81" s="14">
        <f>N81*VLOOKUP('Données projet'!$B$9,Paramètres!$A$1:$I$89,3,0)*VLOOKUP('Données projet'!$B$9,Paramètres!$A$1:$I$89,5,0)</f>
        <v>323.66880000000015</v>
      </c>
      <c r="P81" s="14">
        <f t="shared" si="87"/>
        <v>76.11621164769852</v>
      </c>
      <c r="Q81" s="22">
        <f t="shared" si="54"/>
        <v>696.29222861974176</v>
      </c>
      <c r="R81" s="60">
        <f t="shared" si="55"/>
        <v>989.62556195307502</v>
      </c>
      <c r="S81" s="60">
        <f ca="1">AVERAGE(OFFSET($R$3,0,0,'Données projet'!$E$9+1,1))-AVERAGE(OFFSET($H$3,0,0,'Données projet'!$E$9+1,1))</f>
        <v>399.92909819003523</v>
      </c>
      <c r="T81" s="60">
        <f t="shared" si="88"/>
        <v>163.7053537268381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7.5</v>
      </c>
      <c r="AI81" s="14">
        <f>IF('Données projet'!$A$62&gt;35,AI80+AH81-AQ80,IF(A81&lt;'Données projet'!$A$62,$AF$205^A81,IF(A81='Données projet'!$A$62,'Données projet'!$B$62,AI80+AH81-AQ80)))</f>
        <v>510.99999999999943</v>
      </c>
      <c r="AJ81" s="14">
        <f>AI81*VLOOKUP('Données projet'!$B$10,Paramètres!$A$1:$I$89,3,0)*VLOOKUP('Données projet'!$B$10,Paramètres!$A$1:$I$89,5,0)</f>
        <v>305.57799999999969</v>
      </c>
      <c r="AK81" s="14">
        <f t="shared" si="89"/>
        <v>72.344569794292994</v>
      </c>
      <c r="AL81" s="22">
        <f t="shared" si="58"/>
        <v>658.21514239172643</v>
      </c>
      <c r="AM81" s="60">
        <f t="shared" si="59"/>
        <v>951.54847572505969</v>
      </c>
      <c r="AN81" s="60">
        <f ca="1">AVERAGE(OFFSET($AM$3,0,0,'Données projet'!$E$10+1,1))-AVERAGE(OFFSET($H$3,0,0,'Données projet'!$E$10+1,1))</f>
        <v>455.43477166687273</v>
      </c>
      <c r="AO81" s="60">
        <f t="shared" si="90"/>
        <v>312.81310692672895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225.29519999999991</v>
      </c>
      <c r="BF81" s="14">
        <f t="shared" si="91"/>
        <v>55.264173352293078</v>
      </c>
      <c r="BG81" s="22">
        <f t="shared" si="61"/>
        <v>488.64090858857691</v>
      </c>
      <c r="BH81" s="60">
        <f t="shared" si="62"/>
        <v>781.97424192191022</v>
      </c>
      <c r="BI81" s="60">
        <f ca="1">AVERAGE(OFFSET($BH$3,0,0,'Données projet'!$E$11+1,1))-AVERAGE(OFFSET($H$3,0,0,'Données projet'!$E$11+1,1))</f>
        <v>430.11660085503223</v>
      </c>
      <c r="BJ81" s="60">
        <f t="shared" si="92"/>
        <v>231.36959598460686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projet'!$B$12,Paramètres!$A$1:$I$89,3,0)*VLOOKUP('Données projet'!$B$12,Paramètres!$A$1:$I$89,5,0)</f>
        <v>252.4859999999999</v>
      </c>
      <c r="CA81" s="14">
        <f t="shared" si="93"/>
        <v>61.117973383957384</v>
      </c>
      <c r="CB81" s="22">
        <f t="shared" si="64"/>
        <v>546.193586977059</v>
      </c>
      <c r="CC81" s="60">
        <f t="shared" si="65"/>
        <v>839.52692031039237</v>
      </c>
      <c r="CD81" s="60">
        <f ca="1">AVERAGE(OFFSET($CC$3,0,0,'Données projet'!$E$12+1,1))-AVERAGE(OFFSET($H$3,0,0,'Données projet'!$E$12+1,1))</f>
        <v>476.8965664931755</v>
      </c>
      <c r="CE81" s="60">
        <f t="shared" si="94"/>
        <v>254.25036207346591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248.99999999999989</v>
      </c>
      <c r="CU81" s="18">
        <f>CT81*VLOOKUP('Données projet'!$B$13,Paramètres!$A$1:$I$89,3,0)*VLOOKUP('Données projet'!$B$13,Paramètres!$A$1:$I$89,5,0)</f>
        <v>240.83279999999991</v>
      </c>
      <c r="CV81" s="14">
        <f t="shared" si="95"/>
        <v>58.618675319436669</v>
      </c>
      <c r="CW81" s="22">
        <f t="shared" si="67"/>
        <v>521.5446528480187</v>
      </c>
      <c r="CX81" s="60">
        <f t="shared" si="68"/>
        <v>814.87798618135207</v>
      </c>
      <c r="CY81" s="60">
        <f ca="1">AVERAGE(OFFSET($CX$3,0,0,'Données projet'!$E$13+1,1))-AVERAGE(OFFSET($H$3,0,0,'Données projet'!$E$13+1,1))</f>
        <v>456.86147223520601</v>
      </c>
      <c r="CZ81" s="60">
        <f t="shared" si="96"/>
        <v>244.45149244446094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3.4615384615384643</v>
      </c>
      <c r="DO81" s="13">
        <f>IF('Données projet'!$A$166&gt;35,DO80+DN81-DW80,IF(A81&lt;'Données projet'!$A$166,$DL$205^A81,IF(A81='Données projet'!$A$166,'Données projet'!$B$166,DO80+DN81-DW80)))</f>
        <v>180.25641025641036</v>
      </c>
      <c r="DP81" s="18">
        <f>DO81*VLOOKUP('Données projet'!$B$14,Paramètres!$A$1:$I$89,3,0)*VLOOKUP('Données projet'!$B$14,Paramètres!$A$1:$I$89,5,0)</f>
        <v>171.5320000000001</v>
      </c>
      <c r="DQ81" s="14">
        <f t="shared" si="97"/>
        <v>43.432961263349583</v>
      </c>
      <c r="DR81" s="22">
        <f t="shared" si="70"/>
        <v>374.39730753366734</v>
      </c>
      <c r="DS81" s="60">
        <f t="shared" si="71"/>
        <v>667.7306408670006</v>
      </c>
      <c r="DT81" s="60">
        <f ca="1">AVERAGE(OFFSET($DS$3,0,0,'Données projet'!$E$14+1,1))-AVERAGE(OFFSET($H$3,0,0,'Données projet'!$E$14+1,1))</f>
        <v>300.36889324671682</v>
      </c>
      <c r="DU81" s="60">
        <f t="shared" si="98"/>
        <v>214.36051699039683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1.8</v>
      </c>
      <c r="EJ81" s="13">
        <f>IF('Données projet'!$A$192&gt;35,EJ80+EI81-ER80,IF(A81&lt;'Données projet'!$A$192,$EG$205^A81,IF(A81='Données projet'!$A$192,'Données projet'!$B$192,EJ80+EI81-ER80)))</f>
        <v>165.39999999999992</v>
      </c>
      <c r="EK81" s="18">
        <f>EJ81*VLOOKUP('Données projet'!$B$15,Paramètres!$A$1:$I$89,3,0)*VLOOKUP('Données projet'!$B$15,Paramètres!$A$1:$I$89,5,0)</f>
        <v>144.49343999999996</v>
      </c>
      <c r="EL81" s="14">
        <f t="shared" si="99"/>
        <v>37.324489208332842</v>
      </c>
      <c r="EM81" s="22">
        <f t="shared" si="73"/>
        <v>316.66622670451295</v>
      </c>
      <c r="EN81" s="60">
        <f t="shared" si="74"/>
        <v>609.99956003784632</v>
      </c>
      <c r="EO81" s="60">
        <f ca="1">AVERAGE(OFFSET($EN$3,0,0,'Données projet'!$E$15+1,1))-AVERAGE(OFFSET($H$3,0,0,'Données projet'!$E$15+1,1))</f>
        <v>202.46844517174412</v>
      </c>
      <c r="EP81" s="60">
        <f t="shared" si="100"/>
        <v>185.00219255324515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4.4871794871794917</v>
      </c>
      <c r="FE81" s="13">
        <f>IF('Données projet'!$A$218&gt;35,FE80+FD81-FM80,IF(A81&lt;'Données projet'!$A$218,$FB$205^A81,IF(A81='Données projet'!$A$218,'Données projet'!$B$218,FE80+FD81-FM80)))</f>
        <v>285.25641025641011</v>
      </c>
      <c r="FF81" s="18">
        <f>FE81*VLOOKUP('Données projet'!$B$16,Paramètres!$A$1:$I$89,3,0)*VLOOKUP('Données projet'!$B$16,Paramètres!$A$1:$I$89,5,0)</f>
        <v>191.34999999999988</v>
      </c>
      <c r="FG81" s="14">
        <f t="shared" si="101"/>
        <v>47.838295585286282</v>
      </c>
      <c r="FH81" s="22">
        <f t="shared" si="76"/>
        <v>416.58628147770673</v>
      </c>
      <c r="FI81" s="60">
        <f t="shared" si="77"/>
        <v>709.91961481103999</v>
      </c>
      <c r="FJ81" s="60">
        <f ca="1">AVERAGE(OFFSET($FI$3,0,0,'Données projet'!$E$16+1,1))-AVERAGE(OFFSET($H$3,0,0,'Données projet'!$E$16+1,1))</f>
        <v>344.87493856469382</v>
      </c>
      <c r="FK81" s="60">
        <f t="shared" si="102"/>
        <v>261.91036689641402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>
        <f>FZ81*VLOOKUP('Données projet'!$B$17,Paramètres!$A$1:$I$89,3,0)*VLOOKUP('Données projet'!$B$17,Paramètres!$A$1:$I$89,5,0)</f>
        <v>0</v>
      </c>
      <c r="GB81" s="14" t="e">
        <f t="shared" si="103"/>
        <v>#NUM!</v>
      </c>
      <c r="GC81" s="22" t="e">
        <f t="shared" si="79"/>
        <v>#NUM!</v>
      </c>
      <c r="GD81" s="60" t="e">
        <f t="shared" si="80"/>
        <v>#NUM!</v>
      </c>
      <c r="GE81" s="60">
        <f ca="1">AVERAGE(OFFSET($GD$3,0,0,'Données projet'!$E$17+1,1))-AVERAGE(OFFSET($H$3,0,0,'Données projet'!$E$17+1,1))</f>
        <v>268.19959446602911</v>
      </c>
      <c r="GF81" s="60">
        <f t="shared" si="104"/>
        <v>691.2533336811855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55.55739278667707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55.55739278667707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1.1368683772161603E-13</v>
      </c>
      <c r="GV81" s="18">
        <f>GU81*VLOOKUP('Données projet'!$B$18,Paramètres!$A$1:$I$89,3,0)*VLOOKUP('Données projet'!$B$18,Paramètres!$A$1:$I$89,5,0)</f>
        <v>8.8675733422860506E-14</v>
      </c>
      <c r="GW81" s="14">
        <f t="shared" si="105"/>
        <v>1.3509285393066301E-12</v>
      </c>
      <c r="GX81" s="22">
        <f t="shared" si="82"/>
        <v>2.5073107750038623E-12</v>
      </c>
      <c r="GY81" s="60">
        <f t="shared" si="83"/>
        <v>293.33333333333582</v>
      </c>
      <c r="GZ81" s="60">
        <f ca="1">AVERAGE(OFFSET($GY$3,0,0,'Données projet'!$E$18+1,1))-AVERAGE(OFFSET($H$3,0,0,'Données projet'!$E$18+1,1))</f>
        <v>292.57482726862594</v>
      </c>
      <c r="HA81" s="60">
        <f t="shared" si="106"/>
        <v>283.48738729114024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21.2</v>
      </c>
      <c r="N82" s="14">
        <f>IF('Données projet'!$A$36&gt;35,N81+M82-V81,IF(A82&lt;'Données projet'!$A$36,$K$205^A82,IF(A82='Données projet'!$A$36,'Données projet'!$B$36,N81+M82-V81)))</f>
        <v>712.8000000000003</v>
      </c>
      <c r="O82" s="14">
        <f>N82*VLOOKUP('Données projet'!$B$9,Paramètres!$A$1:$I$89,3,0)*VLOOKUP('Données projet'!$B$9,Paramètres!$A$1:$I$89,5,0)</f>
        <v>333.59040000000016</v>
      </c>
      <c r="P82" s="14">
        <f t="shared" si="87"/>
        <v>78.174219238300594</v>
      </c>
      <c r="Q82" s="22">
        <f t="shared" si="54"/>
        <v>717.15671184004043</v>
      </c>
      <c r="R82" s="60">
        <f t="shared" si="55"/>
        <v>1010.4900451733738</v>
      </c>
      <c r="S82" s="60">
        <f ca="1">AVERAGE(OFFSET($R$3,0,0,'Données projet'!$E$9+1,1))-AVERAGE(OFFSET($H$3,0,0,'Données projet'!$E$9+1,1))</f>
        <v>399.92909819003523</v>
      </c>
      <c r="T82" s="60">
        <f t="shared" si="88"/>
        <v>163.7053537268381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7.5</v>
      </c>
      <c r="AI82" s="14">
        <f>IF('Données projet'!$A$62&gt;35,AI81+AH82-AQ81,IF(A82&lt;'Données projet'!$A$62,$AF$205^A82,IF(A82='Données projet'!$A$62,'Données projet'!$B$62,AI81+AH82-AQ81)))</f>
        <v>518.49999999999943</v>
      </c>
      <c r="AJ82" s="14">
        <f>AI82*VLOOKUP('Données projet'!$B$10,Paramètres!$A$1:$I$89,3,0)*VLOOKUP('Données projet'!$B$10,Paramètres!$A$1:$I$89,5,0)</f>
        <v>310.06299999999965</v>
      </c>
      <c r="AK82" s="14">
        <f t="shared" si="89"/>
        <v>73.28198692364505</v>
      </c>
      <c r="AL82" s="22">
        <f t="shared" si="58"/>
        <v>667.65918555868109</v>
      </c>
      <c r="AM82" s="60">
        <f t="shared" si="59"/>
        <v>960.99251889201446</v>
      </c>
      <c r="AN82" s="60">
        <f ca="1">AVERAGE(OFFSET($AM$3,0,0,'Données projet'!$E$10+1,1))-AVERAGE(OFFSET($H$3,0,0,'Données projet'!$E$10+1,1))</f>
        <v>455.43477166687273</v>
      </c>
      <c r="AO82" s="60">
        <f t="shared" si="90"/>
        <v>312.81310692672895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230.72399999999988</v>
      </c>
      <c r="BF82" s="14">
        <f t="shared" si="91"/>
        <v>56.439198612082045</v>
      </c>
      <c r="BG82" s="22">
        <f t="shared" si="61"/>
        <v>500.14257091604264</v>
      </c>
      <c r="BH82" s="60">
        <f t="shared" si="62"/>
        <v>793.47590424937596</v>
      </c>
      <c r="BI82" s="60">
        <f ca="1">AVERAGE(OFFSET($BH$3,0,0,'Données projet'!$E$11+1,1))-AVERAGE(OFFSET($H$3,0,0,'Données projet'!$E$11+1,1))</f>
        <v>430.11660085503223</v>
      </c>
      <c r="BJ82" s="60">
        <f t="shared" si="92"/>
        <v>231.36959598460686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projet'!$B$12,Paramètres!$A$1:$I$89,3,0)*VLOOKUP('Données projet'!$B$12,Paramètres!$A$1:$I$89,5,0)</f>
        <v>258.56999999999994</v>
      </c>
      <c r="CA82" s="14">
        <f t="shared" si="93"/>
        <v>62.417461971173843</v>
      </c>
      <c r="CB82" s="22">
        <f t="shared" si="64"/>
        <v>559.05316293312762</v>
      </c>
      <c r="CC82" s="60">
        <f t="shared" si="65"/>
        <v>852.38649626646088</v>
      </c>
      <c r="CD82" s="60">
        <f ca="1">AVERAGE(OFFSET($CC$3,0,0,'Données projet'!$E$12+1,1))-AVERAGE(OFFSET($H$3,0,0,'Données projet'!$E$12+1,1))</f>
        <v>476.8965664931755</v>
      </c>
      <c r="CE82" s="60">
        <f t="shared" si="94"/>
        <v>254.25036207346591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254.99999999999989</v>
      </c>
      <c r="CU82" s="18">
        <f>CT82*VLOOKUP('Données projet'!$B$13,Paramètres!$A$1:$I$89,3,0)*VLOOKUP('Données projet'!$B$13,Paramètres!$A$1:$I$89,5,0)</f>
        <v>246.63599999999991</v>
      </c>
      <c r="CV82" s="14">
        <f t="shared" si="95"/>
        <v>59.865023903294535</v>
      </c>
      <c r="CW82" s="22">
        <f t="shared" si="67"/>
        <v>533.82261663157112</v>
      </c>
      <c r="CX82" s="60">
        <f t="shared" si="68"/>
        <v>827.15594996490449</v>
      </c>
      <c r="CY82" s="60">
        <f ca="1">AVERAGE(OFFSET($CX$3,0,0,'Données projet'!$E$13+1,1))-AVERAGE(OFFSET($H$3,0,0,'Données projet'!$E$13+1,1))</f>
        <v>456.86147223520601</v>
      </c>
      <c r="CZ82" s="60">
        <f t="shared" si="96"/>
        <v>244.45149244446094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3.4615384615384643</v>
      </c>
      <c r="DO82" s="13">
        <f>IF('Données projet'!$A$166&gt;35,DO81+DN82-DW81,IF(A82&lt;'Données projet'!$A$166,$DL$205^A82,IF(A82='Données projet'!$A$166,'Données projet'!$B$166,DO81+DN82-DW81)))</f>
        <v>183.71794871794881</v>
      </c>
      <c r="DP82" s="18">
        <f>DO82*VLOOKUP('Données projet'!$B$14,Paramètres!$A$1:$I$89,3,0)*VLOOKUP('Données projet'!$B$14,Paramètres!$A$1:$I$89,5,0)</f>
        <v>174.82600000000011</v>
      </c>
      <c r="DQ82" s="14">
        <f t="shared" si="97"/>
        <v>44.169119834868027</v>
      </c>
      <c r="DR82" s="22">
        <f t="shared" si="70"/>
        <v>381.41650037906203</v>
      </c>
      <c r="DS82" s="60">
        <f t="shared" si="71"/>
        <v>674.74983371239534</v>
      </c>
      <c r="DT82" s="60">
        <f ca="1">AVERAGE(OFFSET($DS$3,0,0,'Données projet'!$E$14+1,1))-AVERAGE(OFFSET($H$3,0,0,'Données projet'!$E$14+1,1))</f>
        <v>300.36889324671682</v>
      </c>
      <c r="DU82" s="60">
        <f t="shared" si="98"/>
        <v>214.36051699039683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1.8</v>
      </c>
      <c r="EJ82" s="13">
        <f>IF('Données projet'!$A$192&gt;35,EJ81+EI82-ER81,IF(A82&lt;'Données projet'!$A$192,$EG$205^A82,IF(A82='Données projet'!$A$192,'Données projet'!$B$192,EJ81+EI82-ER81)))</f>
        <v>167.19999999999993</v>
      </c>
      <c r="EK82" s="18">
        <f>EJ82*VLOOKUP('Données projet'!$B$15,Paramètres!$A$1:$I$89,3,0)*VLOOKUP('Données projet'!$B$15,Paramètres!$A$1:$I$89,5,0)</f>
        <v>146.06591999999998</v>
      </c>
      <c r="EL82" s="14">
        <f t="shared" si="99"/>
        <v>37.683173643014399</v>
      </c>
      <c r="EM82" s="22">
        <f t="shared" si="73"/>
        <v>320.02967142824997</v>
      </c>
      <c r="EN82" s="60">
        <f t="shared" si="74"/>
        <v>613.36300476158328</v>
      </c>
      <c r="EO82" s="60">
        <f ca="1">AVERAGE(OFFSET($EN$3,0,0,'Données projet'!$E$15+1,1))-AVERAGE(OFFSET($H$3,0,0,'Données projet'!$E$15+1,1))</f>
        <v>202.46844517174412</v>
      </c>
      <c r="EP82" s="60">
        <f t="shared" si="100"/>
        <v>185.00219255324515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4.4871794871794917</v>
      </c>
      <c r="FE82" s="13">
        <f>IF('Données projet'!$A$218&gt;35,FE81+FD82-FM81,IF(A82&lt;'Données projet'!$A$218,$FB$205^A82,IF(A82='Données projet'!$A$218,'Données projet'!$B$218,FE81+FD82-FM81)))</f>
        <v>289.74358974358961</v>
      </c>
      <c r="FF82" s="18">
        <f>FE82*VLOOKUP('Données projet'!$B$16,Paramètres!$A$1:$I$89,3,0)*VLOOKUP('Données projet'!$B$16,Paramètres!$A$1:$I$89,5,0)</f>
        <v>194.35999999999993</v>
      </c>
      <c r="FG82" s="14">
        <f t="shared" si="101"/>
        <v>48.502610439386629</v>
      </c>
      <c r="FH82" s="22">
        <f t="shared" si="76"/>
        <v>422.98571318193154</v>
      </c>
      <c r="FI82" s="60">
        <f t="shared" si="77"/>
        <v>716.31904651526486</v>
      </c>
      <c r="FJ82" s="60">
        <f ca="1">AVERAGE(OFFSET($FI$3,0,0,'Données projet'!$E$16+1,1))-AVERAGE(OFFSET($H$3,0,0,'Données projet'!$E$16+1,1))</f>
        <v>344.87493856469382</v>
      </c>
      <c r="FK82" s="60">
        <f t="shared" si="102"/>
        <v>261.91036689641402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>
        <f>FZ82*VLOOKUP('Données projet'!$B$17,Paramètres!$A$1:$I$89,3,0)*VLOOKUP('Données projet'!$B$17,Paramètres!$A$1:$I$89,5,0)</f>
        <v>0</v>
      </c>
      <c r="GB82" s="14" t="e">
        <f t="shared" si="103"/>
        <v>#NUM!</v>
      </c>
      <c r="GC82" s="22" t="e">
        <f t="shared" si="79"/>
        <v>#NUM!</v>
      </c>
      <c r="GD82" s="60" t="e">
        <f t="shared" si="80"/>
        <v>#NUM!</v>
      </c>
      <c r="GE82" s="60">
        <f ca="1">AVERAGE(OFFSET($GD$3,0,0,'Données projet'!$E$17+1,1))-AVERAGE(OFFSET($H$3,0,0,'Données projet'!$E$17+1,1))</f>
        <v>268.19959446602911</v>
      </c>
      <c r="GF82" s="60">
        <f t="shared" si="104"/>
        <v>691.2533336811855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54.467946200793904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54.467946200793904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1.1368683772161603E-13</v>
      </c>
      <c r="GV82" s="18">
        <f>GU82*VLOOKUP('Données projet'!$B$18,Paramètres!$A$1:$I$89,3,0)*VLOOKUP('Données projet'!$B$18,Paramètres!$A$1:$I$89,5,0)</f>
        <v>8.8675733422860506E-14</v>
      </c>
      <c r="GW82" s="14">
        <f t="shared" si="105"/>
        <v>1.3509285393066301E-12</v>
      </c>
      <c r="GX82" s="22">
        <f t="shared" si="82"/>
        <v>2.5073107750038623E-12</v>
      </c>
      <c r="GY82" s="60">
        <f t="shared" si="83"/>
        <v>293.33333333333582</v>
      </c>
      <c r="GZ82" s="60">
        <f ca="1">AVERAGE(OFFSET($GY$3,0,0,'Données projet'!$E$18+1,1))-AVERAGE(OFFSET($H$3,0,0,'Données projet'!$E$18+1,1))</f>
        <v>292.57482726862594</v>
      </c>
      <c r="HA82" s="60">
        <f t="shared" si="106"/>
        <v>283.48738729114024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734</v>
      </c>
      <c r="L83" s="13">
        <f>VLOOKUP(A83,'Données projet'!$A$35:$I$55,9,0)</f>
        <v>21.2</v>
      </c>
      <c r="M83" s="13">
        <f t="array" ref="M83">INDEX(L:L,MIN(IF(ISNUMBER(L83:L279),ROW(L83:L279),"")))</f>
        <v>21.2</v>
      </c>
      <c r="N83" s="14">
        <f>IF('Données projet'!$A$36&gt;35,N82+M83-V82,IF(A83&lt;'Données projet'!$A$36,$K$205^A83,IF(A83='Données projet'!$A$36,'Données projet'!$B$36,N82+M83-V82)))</f>
        <v>734.00000000000034</v>
      </c>
      <c r="O83" s="14">
        <f>N83*VLOOKUP('Données projet'!$B$9,Paramètres!$A$1:$I$89,3,0)*VLOOKUP('Données projet'!$B$9,Paramètres!$A$1:$I$89,5,0)</f>
        <v>343.51200000000017</v>
      </c>
      <c r="P83" s="14">
        <f t="shared" si="87"/>
        <v>80.225113314048286</v>
      </c>
      <c r="Q83" s="22">
        <f t="shared" si="54"/>
        <v>738.00880568863431</v>
      </c>
      <c r="R83" s="60">
        <f t="shared" si="55"/>
        <v>1031.3421390219676</v>
      </c>
      <c r="S83" s="60">
        <f ca="1">AVERAGE(OFFSET($R$3,0,0,'Données projet'!$E$9+1,1))-AVERAGE(OFFSET($H$3,0,0,'Données projet'!$E$9+1,1))</f>
        <v>399.92909819003523</v>
      </c>
      <c r="T83" s="60">
        <f t="shared" si="88"/>
        <v>163.7053537268381</v>
      </c>
      <c r="U83" s="16">
        <f>IF(ISNA(VLOOKUP(A83,'Données projet'!$A$35:$I$55,3,0)),0,VLOOKUP(A83,'Données projet'!$A$35:$I$55,3,0))</f>
        <v>5</v>
      </c>
      <c r="V83" s="16">
        <f>IF(ISNA(VLOOKUP(A83,'Données projet'!$A$35:$I$55,4,0)),0,VLOOKUP(A83,'Données projet'!$A$35:$I$55,4,0))</f>
        <v>110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526</v>
      </c>
      <c r="AG83" s="13">
        <f>VLOOKUP(A83,'Données projet'!$A$61:$I$81,9,0)</f>
        <v>7.5</v>
      </c>
      <c r="AH83" s="13">
        <f t="array" ref="AH83">INDEX(AG:AG,MIN(IF(ISNUMBER(AG83:AG279),ROW(AG83:AG279),"")))</f>
        <v>7.5</v>
      </c>
      <c r="AI83" s="14">
        <f>IF('Données projet'!$A$62&gt;35,AI82+AH83-AQ82,IF(A83&lt;'Données projet'!$A$62,$AF$205^A83,IF(A83='Données projet'!$A$62,'Données projet'!$B$62,AI82+AH83-AQ82)))</f>
        <v>525.99999999999943</v>
      </c>
      <c r="AJ83" s="14">
        <f>AI83*VLOOKUP('Données projet'!$B$10,Paramètres!$A$1:$I$89,3,0)*VLOOKUP('Données projet'!$B$10,Paramètres!$A$1:$I$89,5,0)</f>
        <v>314.54799999999966</v>
      </c>
      <c r="AK83" s="14">
        <f t="shared" si="89"/>
        <v>74.217826990800191</v>
      </c>
      <c r="AL83" s="22">
        <f t="shared" si="58"/>
        <v>677.10048200897643</v>
      </c>
      <c r="AM83" s="60">
        <f t="shared" si="59"/>
        <v>970.4338153423098</v>
      </c>
      <c r="AN83" s="60">
        <f ca="1">AVERAGE(OFFSET($AM$3,0,0,'Données projet'!$E$10+1,1))-AVERAGE(OFFSET($H$3,0,0,'Données projet'!$E$10+1,1))</f>
        <v>455.43477166687273</v>
      </c>
      <c r="AO83" s="60">
        <f t="shared" si="90"/>
        <v>312.81310692672895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236.15279999999987</v>
      </c>
      <c r="BF83" s="14">
        <f t="shared" si="91"/>
        <v>57.61100977459931</v>
      </c>
      <c r="BG83" s="22">
        <f t="shared" si="61"/>
        <v>511.63863535742689</v>
      </c>
      <c r="BH83" s="60">
        <f t="shared" si="62"/>
        <v>804.97196869076015</v>
      </c>
      <c r="BI83" s="60">
        <f ca="1">AVERAGE(OFFSET($BH$3,0,0,'Données projet'!$E$11+1,1))-AVERAGE(OFFSET($H$3,0,0,'Données projet'!$E$11+1,1))</f>
        <v>430.11660085503223</v>
      </c>
      <c r="BJ83" s="60">
        <f t="shared" si="92"/>
        <v>231.36959598460686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projet'!$B$12,Paramètres!$A$1:$I$89,3,0)*VLOOKUP('Données projet'!$B$12,Paramètres!$A$1:$I$89,5,0)</f>
        <v>264.65399999999988</v>
      </c>
      <c r="CA83" s="14">
        <f t="shared" si="93"/>
        <v>63.71339601121106</v>
      </c>
      <c r="CB83" s="22">
        <f t="shared" si="64"/>
        <v>571.90654805285897</v>
      </c>
      <c r="CC83" s="60">
        <f t="shared" si="65"/>
        <v>865.23988138619234</v>
      </c>
      <c r="CD83" s="60">
        <f ca="1">AVERAGE(OFFSET($CC$3,0,0,'Données projet'!$E$12+1,1))-AVERAGE(OFFSET($H$3,0,0,'Données projet'!$E$12+1,1))</f>
        <v>476.8965664931755</v>
      </c>
      <c r="CE83" s="60">
        <f t="shared" si="94"/>
        <v>254.25036207346591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261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260.99999999999989</v>
      </c>
      <c r="CU83" s="18">
        <f>CT83*VLOOKUP('Données projet'!$B$13,Paramètres!$A$1:$I$89,3,0)*VLOOKUP('Données projet'!$B$13,Paramètres!$A$1:$I$89,5,0)</f>
        <v>252.43919999999991</v>
      </c>
      <c r="CV83" s="14">
        <f t="shared" si="95"/>
        <v>61.107963296116218</v>
      </c>
      <c r="CW83" s="22">
        <f t="shared" si="67"/>
        <v>546.09464274073559</v>
      </c>
      <c r="CX83" s="60">
        <f t="shared" si="68"/>
        <v>839.42797607406897</v>
      </c>
      <c r="CY83" s="60">
        <f ca="1">AVERAGE(OFFSET($CX$3,0,0,'Données projet'!$E$13+1,1))-AVERAGE(OFFSET($H$3,0,0,'Données projet'!$E$13+1,1))</f>
        <v>456.86147223520601</v>
      </c>
      <c r="CZ83" s="60">
        <f t="shared" si="96"/>
        <v>244.45149244446094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187.17948717948718</v>
      </c>
      <c r="DM83" s="13">
        <f>VLOOKUP(A83,'Données projet'!$A$165:$I$185,9,0)</f>
        <v>3.4615384615384643</v>
      </c>
      <c r="DN83" s="13">
        <f t="array" ref="DN83">INDEX(DM:DM,MIN(IF(ISNUMBER(DM83:DM279),ROW(DM83:DM279),"")))</f>
        <v>3.4615384615384643</v>
      </c>
      <c r="DO83" s="13">
        <f>IF('Données projet'!$A$166&gt;35,DO82+DN83-DW82,IF(A83&lt;'Données projet'!$A$166,$DL$205^A83,IF(A83='Données projet'!$A$166,'Données projet'!$B$166,DO82+DN83-DW82)))</f>
        <v>187.17948717948727</v>
      </c>
      <c r="DP83" s="18">
        <f>DO83*VLOOKUP('Données projet'!$B$14,Paramètres!$A$1:$I$89,3,0)*VLOOKUP('Données projet'!$B$14,Paramètres!$A$1:$I$89,5,0)</f>
        <v>178.12000000000009</v>
      </c>
      <c r="DQ83" s="14">
        <f t="shared" si="97"/>
        <v>44.903665560241663</v>
      </c>
      <c r="DR83" s="22">
        <f t="shared" si="70"/>
        <v>388.4328841840877</v>
      </c>
      <c r="DS83" s="60">
        <f t="shared" si="71"/>
        <v>681.76621751742096</v>
      </c>
      <c r="DT83" s="60">
        <f ca="1">AVERAGE(OFFSET($DS$3,0,0,'Données projet'!$E$14+1,1))-AVERAGE(OFFSET($H$3,0,0,'Données projet'!$E$14+1,1))</f>
        <v>300.36889324671682</v>
      </c>
      <c r="DU83" s="60">
        <f t="shared" si="98"/>
        <v>214.36051699039683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21.794871794871796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169</v>
      </c>
      <c r="EH83" s="13">
        <f>VLOOKUP(A83,'Données projet'!$A$191:$I$211,9,0)</f>
        <v>1.8</v>
      </c>
      <c r="EI83" s="13">
        <f t="array" ref="EI83">INDEX(EH:EH,MIN(IF(ISNUMBER(EH83:EH279),ROW(EH83:EH279),"")))</f>
        <v>1.8</v>
      </c>
      <c r="EJ83" s="13">
        <f>IF('Données projet'!$A$192&gt;35,EJ82+EI83-ER82,IF(A83&lt;'Données projet'!$A$192,$EG$205^A83,IF(A83='Données projet'!$A$192,'Données projet'!$B$192,EJ82+EI83-ER82)))</f>
        <v>168.99999999999994</v>
      </c>
      <c r="EK83" s="18">
        <f>EJ83*VLOOKUP('Données projet'!$B$15,Paramètres!$A$1:$I$89,3,0)*VLOOKUP('Données projet'!$B$15,Paramètres!$A$1:$I$89,5,0)</f>
        <v>147.63839999999996</v>
      </c>
      <c r="EL83" s="14">
        <f t="shared" si="99"/>
        <v>38.041408878951295</v>
      </c>
      <c r="EM83" s="22">
        <f t="shared" si="73"/>
        <v>323.39233379750675</v>
      </c>
      <c r="EN83" s="60">
        <f t="shared" si="74"/>
        <v>616.72566713084007</v>
      </c>
      <c r="EO83" s="60">
        <f ca="1">AVERAGE(OFFSET($EN$3,0,0,'Données projet'!$E$15+1,1))-AVERAGE(OFFSET($H$3,0,0,'Données projet'!$E$15+1,1))</f>
        <v>202.46844517174412</v>
      </c>
      <c r="EP83" s="60">
        <f t="shared" si="100"/>
        <v>185.00219255324515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169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294.23076923076923</v>
      </c>
      <c r="FC83" s="13">
        <f>VLOOKUP(A83,'Données projet'!$A$217:$I$237,9,0)</f>
        <v>4.4871794871794917</v>
      </c>
      <c r="FD83" s="13">
        <f t="array" ref="FD83">INDEX(FC:FC,MIN(IF(ISNUMBER(FC83:FC279),ROW(FC83:FC279),"")))</f>
        <v>4.4871794871794917</v>
      </c>
      <c r="FE83" s="13">
        <f>IF('Données projet'!$A$218&gt;35,FE82+FD83-FM82,IF(A83&lt;'Données projet'!$A$218,$FB$205^A83,IF(A83='Données projet'!$A$218,'Données projet'!$B$218,FE82+FD83-FM82)))</f>
        <v>294.23076923076911</v>
      </c>
      <c r="FF83" s="18">
        <f>FE83*VLOOKUP('Données projet'!$B$16,Paramètres!$A$1:$I$89,3,0)*VLOOKUP('Données projet'!$B$16,Paramètres!$A$1:$I$89,5,0)</f>
        <v>197.36999999999992</v>
      </c>
      <c r="FG83" s="14">
        <f t="shared" si="101"/>
        <v>49.165728791231707</v>
      </c>
      <c r="FH83" s="22">
        <f t="shared" si="76"/>
        <v>429.38306097806168</v>
      </c>
      <c r="FI83" s="60">
        <f t="shared" si="77"/>
        <v>722.71639431139499</v>
      </c>
      <c r="FJ83" s="60">
        <f ca="1">AVERAGE(OFFSET($FI$3,0,0,'Données projet'!$E$16+1,1))-AVERAGE(OFFSET($H$3,0,0,'Données projet'!$E$16+1,1))</f>
        <v>344.87493856469382</v>
      </c>
      <c r="FK83" s="60">
        <f t="shared" si="102"/>
        <v>261.91036689641402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>
        <f>FZ83*VLOOKUP('Données projet'!$B$17,Paramètres!$A$1:$I$89,3,0)*VLOOKUP('Données projet'!$B$17,Paramètres!$A$1:$I$89,5,0)</f>
        <v>0</v>
      </c>
      <c r="GB83" s="14" t="e">
        <f t="shared" si="103"/>
        <v>#NUM!</v>
      </c>
      <c r="GC83" s="22" t="e">
        <f t="shared" si="79"/>
        <v>#NUM!</v>
      </c>
      <c r="GD83" s="60" t="e">
        <f t="shared" si="80"/>
        <v>#NUM!</v>
      </c>
      <c r="GE83" s="60">
        <f ca="1">AVERAGE(OFFSET($GD$3,0,0,'Données projet'!$E$17+1,1))-AVERAGE(OFFSET($H$3,0,0,'Données projet'!$E$17+1,1))</f>
        <v>268.19959446602911</v>
      </c>
      <c r="GF83" s="60">
        <f t="shared" si="104"/>
        <v>691.2533336811855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53.399862997963105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53.399862997963105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1.1368683772161603E-13</v>
      </c>
      <c r="GV83" s="18">
        <f>GU83*VLOOKUP('Données projet'!$B$18,Paramètres!$A$1:$I$89,3,0)*VLOOKUP('Données projet'!$B$18,Paramètres!$A$1:$I$89,5,0)</f>
        <v>8.8675733422860506E-14</v>
      </c>
      <c r="GW83" s="14">
        <f t="shared" si="105"/>
        <v>1.3509285393066301E-12</v>
      </c>
      <c r="GX83" s="22">
        <f t="shared" si="82"/>
        <v>2.5073107750038623E-12</v>
      </c>
      <c r="GY83" s="60">
        <f t="shared" si="83"/>
        <v>293.33333333333582</v>
      </c>
      <c r="GZ83" s="60">
        <f ca="1">AVERAGE(OFFSET($GY$3,0,0,'Données projet'!$E$18+1,1))-AVERAGE(OFFSET($H$3,0,0,'Données projet'!$E$18+1,1))</f>
        <v>292.57482726862594</v>
      </c>
      <c r="HA83" s="60">
        <f t="shared" si="106"/>
        <v>283.48738729114024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17.8</v>
      </c>
      <c r="N84" s="14">
        <f>IF('Données projet'!$A$36&gt;35,N83+M84-V83,IF(A84&lt;'Données projet'!$A$36,$K$205^A84,IF(A84='Données projet'!$A$36,'Données projet'!$B$36,N83+M84-V83)))</f>
        <v>641.8000000000003</v>
      </c>
      <c r="O84" s="14">
        <f>N84*VLOOKUP('Données projet'!$B$9,Paramètres!$A$1:$I$89,3,0)*VLOOKUP('Données projet'!$B$9,Paramètres!$A$1:$I$89,5,0)</f>
        <v>300.36240000000015</v>
      </c>
      <c r="P84" s="14">
        <f t="shared" si="87"/>
        <v>71.252431096700917</v>
      </c>
      <c r="Q84" s="22">
        <f t="shared" si="54"/>
        <v>647.22916416008775</v>
      </c>
      <c r="R84" s="60">
        <f t="shared" si="55"/>
        <v>940.56249749342101</v>
      </c>
      <c r="S84" s="60">
        <f ca="1">AVERAGE(OFFSET($R$3,0,0,'Données projet'!$E$9+1,1))-AVERAGE(OFFSET($H$3,0,0,'Données projet'!$E$9+1,1))</f>
        <v>399.92909819003523</v>
      </c>
      <c r="T84" s="60">
        <f t="shared" si="88"/>
        <v>163.7053537268381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6.6</v>
      </c>
      <c r="AI84" s="14">
        <f>IF('Données projet'!$A$62&gt;35,AI83+AH84-AQ83,IF(A84&lt;'Données projet'!$A$62,$AF$205^A84,IF(A84='Données projet'!$A$62,'Données projet'!$B$62,AI83+AH84-AQ83)))</f>
        <v>532.59999999999945</v>
      </c>
      <c r="AJ84" s="14">
        <f>AI84*VLOOKUP('Données projet'!$B$10,Paramètres!$A$1:$I$89,3,0)*VLOOKUP('Données projet'!$B$10,Paramètres!$A$1:$I$89,5,0)</f>
        <v>318.49479999999971</v>
      </c>
      <c r="AK84" s="14">
        <f t="shared" si="89"/>
        <v>75.040081642259565</v>
      </c>
      <c r="AL84" s="22">
        <f t="shared" si="58"/>
        <v>685.40658552693492</v>
      </c>
      <c r="AM84" s="60">
        <f t="shared" si="59"/>
        <v>978.73991886026829</v>
      </c>
      <c r="AN84" s="60">
        <f ca="1">AVERAGE(OFFSET($AM$3,0,0,'Données projet'!$E$10+1,1))-AVERAGE(OFFSET($H$3,0,0,'Données projet'!$E$10+1,1))</f>
        <v>455.43477166687273</v>
      </c>
      <c r="AO84" s="60">
        <f t="shared" si="90"/>
        <v>312.81310692672895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266.7999999999999</v>
      </c>
      <c r="BE84" s="14">
        <f>BD84*VLOOKUP('Données projet'!$B$11,Paramètres!$A$1:$I$89,3,0)*VLOOKUP('Données projet'!$B$11,Paramètres!$A$1:$I$89,5,0)</f>
        <v>241.40063999999992</v>
      </c>
      <c r="BF84" s="14">
        <f t="shared" si="91"/>
        <v>58.740782866262698</v>
      </c>
      <c r="BG84" s="22">
        <f t="shared" si="61"/>
        <v>522.74631149207403</v>
      </c>
      <c r="BH84" s="60">
        <f t="shared" si="62"/>
        <v>816.07964482540729</v>
      </c>
      <c r="BI84" s="60">
        <f ca="1">AVERAGE(OFFSET($BH$3,0,0,'Données projet'!$E$11+1,1))-AVERAGE(OFFSET($H$3,0,0,'Données projet'!$E$11+1,1))</f>
        <v>430.11660085503223</v>
      </c>
      <c r="BJ84" s="60">
        <f t="shared" si="92"/>
        <v>231.36959598460686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266.7999999999999</v>
      </c>
      <c r="BZ84" s="14">
        <f>BY84*VLOOKUP('Données projet'!$B$12,Paramètres!$A$1:$I$89,3,0)*VLOOKUP('Données projet'!$B$12,Paramètres!$A$1:$I$89,5,0)</f>
        <v>270.53519999999992</v>
      </c>
      <c r="CA84" s="14">
        <f t="shared" si="93"/>
        <v>64.962839141501405</v>
      </c>
      <c r="CB84" s="22">
        <f t="shared" si="64"/>
        <v>584.32575150478135</v>
      </c>
      <c r="CC84" s="60">
        <f t="shared" si="65"/>
        <v>877.65908483811472</v>
      </c>
      <c r="CD84" s="60">
        <f ca="1">AVERAGE(OFFSET($CC$3,0,0,'Données projet'!$E$12+1,1))-AVERAGE(OFFSET($H$3,0,0,'Données projet'!$E$12+1,1))</f>
        <v>476.8965664931755</v>
      </c>
      <c r="CE84" s="60">
        <f t="shared" si="94"/>
        <v>254.25036207346591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5.8</v>
      </c>
      <c r="CT84" s="13">
        <f>IF('Données projet'!$A$140&gt;35,CT83+CS84-DB83,IF(A84&lt;'Données projet'!$A$140,$CQ$205^A84,IF(A84='Données projet'!$A$140,'Données projet'!$B$140,CT83+CS84-DB83)))</f>
        <v>266.7999999999999</v>
      </c>
      <c r="CU84" s="18">
        <f>CT84*VLOOKUP('Données projet'!$B$13,Paramètres!$A$1:$I$89,3,0)*VLOOKUP('Données projet'!$B$13,Paramètres!$A$1:$I$89,5,0)</f>
        <v>258.04895999999991</v>
      </c>
      <c r="CV84" s="14">
        <f t="shared" si="95"/>
        <v>62.306312932555763</v>
      </c>
      <c r="CW84" s="22">
        <f t="shared" si="67"/>
        <v>557.95210035753439</v>
      </c>
      <c r="CX84" s="60">
        <f t="shared" si="68"/>
        <v>851.28543369086765</v>
      </c>
      <c r="CY84" s="60">
        <f ca="1">AVERAGE(OFFSET($CX$3,0,0,'Données projet'!$E$13+1,1))-AVERAGE(OFFSET($H$3,0,0,'Données projet'!$E$13+1,1))</f>
        <v>456.86147223520601</v>
      </c>
      <c r="CZ84" s="60">
        <f t="shared" si="96"/>
        <v>244.45149244446094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3.2051282051282044</v>
      </c>
      <c r="DO84" s="13">
        <f>IF('Données projet'!$A$166&gt;35,DO83+DN84-DW83,IF(A84&lt;'Données projet'!$A$166,$DL$205^A84,IF(A84='Données projet'!$A$166,'Données projet'!$B$166,DO83+DN84-DW83)))</f>
        <v>168.58974358974368</v>
      </c>
      <c r="DP84" s="18">
        <f>DO84*VLOOKUP('Données projet'!$B$14,Paramètres!$A$1:$I$89,3,0)*VLOOKUP('Données projet'!$B$14,Paramètres!$A$1:$I$89,5,0)</f>
        <v>160.43000000000006</v>
      </c>
      <c r="DQ84" s="14">
        <f t="shared" si="97"/>
        <v>40.939487952030774</v>
      </c>
      <c r="DR84" s="22">
        <f t="shared" si="70"/>
        <v>350.718524849787</v>
      </c>
      <c r="DS84" s="60">
        <f t="shared" si="71"/>
        <v>644.05185818312032</v>
      </c>
      <c r="DT84" s="60">
        <f ca="1">AVERAGE(OFFSET($DS$3,0,0,'Données projet'!$E$14+1,1))-AVERAGE(OFFSET($H$3,0,0,'Données projet'!$E$14+1,1))</f>
        <v>300.36889324671682</v>
      </c>
      <c r="DU84" s="60">
        <f t="shared" si="98"/>
        <v>214.36051699039683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-4.9658410716801891E-14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202.46844517174412</v>
      </c>
      <c r="EP84" s="60">
        <f t="shared" si="100"/>
        <v>185.00219255324515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4.4871794871794801</v>
      </c>
      <c r="FE84" s="13">
        <f>IF('Données projet'!$A$218&gt;35,FE83+FD84-FM83,IF(A84&lt;'Données projet'!$A$218,$FB$205^A84,IF(A84='Données projet'!$A$218,'Données projet'!$B$218,FE83+FD84-FM83)))</f>
        <v>298.71794871794862</v>
      </c>
      <c r="FF84" s="18">
        <f>FE84*VLOOKUP('Données projet'!$B$16,Paramètres!$A$1:$I$89,3,0)*VLOOKUP('Données projet'!$B$16,Paramètres!$A$1:$I$89,5,0)</f>
        <v>200.37999999999994</v>
      </c>
      <c r="FG84" s="14">
        <f t="shared" si="101"/>
        <v>49.827670995638123</v>
      </c>
      <c r="FH84" s="22">
        <f t="shared" si="76"/>
        <v>435.77836031740293</v>
      </c>
      <c r="FI84" s="60">
        <f t="shared" si="77"/>
        <v>729.11169365073624</v>
      </c>
      <c r="FJ84" s="60">
        <f ca="1">AVERAGE(OFFSET($FI$3,0,0,'Données projet'!$E$16+1,1))-AVERAGE(OFFSET($H$3,0,0,'Données projet'!$E$16+1,1))</f>
        <v>344.87493856469382</v>
      </c>
      <c r="FK84" s="60">
        <f t="shared" si="102"/>
        <v>261.91036689641402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>
        <f>FZ84*VLOOKUP('Données projet'!$B$17,Paramètres!$A$1:$I$89,3,0)*VLOOKUP('Données projet'!$B$17,Paramètres!$A$1:$I$89,5,0)</f>
        <v>0</v>
      </c>
      <c r="GB84" s="14" t="e">
        <f t="shared" si="103"/>
        <v>#NUM!</v>
      </c>
      <c r="GC84" s="22" t="e">
        <f t="shared" si="79"/>
        <v>#NUM!</v>
      </c>
      <c r="GD84" s="60" t="e">
        <f t="shared" si="80"/>
        <v>#NUM!</v>
      </c>
      <c r="GE84" s="60">
        <f ca="1">AVERAGE(OFFSET($GD$3,0,0,'Données projet'!$E$17+1,1))-AVERAGE(OFFSET($H$3,0,0,'Données projet'!$E$17+1,1))</f>
        <v>268.19959446602911</v>
      </c>
      <c r="GF84" s="60">
        <f t="shared" si="104"/>
        <v>691.2533336811855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52.352724255273387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52.352724255273387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1.1368683772161603E-13</v>
      </c>
      <c r="GV84" s="18">
        <f>GU84*VLOOKUP('Données projet'!$B$18,Paramètres!$A$1:$I$89,3,0)*VLOOKUP('Données projet'!$B$18,Paramètres!$A$1:$I$89,5,0)</f>
        <v>8.8675733422860506E-14</v>
      </c>
      <c r="GW84" s="14">
        <f t="shared" si="105"/>
        <v>1.3509285393066301E-12</v>
      </c>
      <c r="GX84" s="22">
        <f t="shared" si="82"/>
        <v>2.5073107750038623E-12</v>
      </c>
      <c r="GY84" s="60">
        <f t="shared" si="83"/>
        <v>293.33333333333582</v>
      </c>
      <c r="GZ84" s="60">
        <f ca="1">AVERAGE(OFFSET($GY$3,0,0,'Données projet'!$E$18+1,1))-AVERAGE(OFFSET($H$3,0,0,'Données projet'!$E$18+1,1))</f>
        <v>292.57482726862594</v>
      </c>
      <c r="HA84" s="60">
        <f t="shared" si="106"/>
        <v>283.48738729114024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17.8</v>
      </c>
      <c r="N85" s="14">
        <f>IF('Données projet'!$A$36&gt;35,N84+M85-V84,IF(A85&lt;'Données projet'!$A$36,$K$205^A85,IF(A85='Données projet'!$A$36,'Données projet'!$B$36,N84+M85-V84)))</f>
        <v>659.60000000000025</v>
      </c>
      <c r="O85" s="14">
        <f>N85*VLOOKUP('Données projet'!$B$9,Paramètres!$A$1:$I$89,3,0)*VLOOKUP('Données projet'!$B$9,Paramètres!$A$1:$I$89,5,0)</f>
        <v>308.69280000000009</v>
      </c>
      <c r="P85" s="14">
        <f t="shared" si="87"/>
        <v>72.995767680913616</v>
      </c>
      <c r="Q85" s="22">
        <f t="shared" si="54"/>
        <v>664.77425537759143</v>
      </c>
      <c r="R85" s="60">
        <f t="shared" si="55"/>
        <v>958.1075887109248</v>
      </c>
      <c r="S85" s="60">
        <f ca="1">AVERAGE(OFFSET($R$3,0,0,'Données projet'!$E$9+1,1))-AVERAGE(OFFSET($H$3,0,0,'Données projet'!$E$9+1,1))</f>
        <v>399.92909819003523</v>
      </c>
      <c r="T85" s="60">
        <f t="shared" si="88"/>
        <v>163.7053537268381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6.6</v>
      </c>
      <c r="AI85" s="14">
        <f>IF('Données projet'!$A$62&gt;35,AI84+AH85-AQ84,IF(A85&lt;'Données projet'!$A$62,$AF$205^A85,IF(A85='Données projet'!$A$62,'Données projet'!$B$62,AI84+AH85-AQ84)))</f>
        <v>539.19999999999948</v>
      </c>
      <c r="AJ85" s="14">
        <f>AI85*VLOOKUP('Données projet'!$B$10,Paramètres!$A$1:$I$89,3,0)*VLOOKUP('Données projet'!$B$10,Paramètres!$A$1:$I$89,5,0)</f>
        <v>322.44159999999971</v>
      </c>
      <c r="AK85" s="14">
        <f t="shared" si="89"/>
        <v>75.861151069099137</v>
      </c>
      <c r="AL85" s="22">
        <f t="shared" si="58"/>
        <v>693.71062477868054</v>
      </c>
      <c r="AM85" s="60">
        <f t="shared" si="59"/>
        <v>987.0439581120138</v>
      </c>
      <c r="AN85" s="60">
        <f ca="1">AVERAGE(OFFSET($AM$3,0,0,'Données projet'!$E$10+1,1))-AVERAGE(OFFSET($H$3,0,0,'Données projet'!$E$10+1,1))</f>
        <v>455.43477166687273</v>
      </c>
      <c r="AO85" s="60">
        <f t="shared" si="90"/>
        <v>312.81310692672895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272.59999999999991</v>
      </c>
      <c r="BE85" s="14">
        <f>BD85*VLOOKUP('Données projet'!$B$11,Paramètres!$A$1:$I$89,3,0)*VLOOKUP('Données projet'!$B$11,Paramètres!$A$1:$I$89,5,0)</f>
        <v>246.64847999999992</v>
      </c>
      <c r="BF85" s="14">
        <f t="shared" si="91"/>
        <v>59.867700517050096</v>
      </c>
      <c r="BG85" s="22">
        <f t="shared" si="61"/>
        <v>533.84901440052874</v>
      </c>
      <c r="BH85" s="60">
        <f t="shared" si="62"/>
        <v>827.18234773386212</v>
      </c>
      <c r="BI85" s="60">
        <f ca="1">AVERAGE(OFFSET($BH$3,0,0,'Données projet'!$E$11+1,1))-AVERAGE(OFFSET($H$3,0,0,'Données projet'!$E$11+1,1))</f>
        <v>430.11660085503223</v>
      </c>
      <c r="BJ85" s="60">
        <f t="shared" si="92"/>
        <v>231.36959598460686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272.59999999999991</v>
      </c>
      <c r="BZ85" s="14">
        <f>BY85*VLOOKUP('Données projet'!$B$12,Paramètres!$A$1:$I$89,3,0)*VLOOKUP('Données projet'!$B$12,Paramètres!$A$1:$I$89,5,0)</f>
        <v>276.4163999999999</v>
      </c>
      <c r="CA85" s="14">
        <f t="shared" si="93"/>
        <v>66.209124371313408</v>
      </c>
      <c r="CB85" s="22">
        <f t="shared" si="64"/>
        <v>596.73945494670397</v>
      </c>
      <c r="CC85" s="60">
        <f t="shared" si="65"/>
        <v>890.07278828003723</v>
      </c>
      <c r="CD85" s="60">
        <f ca="1">AVERAGE(OFFSET($CC$3,0,0,'Données projet'!$E$12+1,1))-AVERAGE(OFFSET($H$3,0,0,'Données projet'!$E$12+1,1))</f>
        <v>476.8965664931755</v>
      </c>
      <c r="CE85" s="60">
        <f t="shared" si="94"/>
        <v>254.25036207346591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5.8</v>
      </c>
      <c r="CT85" s="13">
        <f>IF('Données projet'!$A$140&gt;35,CT84+CS85-DB84,IF(A85&lt;'Données projet'!$A$140,$CQ$205^A85,IF(A85='Données projet'!$A$140,'Données projet'!$B$140,CT84+CS85-DB84)))</f>
        <v>272.59999999999991</v>
      </c>
      <c r="CU85" s="18">
        <f>CT85*VLOOKUP('Données projet'!$B$13,Paramètres!$A$1:$I$89,3,0)*VLOOKUP('Données projet'!$B$13,Paramètres!$A$1:$I$89,5,0)</f>
        <v>263.6587199999999</v>
      </c>
      <c r="CV85" s="14">
        <f t="shared" si="95"/>
        <v>63.501633804581523</v>
      </c>
      <c r="CW85" s="22">
        <f t="shared" si="67"/>
        <v>569.80428287631264</v>
      </c>
      <c r="CX85" s="60">
        <f t="shared" si="68"/>
        <v>863.13761620964601</v>
      </c>
      <c r="CY85" s="60">
        <f ca="1">AVERAGE(OFFSET($CX$3,0,0,'Données projet'!$E$13+1,1))-AVERAGE(OFFSET($H$3,0,0,'Données projet'!$E$13+1,1))</f>
        <v>456.86147223520601</v>
      </c>
      <c r="CZ85" s="60">
        <f t="shared" si="96"/>
        <v>244.45149244446094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3.2051282051282044</v>
      </c>
      <c r="DO85" s="13">
        <f>IF('Données projet'!$A$166&gt;35,DO84+DN85-DW84,IF(A85&lt;'Données projet'!$A$166,$DL$205^A85,IF(A85='Données projet'!$A$166,'Données projet'!$B$166,DO84+DN85-DW84)))</f>
        <v>171.79487179487188</v>
      </c>
      <c r="DP85" s="18">
        <f>DO85*VLOOKUP('Données projet'!$B$14,Paramètres!$A$1:$I$89,3,0)*VLOOKUP('Données projet'!$B$14,Paramètres!$A$1:$I$89,5,0)</f>
        <v>163.48000000000008</v>
      </c>
      <c r="DQ85" s="14">
        <f t="shared" si="97"/>
        <v>41.626453475605999</v>
      </c>
      <c r="DR85" s="22">
        <f t="shared" si="70"/>
        <v>357.22707313668053</v>
      </c>
      <c r="DS85" s="60">
        <f t="shared" si="71"/>
        <v>650.56040647001385</v>
      </c>
      <c r="DT85" s="60">
        <f ca="1">AVERAGE(OFFSET($DS$3,0,0,'Données projet'!$E$14+1,1))-AVERAGE(OFFSET($H$3,0,0,'Données projet'!$E$14+1,1))</f>
        <v>300.36889324671682</v>
      </c>
      <c r="DU85" s="60">
        <f t="shared" si="98"/>
        <v>214.36051699039683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-4.9658410716801891E-14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202.46844517174412</v>
      </c>
      <c r="EP85" s="60">
        <f t="shared" si="100"/>
        <v>185.00219255324515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4.4871794871794801</v>
      </c>
      <c r="FE85" s="13">
        <f>IF('Données projet'!$A$218&gt;35,FE84+FD85-FM84,IF(A85&lt;'Données projet'!$A$218,$FB$205^A85,IF(A85='Données projet'!$A$218,'Données projet'!$B$218,FE84+FD85-FM84)))</f>
        <v>303.20512820512812</v>
      </c>
      <c r="FF85" s="18">
        <f>FE85*VLOOKUP('Données projet'!$B$16,Paramètres!$A$1:$I$89,3,0)*VLOOKUP('Données projet'!$B$16,Paramètres!$A$1:$I$89,5,0)</f>
        <v>203.38999999999993</v>
      </c>
      <c r="FG85" s="14">
        <f t="shared" si="101"/>
        <v>50.488456760806621</v>
      </c>
      <c r="FH85" s="22">
        <f t="shared" si="76"/>
        <v>442.17164552507137</v>
      </c>
      <c r="FI85" s="60">
        <f t="shared" si="77"/>
        <v>735.50497885840468</v>
      </c>
      <c r="FJ85" s="60">
        <f ca="1">AVERAGE(OFFSET($FI$3,0,0,'Données projet'!$E$16+1,1))-AVERAGE(OFFSET($H$3,0,0,'Données projet'!$E$16+1,1))</f>
        <v>344.87493856469382</v>
      </c>
      <c r="FK85" s="60">
        <f t="shared" si="102"/>
        <v>261.91036689641402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>
        <f>FZ85*VLOOKUP('Données projet'!$B$17,Paramètres!$A$1:$I$89,3,0)*VLOOKUP('Données projet'!$B$17,Paramètres!$A$1:$I$89,5,0)</f>
        <v>0</v>
      </c>
      <c r="GB85" s="14" t="e">
        <f t="shared" si="103"/>
        <v>#NUM!</v>
      </c>
      <c r="GC85" s="22" t="e">
        <f t="shared" si="79"/>
        <v>#NUM!</v>
      </c>
      <c r="GD85" s="60" t="e">
        <f t="shared" si="80"/>
        <v>#NUM!</v>
      </c>
      <c r="GE85" s="60">
        <f ca="1">AVERAGE(OFFSET($GD$3,0,0,'Données projet'!$E$17+1,1))-AVERAGE(OFFSET($H$3,0,0,'Données projet'!$E$17+1,1))</f>
        <v>268.19959446602911</v>
      </c>
      <c r="GF85" s="60">
        <f t="shared" si="104"/>
        <v>691.2533336811855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51.326119264636247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51.326119264636247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1.1368683772161603E-13</v>
      </c>
      <c r="GV85" s="18">
        <f>GU85*VLOOKUP('Données projet'!$B$18,Paramètres!$A$1:$I$89,3,0)*VLOOKUP('Données projet'!$B$18,Paramètres!$A$1:$I$89,5,0)</f>
        <v>8.8675733422860506E-14</v>
      </c>
      <c r="GW85" s="14">
        <f t="shared" si="105"/>
        <v>1.3509285393066301E-12</v>
      </c>
      <c r="GX85" s="22">
        <f t="shared" si="82"/>
        <v>2.5073107750038623E-12</v>
      </c>
      <c r="GY85" s="60">
        <f t="shared" si="83"/>
        <v>293.33333333333582</v>
      </c>
      <c r="GZ85" s="60">
        <f ca="1">AVERAGE(OFFSET($GY$3,0,0,'Données projet'!$E$18+1,1))-AVERAGE(OFFSET($H$3,0,0,'Données projet'!$E$18+1,1))</f>
        <v>292.57482726862594</v>
      </c>
      <c r="HA85" s="60">
        <f t="shared" si="106"/>
        <v>283.48738729114024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17.8</v>
      </c>
      <c r="N86" s="14">
        <f>IF('Données projet'!$A$36&gt;35,N85+M86-V85,IF(A86&lt;'Données projet'!$A$36,$K$205^A86,IF(A86='Données projet'!$A$36,'Données projet'!$B$36,N85+M86-V85)))</f>
        <v>677.4000000000002</v>
      </c>
      <c r="O86" s="14">
        <f>N86*VLOOKUP('Données projet'!$B$9,Paramètres!$A$1:$I$89,3,0)*VLOOKUP('Données projet'!$B$9,Paramètres!$A$1:$I$89,5,0)</f>
        <v>317.02320000000009</v>
      </c>
      <c r="P86" s="14">
        <f t="shared" si="87"/>
        <v>74.733636027657681</v>
      </c>
      <c r="Q86" s="22">
        <f t="shared" si="54"/>
        <v>682.30982274817052</v>
      </c>
      <c r="R86" s="60">
        <f t="shared" si="55"/>
        <v>975.64315608150378</v>
      </c>
      <c r="S86" s="60">
        <f ca="1">AVERAGE(OFFSET($R$3,0,0,'Données projet'!$E$9+1,1))-AVERAGE(OFFSET($H$3,0,0,'Données projet'!$E$9+1,1))</f>
        <v>399.92909819003523</v>
      </c>
      <c r="T86" s="60">
        <f t="shared" si="88"/>
        <v>163.7053537268381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6.6</v>
      </c>
      <c r="AI86" s="14">
        <f>IF('Données projet'!$A$62&gt;35,AI85+AH86-AQ85,IF(A86&lt;'Données projet'!$A$62,$AF$205^A86,IF(A86='Données projet'!$A$62,'Données projet'!$B$62,AI85+AH86-AQ85)))</f>
        <v>545.7999999999995</v>
      </c>
      <c r="AJ86" s="14">
        <f>AI86*VLOOKUP('Données projet'!$B$10,Paramètres!$A$1:$I$89,3,0)*VLOOKUP('Données projet'!$B$10,Paramètres!$A$1:$I$89,5,0)</f>
        <v>326.38839999999971</v>
      </c>
      <c r="AK86" s="14">
        <f t="shared" si="89"/>
        <v>76.681051456851861</v>
      </c>
      <c r="AL86" s="22">
        <f t="shared" si="58"/>
        <v>702.01262795401635</v>
      </c>
      <c r="AM86" s="60">
        <f t="shared" si="59"/>
        <v>995.34596128734961</v>
      </c>
      <c r="AN86" s="60">
        <f ca="1">AVERAGE(OFFSET($AM$3,0,0,'Données projet'!$E$10+1,1))-AVERAGE(OFFSET($H$3,0,0,'Données projet'!$E$10+1,1))</f>
        <v>455.43477166687273</v>
      </c>
      <c r="AO86" s="60">
        <f t="shared" si="90"/>
        <v>312.81310692672895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278.39999999999992</v>
      </c>
      <c r="BE86" s="14">
        <f>BD86*VLOOKUP('Données projet'!$B$11,Paramètres!$A$1:$I$89,3,0)*VLOOKUP('Données projet'!$B$11,Paramètres!$A$1:$I$89,5,0)</f>
        <v>251.89631999999995</v>
      </c>
      <c r="BF86" s="14">
        <f t="shared" si="91"/>
        <v>60.991830479199145</v>
      </c>
      <c r="BG86" s="22">
        <f t="shared" si="61"/>
        <v>544.94686208460519</v>
      </c>
      <c r="BH86" s="60">
        <f t="shared" si="62"/>
        <v>838.28019541793856</v>
      </c>
      <c r="BI86" s="60">
        <f ca="1">AVERAGE(OFFSET($BH$3,0,0,'Données projet'!$E$11+1,1))-AVERAGE(OFFSET($H$3,0,0,'Données projet'!$E$11+1,1))</f>
        <v>430.11660085503223</v>
      </c>
      <c r="BJ86" s="60">
        <f t="shared" si="92"/>
        <v>231.36959598460686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278.39999999999992</v>
      </c>
      <c r="BZ86" s="14">
        <f>BY86*VLOOKUP('Données projet'!$B$12,Paramètres!$A$1:$I$89,3,0)*VLOOKUP('Données projet'!$B$12,Paramètres!$A$1:$I$89,5,0)</f>
        <v>282.29759999999993</v>
      </c>
      <c r="CA86" s="14">
        <f t="shared" si="93"/>
        <v>67.452326629470178</v>
      </c>
      <c r="CB86" s="22">
        <f t="shared" si="64"/>
        <v>609.14778887966042</v>
      </c>
      <c r="CC86" s="60">
        <f t="shared" si="65"/>
        <v>902.4811222129938</v>
      </c>
      <c r="CD86" s="60">
        <f ca="1">AVERAGE(OFFSET($CC$3,0,0,'Données projet'!$E$12+1,1))-AVERAGE(OFFSET($H$3,0,0,'Données projet'!$E$12+1,1))</f>
        <v>476.8965664931755</v>
      </c>
      <c r="CE86" s="60">
        <f t="shared" si="94"/>
        <v>254.25036207346591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5.8</v>
      </c>
      <c r="CT86" s="13">
        <f>IF('Données projet'!$A$140&gt;35,CT85+CS86-DB85,IF(A86&lt;'Données projet'!$A$140,$CQ$205^A86,IF(A86='Données projet'!$A$140,'Données projet'!$B$140,CT85+CS86-DB85)))</f>
        <v>278.39999999999992</v>
      </c>
      <c r="CU86" s="18">
        <f>CT86*VLOOKUP('Données projet'!$B$13,Paramètres!$A$1:$I$89,3,0)*VLOOKUP('Données projet'!$B$13,Paramètres!$A$1:$I$89,5,0)</f>
        <v>269.26847999999995</v>
      </c>
      <c r="CV86" s="14">
        <f t="shared" si="95"/>
        <v>64.693997776951178</v>
      </c>
      <c r="CW86" s="22">
        <f t="shared" si="67"/>
        <v>581.65131546152315</v>
      </c>
      <c r="CX86" s="60">
        <f t="shared" si="68"/>
        <v>874.98464879485641</v>
      </c>
      <c r="CY86" s="60">
        <f ca="1">AVERAGE(OFFSET($CX$3,0,0,'Données projet'!$E$13+1,1))-AVERAGE(OFFSET($H$3,0,0,'Données projet'!$E$13+1,1))</f>
        <v>456.86147223520601</v>
      </c>
      <c r="CZ86" s="60">
        <f t="shared" si="96"/>
        <v>244.45149244446094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3.2051282051282044</v>
      </c>
      <c r="DO86" s="13">
        <f>IF('Données projet'!$A$166&gt;35,DO85+DN86-DW85,IF(A86&lt;'Données projet'!$A$166,$DL$205^A86,IF(A86='Données projet'!$A$166,'Données projet'!$B$166,DO85+DN86-DW85)))</f>
        <v>175.00000000000009</v>
      </c>
      <c r="DP86" s="18">
        <f>DO86*VLOOKUP('Données projet'!$B$14,Paramètres!$A$1:$I$89,3,0)*VLOOKUP('Données projet'!$B$14,Paramètres!$A$1:$I$89,5,0)</f>
        <v>166.53000000000009</v>
      </c>
      <c r="DQ86" s="14">
        <f t="shared" si="97"/>
        <v>42.311928683446958</v>
      </c>
      <c r="DR86" s="22">
        <f t="shared" si="70"/>
        <v>363.73302579033697</v>
      </c>
      <c r="DS86" s="60">
        <f t="shared" si="71"/>
        <v>657.06635912367028</v>
      </c>
      <c r="DT86" s="60">
        <f ca="1">AVERAGE(OFFSET($DS$3,0,0,'Données projet'!$E$14+1,1))-AVERAGE(OFFSET($H$3,0,0,'Données projet'!$E$14+1,1))</f>
        <v>300.36889324671682</v>
      </c>
      <c r="DU86" s="60">
        <f t="shared" si="98"/>
        <v>214.36051699039683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-4.9658410716801891E-14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202.46844517174412</v>
      </c>
      <c r="EP86" s="60">
        <f t="shared" si="100"/>
        <v>185.00219255324515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4.4871794871794801</v>
      </c>
      <c r="FE86" s="13">
        <f>IF('Données projet'!$A$218&gt;35,FE85+FD86-FM85,IF(A86&lt;'Données projet'!$A$218,$FB$205^A86,IF(A86='Données projet'!$A$218,'Données projet'!$B$218,FE85+FD86-FM85)))</f>
        <v>307.69230769230762</v>
      </c>
      <c r="FF86" s="18">
        <f>FE86*VLOOKUP('Données projet'!$B$16,Paramètres!$A$1:$I$89,3,0)*VLOOKUP('Données projet'!$B$16,Paramètres!$A$1:$I$89,5,0)</f>
        <v>206.39999999999995</v>
      </c>
      <c r="FG86" s="14">
        <f t="shared" si="101"/>
        <v>51.148105178123217</v>
      </c>
      <c r="FH86" s="22">
        <f t="shared" si="76"/>
        <v>448.56294985189771</v>
      </c>
      <c r="FI86" s="60">
        <f t="shared" si="77"/>
        <v>741.89628318523103</v>
      </c>
      <c r="FJ86" s="60">
        <f ca="1">AVERAGE(OFFSET($FI$3,0,0,'Données projet'!$E$16+1,1))-AVERAGE(OFFSET($H$3,0,0,'Données projet'!$E$16+1,1))</f>
        <v>344.87493856469382</v>
      </c>
      <c r="FK86" s="60">
        <f t="shared" si="102"/>
        <v>261.91036689641402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>
        <f>FZ86*VLOOKUP('Données projet'!$B$17,Paramètres!$A$1:$I$89,3,0)*VLOOKUP('Données projet'!$B$17,Paramètres!$A$1:$I$89,5,0)</f>
        <v>0</v>
      </c>
      <c r="GB86" s="14" t="e">
        <f t="shared" si="103"/>
        <v>#NUM!</v>
      </c>
      <c r="GC86" s="22" t="e">
        <f t="shared" si="79"/>
        <v>#NUM!</v>
      </c>
      <c r="GD86" s="60" t="e">
        <f t="shared" si="80"/>
        <v>#NUM!</v>
      </c>
      <c r="GE86" s="60">
        <f ca="1">AVERAGE(OFFSET($GD$3,0,0,'Données projet'!$E$17+1,1))-AVERAGE(OFFSET($H$3,0,0,'Données projet'!$E$17+1,1))</f>
        <v>268.19959446602911</v>
      </c>
      <c r="GF86" s="60">
        <f t="shared" si="104"/>
        <v>691.2533336811855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50.319645371698286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50.319645371698286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1.1368683772161603E-13</v>
      </c>
      <c r="GV86" s="18">
        <f>GU86*VLOOKUP('Données projet'!$B$18,Paramètres!$A$1:$I$89,3,0)*VLOOKUP('Données projet'!$B$18,Paramètres!$A$1:$I$89,5,0)</f>
        <v>8.8675733422860506E-14</v>
      </c>
      <c r="GW86" s="14">
        <f t="shared" si="105"/>
        <v>1.3509285393066301E-12</v>
      </c>
      <c r="GX86" s="22">
        <f t="shared" si="82"/>
        <v>2.5073107750038623E-12</v>
      </c>
      <c r="GY86" s="60">
        <f t="shared" si="83"/>
        <v>293.33333333333582</v>
      </c>
      <c r="GZ86" s="60">
        <f ca="1">AVERAGE(OFFSET($GY$3,0,0,'Données projet'!$E$18+1,1))-AVERAGE(OFFSET($H$3,0,0,'Données projet'!$E$18+1,1))</f>
        <v>292.57482726862594</v>
      </c>
      <c r="HA86" s="60">
        <f t="shared" si="106"/>
        <v>283.48738729114024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17.8</v>
      </c>
      <c r="N87" s="14">
        <f>IF('Données projet'!$A$36&gt;35,N86+M87-V86,IF(A87&lt;'Données projet'!$A$36,$K$205^A87,IF(A87='Données projet'!$A$36,'Données projet'!$B$36,N86+M87-V86)))</f>
        <v>695.20000000000016</v>
      </c>
      <c r="O87" s="14">
        <f>N87*VLOOKUP('Données projet'!$B$9,Paramètres!$A$1:$I$89,3,0)*VLOOKUP('Données projet'!$B$9,Paramètres!$A$1:$I$89,5,0)</f>
        <v>325.35360000000009</v>
      </c>
      <c r="P87" s="14">
        <f t="shared" si="87"/>
        <v>76.466196343081592</v>
      </c>
      <c r="Q87" s="22">
        <f t="shared" si="54"/>
        <v>699.83614529753402</v>
      </c>
      <c r="R87" s="60">
        <f t="shared" si="55"/>
        <v>993.16947863086739</v>
      </c>
      <c r="S87" s="60">
        <f ca="1">AVERAGE(OFFSET($R$3,0,0,'Données projet'!$E$9+1,1))-AVERAGE(OFFSET($H$3,0,0,'Données projet'!$E$9+1,1))</f>
        <v>399.92909819003523</v>
      </c>
      <c r="T87" s="60">
        <f t="shared" si="88"/>
        <v>163.7053537268381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6.6</v>
      </c>
      <c r="AI87" s="14">
        <f>IF('Données projet'!$A$62&gt;35,AI86+AH87-AQ86,IF(A87&lt;'Données projet'!$A$62,$AF$205^A87,IF(A87='Données projet'!$A$62,'Données projet'!$B$62,AI86+AH87-AQ86)))</f>
        <v>552.39999999999952</v>
      </c>
      <c r="AJ87" s="14">
        <f>AI87*VLOOKUP('Données projet'!$B$10,Paramètres!$A$1:$I$89,3,0)*VLOOKUP('Données projet'!$B$10,Paramètres!$A$1:$I$89,5,0)</f>
        <v>330.33519999999976</v>
      </c>
      <c r="AK87" s="14">
        <f t="shared" si="89"/>
        <v>77.499798577088072</v>
      </c>
      <c r="AL87" s="22">
        <f t="shared" si="58"/>
        <v>710.31262252176123</v>
      </c>
      <c r="AM87" s="60">
        <f t="shared" si="59"/>
        <v>1003.6459558550946</v>
      </c>
      <c r="AN87" s="60">
        <f ca="1">AVERAGE(OFFSET($AM$3,0,0,'Données projet'!$E$10+1,1))-AVERAGE(OFFSET($H$3,0,0,'Données projet'!$E$10+1,1))</f>
        <v>455.43477166687273</v>
      </c>
      <c r="AO87" s="60">
        <f t="shared" si="90"/>
        <v>312.81310692672895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284.19999999999993</v>
      </c>
      <c r="BE87" s="14">
        <f>BD87*VLOOKUP('Données projet'!$B$11,Paramètres!$A$1:$I$89,3,0)*VLOOKUP('Données projet'!$B$11,Paramètres!$A$1:$I$89,5,0)</f>
        <v>257.14415999999994</v>
      </c>
      <c r="BF87" s="14">
        <f t="shared" si="91"/>
        <v>62.113237520609751</v>
      </c>
      <c r="BG87" s="22">
        <f t="shared" si="61"/>
        <v>556.03996734839518</v>
      </c>
      <c r="BH87" s="60">
        <f t="shared" si="62"/>
        <v>849.37330068172855</v>
      </c>
      <c r="BI87" s="60">
        <f ca="1">AVERAGE(OFFSET($BH$3,0,0,'Données projet'!$E$11+1,1))-AVERAGE(OFFSET($H$3,0,0,'Données projet'!$E$11+1,1))</f>
        <v>430.11660085503223</v>
      </c>
      <c r="BJ87" s="60">
        <f t="shared" si="92"/>
        <v>231.36959598460686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284.19999999999993</v>
      </c>
      <c r="BZ87" s="14">
        <f>BY87*VLOOKUP('Données projet'!$B$12,Paramètres!$A$1:$I$89,3,0)*VLOOKUP('Données projet'!$B$12,Paramètres!$A$1:$I$89,5,0)</f>
        <v>288.17879999999997</v>
      </c>
      <c r="CA87" s="14">
        <f t="shared" si="93"/>
        <v>68.692517544343744</v>
      </c>
      <c r="CB87" s="22">
        <f t="shared" si="64"/>
        <v>621.55087805639857</v>
      </c>
      <c r="CC87" s="60">
        <f t="shared" si="65"/>
        <v>914.88421138973195</v>
      </c>
      <c r="CD87" s="60">
        <f ca="1">AVERAGE(OFFSET($CC$3,0,0,'Données projet'!$E$12+1,1))-AVERAGE(OFFSET($H$3,0,0,'Données projet'!$E$12+1,1))</f>
        <v>476.8965664931755</v>
      </c>
      <c r="CE87" s="60">
        <f t="shared" si="94"/>
        <v>254.25036207346591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5.8</v>
      </c>
      <c r="CT87" s="13">
        <f>IF('Données projet'!$A$140&gt;35,CT86+CS87-DB86,IF(A87&lt;'Données projet'!$A$140,$CQ$205^A87,IF(A87='Données projet'!$A$140,'Données projet'!$B$140,CT86+CS87-DB86)))</f>
        <v>284.19999999999993</v>
      </c>
      <c r="CU87" s="18">
        <f>CT87*VLOOKUP('Données projet'!$B$13,Paramètres!$A$1:$I$89,3,0)*VLOOKUP('Données projet'!$B$13,Paramètres!$A$1:$I$89,5,0)</f>
        <v>274.87823999999995</v>
      </c>
      <c r="CV87" s="14">
        <f t="shared" si="95"/>
        <v>65.883473548937019</v>
      </c>
      <c r="CW87" s="22">
        <f t="shared" si="67"/>
        <v>593.49331776439851</v>
      </c>
      <c r="CX87" s="60">
        <f t="shared" si="68"/>
        <v>886.82665109773188</v>
      </c>
      <c r="CY87" s="60">
        <f ca="1">AVERAGE(OFFSET($CX$3,0,0,'Données projet'!$E$13+1,1))-AVERAGE(OFFSET($H$3,0,0,'Données projet'!$E$13+1,1))</f>
        <v>456.86147223520601</v>
      </c>
      <c r="CZ87" s="60">
        <f t="shared" si="96"/>
        <v>244.45149244446094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3.2051282051282044</v>
      </c>
      <c r="DO87" s="13">
        <f>IF('Données projet'!$A$166&gt;35,DO86+DN87-DW86,IF(A87&lt;'Données projet'!$A$166,$DL$205^A87,IF(A87='Données projet'!$A$166,'Données projet'!$B$166,DO86+DN87-DW86)))</f>
        <v>178.20512820512829</v>
      </c>
      <c r="DP87" s="18">
        <f>DO87*VLOOKUP('Données projet'!$B$14,Paramètres!$A$1:$I$89,3,0)*VLOOKUP('Données projet'!$B$14,Paramètres!$A$1:$I$89,5,0)</f>
        <v>169.5800000000001</v>
      </c>
      <c r="DQ87" s="14">
        <f t="shared" si="97"/>
        <v>42.995944018844192</v>
      </c>
      <c r="DR87" s="22">
        <f t="shared" si="70"/>
        <v>370.23643583282046</v>
      </c>
      <c r="DS87" s="60">
        <f t="shared" si="71"/>
        <v>663.56976916615372</v>
      </c>
      <c r="DT87" s="60">
        <f ca="1">AVERAGE(OFFSET($DS$3,0,0,'Données projet'!$E$14+1,1))-AVERAGE(OFFSET($H$3,0,0,'Données projet'!$E$14+1,1))</f>
        <v>300.36889324671682</v>
      </c>
      <c r="DU87" s="60">
        <f t="shared" si="98"/>
        <v>214.36051699039683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-4.9658410716801891E-14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202.46844517174412</v>
      </c>
      <c r="EP87" s="60">
        <f t="shared" si="100"/>
        <v>185.00219255324515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4.4871794871794801</v>
      </c>
      <c r="FE87" s="13">
        <f>IF('Données projet'!$A$218&gt;35,FE86+FD87-FM86,IF(A87&lt;'Données projet'!$A$218,$FB$205^A87,IF(A87='Données projet'!$A$218,'Données projet'!$B$218,FE86+FD87-FM86)))</f>
        <v>312.17948717948713</v>
      </c>
      <c r="FF87" s="18">
        <f>FE87*VLOOKUP('Données projet'!$B$16,Paramètres!$A$1:$I$89,3,0)*VLOOKUP('Données projet'!$B$16,Paramètres!$A$1:$I$89,5,0)</f>
        <v>209.41</v>
      </c>
      <c r="FG87" s="14">
        <f t="shared" si="101"/>
        <v>51.806634750171533</v>
      </c>
      <c r="FH87" s="22">
        <f t="shared" si="76"/>
        <v>454.95230552321544</v>
      </c>
      <c r="FI87" s="60">
        <f t="shared" si="77"/>
        <v>748.28563885654876</v>
      </c>
      <c r="FJ87" s="60">
        <f ca="1">AVERAGE(OFFSET($FI$3,0,0,'Données projet'!$E$16+1,1))-AVERAGE(OFFSET($H$3,0,0,'Données projet'!$E$16+1,1))</f>
        <v>344.87493856469382</v>
      </c>
      <c r="FK87" s="60">
        <f t="shared" si="102"/>
        <v>261.91036689641402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>
        <f>FZ87*VLOOKUP('Données projet'!$B$17,Paramètres!$A$1:$I$89,3,0)*VLOOKUP('Données projet'!$B$17,Paramètres!$A$1:$I$89,5,0)</f>
        <v>0</v>
      </c>
      <c r="GB87" s="14" t="e">
        <f t="shared" si="103"/>
        <v>#NUM!</v>
      </c>
      <c r="GC87" s="22" t="e">
        <f t="shared" si="79"/>
        <v>#NUM!</v>
      </c>
      <c r="GD87" s="60" t="e">
        <f t="shared" si="80"/>
        <v>#NUM!</v>
      </c>
      <c r="GE87" s="60">
        <f ca="1">AVERAGE(OFFSET($GD$3,0,0,'Données projet'!$E$17+1,1))-AVERAGE(OFFSET($H$3,0,0,'Données projet'!$E$17+1,1))</f>
        <v>268.19959446602911</v>
      </c>
      <c r="GF87" s="60">
        <f t="shared" si="104"/>
        <v>691.2533336811855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49.332907817912378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49.332907817912378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1.1368683772161603E-13</v>
      </c>
      <c r="GV87" s="18">
        <f>GU87*VLOOKUP('Données projet'!$B$18,Paramètres!$A$1:$I$89,3,0)*VLOOKUP('Données projet'!$B$18,Paramètres!$A$1:$I$89,5,0)</f>
        <v>8.8675733422860506E-14</v>
      </c>
      <c r="GW87" s="14">
        <f t="shared" si="105"/>
        <v>1.3509285393066301E-12</v>
      </c>
      <c r="GX87" s="22">
        <f t="shared" si="82"/>
        <v>2.5073107750038623E-12</v>
      </c>
      <c r="GY87" s="60">
        <f t="shared" si="83"/>
        <v>293.33333333333582</v>
      </c>
      <c r="GZ87" s="60">
        <f ca="1">AVERAGE(OFFSET($GY$3,0,0,'Données projet'!$E$18+1,1))-AVERAGE(OFFSET($H$3,0,0,'Données projet'!$E$18+1,1))</f>
        <v>292.57482726862594</v>
      </c>
      <c r="HA87" s="60">
        <f t="shared" si="106"/>
        <v>283.48738729114024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17.8</v>
      </c>
      <c r="N88" s="14">
        <f>IF('Données projet'!$A$36&gt;35,N87+M88-V87,IF(A88&lt;'Données projet'!$A$36,$K$205^A88,IF(A88='Données projet'!$A$36,'Données projet'!$B$36,N87+M88-V87)))</f>
        <v>713.00000000000011</v>
      </c>
      <c r="O88" s="14">
        <f>N88*VLOOKUP('Données projet'!$B$9,Paramètres!$A$1:$I$89,3,0)*VLOOKUP('Données projet'!$B$9,Paramètres!$A$1:$I$89,5,0)</f>
        <v>333.68400000000003</v>
      </c>
      <c r="P88" s="14">
        <f t="shared" si="87"/>
        <v>78.193600162051595</v>
      </c>
      <c r="Q88" s="22">
        <f t="shared" si="54"/>
        <v>717.35348694890661</v>
      </c>
      <c r="R88" s="60">
        <f t="shared" si="55"/>
        <v>1010.68682028224</v>
      </c>
      <c r="S88" s="60">
        <f ca="1">AVERAGE(OFFSET($R$3,0,0,'Données projet'!$E$9+1,1))-AVERAGE(OFFSET($H$3,0,0,'Données projet'!$E$9+1,1))</f>
        <v>399.92909819003523</v>
      </c>
      <c r="T88" s="60">
        <f t="shared" si="88"/>
        <v>163.7053537268381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6.6</v>
      </c>
      <c r="AI88" s="14">
        <f>IF('Données projet'!$A$62&gt;35,AI87+AH88-AQ87,IF(A88&lt;'Données projet'!$A$62,$AF$205^A88,IF(A88='Données projet'!$A$62,'Données projet'!$B$62,AI87+AH88-AQ87)))</f>
        <v>558.99999999999955</v>
      </c>
      <c r="AJ88" s="14">
        <f>AI88*VLOOKUP('Données projet'!$B$10,Paramètres!$A$1:$I$89,3,0)*VLOOKUP('Données projet'!$B$10,Paramètres!$A$1:$I$89,5,0)</f>
        <v>334.28199999999975</v>
      </c>
      <c r="AK88" s="14">
        <f t="shared" si="89"/>
        <v>78.317407802819943</v>
      </c>
      <c r="AL88" s="22">
        <f t="shared" si="58"/>
        <v>718.61063525657755</v>
      </c>
      <c r="AM88" s="60">
        <f t="shared" si="59"/>
        <v>1011.9439685899108</v>
      </c>
      <c r="AN88" s="60">
        <f ca="1">AVERAGE(OFFSET($AM$3,0,0,'Données projet'!$E$10+1,1))-AVERAGE(OFFSET($H$3,0,0,'Données projet'!$E$10+1,1))</f>
        <v>455.43477166687273</v>
      </c>
      <c r="AO88" s="60">
        <f t="shared" si="90"/>
        <v>312.81310692672895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289.99999999999994</v>
      </c>
      <c r="BE88" s="14">
        <f>BD88*VLOOKUP('Données projet'!$B$11,Paramètres!$A$1:$I$89,3,0)*VLOOKUP('Données projet'!$B$11,Paramètres!$A$1:$I$89,5,0)</f>
        <v>262.39199999999994</v>
      </c>
      <c r="BF88" s="14">
        <f t="shared" si="91"/>
        <v>63.231983614474942</v>
      </c>
      <c r="BG88" s="22">
        <f t="shared" si="61"/>
        <v>567.12843812854373</v>
      </c>
      <c r="BH88" s="60">
        <f t="shared" si="62"/>
        <v>860.46177146187711</v>
      </c>
      <c r="BI88" s="60">
        <f ca="1">AVERAGE(OFFSET($BH$3,0,0,'Données projet'!$E$11+1,1))-AVERAGE(OFFSET($H$3,0,0,'Données projet'!$E$11+1,1))</f>
        <v>430.11660085503223</v>
      </c>
      <c r="BJ88" s="60">
        <f t="shared" si="92"/>
        <v>231.36959598460686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290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289.99999999999994</v>
      </c>
      <c r="BZ88" s="14">
        <f>BY88*VLOOKUP('Données projet'!$B$12,Paramètres!$A$1:$I$89,3,0)*VLOOKUP('Données projet'!$B$12,Paramètres!$A$1:$I$89,5,0)</f>
        <v>294.05999999999995</v>
      </c>
      <c r="CA88" s="14">
        <f t="shared" si="93"/>
        <v>69.929765653573313</v>
      </c>
      <c r="CB88" s="22">
        <f t="shared" si="64"/>
        <v>633.94884184664011</v>
      </c>
      <c r="CC88" s="60">
        <f t="shared" si="65"/>
        <v>927.28217517997336</v>
      </c>
      <c r="CD88" s="60">
        <f ca="1">AVERAGE(OFFSET($CC$3,0,0,'Données projet'!$E$12+1,1))-AVERAGE(OFFSET($H$3,0,0,'Données projet'!$E$12+1,1))</f>
        <v>476.8965664931755</v>
      </c>
      <c r="CE88" s="60">
        <f t="shared" si="94"/>
        <v>254.25036207346591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42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290</v>
      </c>
      <c r="CR88" s="13">
        <f>VLOOKUP(A88,'Données projet'!$A$139:$I$159,9,0)</f>
        <v>5.8</v>
      </c>
      <c r="CS88" s="13">
        <f t="array" ref="CS88">INDEX(CR:CR,MIN(IF(ISNUMBER(CR88:CR284),ROW(CR88:CR284),"")))</f>
        <v>5.8</v>
      </c>
      <c r="CT88" s="13">
        <f>IF('Données projet'!$A$140&gt;35,CT87+CS88-DB87,IF(A88&lt;'Données projet'!$A$140,$CQ$205^A88,IF(A88='Données projet'!$A$140,'Données projet'!$B$140,CT87+CS88-DB87)))</f>
        <v>289.99999999999994</v>
      </c>
      <c r="CU88" s="18">
        <f>CT88*VLOOKUP('Données projet'!$B$13,Paramètres!$A$1:$I$89,3,0)*VLOOKUP('Données projet'!$B$13,Paramètres!$A$1:$I$89,5,0)</f>
        <v>280.48799999999994</v>
      </c>
      <c r="CV88" s="14">
        <f t="shared" si="95"/>
        <v>67.070126855467564</v>
      </c>
      <c r="CW88" s="22">
        <f t="shared" si="67"/>
        <v>605.33040427327262</v>
      </c>
      <c r="CX88" s="60">
        <f t="shared" si="68"/>
        <v>898.66373760660599</v>
      </c>
      <c r="CY88" s="60">
        <f ca="1">AVERAGE(OFFSET($CX$3,0,0,'Données projet'!$E$13+1,1))-AVERAGE(OFFSET($H$3,0,0,'Données projet'!$E$13+1,1))</f>
        <v>456.86147223520601</v>
      </c>
      <c r="CZ88" s="60">
        <f t="shared" si="96"/>
        <v>244.45149244446094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42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181.41025641025641</v>
      </c>
      <c r="DM88" s="13">
        <f>VLOOKUP(A88,'Données projet'!$A$165:$I$185,9,0)</f>
        <v>3.2051282051282044</v>
      </c>
      <c r="DN88" s="13">
        <f t="array" ref="DN88">INDEX(DM:DM,MIN(IF(ISNUMBER(DM88:DM284),ROW(DM88:DM284),"")))</f>
        <v>3.2051282051282044</v>
      </c>
      <c r="DO88" s="13">
        <f>IF('Données projet'!$A$166&gt;35,DO87+DN88-DW87,IF(A88&lt;'Données projet'!$A$166,$DL$205^A88,IF(A88='Données projet'!$A$166,'Données projet'!$B$166,DO87+DN88-DW87)))</f>
        <v>181.41025641025649</v>
      </c>
      <c r="DP88" s="18">
        <f>DO88*VLOOKUP('Données projet'!$B$14,Paramètres!$A$1:$I$89,3,0)*VLOOKUP('Données projet'!$B$14,Paramètres!$A$1:$I$89,5,0)</f>
        <v>172.63000000000008</v>
      </c>
      <c r="DQ88" s="14">
        <f t="shared" si="97"/>
        <v>43.678528767297273</v>
      </c>
      <c r="DR88" s="22">
        <f t="shared" si="70"/>
        <v>376.73735426970956</v>
      </c>
      <c r="DS88" s="60">
        <f t="shared" si="71"/>
        <v>670.07068760304287</v>
      </c>
      <c r="DT88" s="60">
        <f ca="1">AVERAGE(OFFSET($DS$3,0,0,'Données projet'!$E$14+1,1))-AVERAGE(OFFSET($H$3,0,0,'Données projet'!$E$14+1,1))</f>
        <v>300.36889324671682</v>
      </c>
      <c r="DU88" s="60">
        <f t="shared" si="98"/>
        <v>214.36051699039683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-4.9658410716801891E-14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202.46844517174412</v>
      </c>
      <c r="EP88" s="60">
        <f t="shared" si="100"/>
        <v>185.00219255324515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316.66666666666663</v>
      </c>
      <c r="FC88" s="13">
        <f>VLOOKUP(A88,'Données projet'!$A$217:$I$237,9,0)</f>
        <v>4.4871794871794801</v>
      </c>
      <c r="FD88" s="13">
        <f t="array" ref="FD88">INDEX(FC:FC,MIN(IF(ISNUMBER(FC88:FC284),ROW(FC88:FC284),"")))</f>
        <v>4.4871794871794801</v>
      </c>
      <c r="FE88" s="13">
        <f>IF('Données projet'!$A$218&gt;35,FE87+FD88-FM87,IF(A88&lt;'Données projet'!$A$218,$FB$205^A88,IF(A88='Données projet'!$A$218,'Données projet'!$B$218,FE87+FD88-FM87)))</f>
        <v>316.66666666666663</v>
      </c>
      <c r="FF88" s="18">
        <f>FE88*VLOOKUP('Données projet'!$B$16,Paramètres!$A$1:$I$89,3,0)*VLOOKUP('Données projet'!$B$16,Paramètres!$A$1:$I$89,5,0)</f>
        <v>212.42</v>
      </c>
      <c r="FG88" s="14">
        <f t="shared" si="101"/>
        <v>52.464063417089825</v>
      </c>
      <c r="FH88" s="22">
        <f t="shared" si="76"/>
        <v>461.33974378476478</v>
      </c>
      <c r="FI88" s="60">
        <f t="shared" si="77"/>
        <v>754.67307711809804</v>
      </c>
      <c r="FJ88" s="60">
        <f ca="1">AVERAGE(OFFSET($FI$3,0,0,'Données projet'!$E$16+1,1))-AVERAGE(OFFSET($H$3,0,0,'Données projet'!$E$16+1,1))</f>
        <v>344.87493856469382</v>
      </c>
      <c r="FK88" s="60">
        <f t="shared" si="102"/>
        <v>261.91036689641402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27.564102564102562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>
        <f>FZ88*VLOOKUP('Données projet'!$B$17,Paramètres!$A$1:$I$89,3,0)*VLOOKUP('Données projet'!$B$17,Paramètres!$A$1:$I$89,5,0)</f>
        <v>0</v>
      </c>
      <c r="GB88" s="14" t="e">
        <f t="shared" si="103"/>
        <v>#NUM!</v>
      </c>
      <c r="GC88" s="22" t="e">
        <f t="shared" si="79"/>
        <v>#NUM!</v>
      </c>
      <c r="GD88" s="60" t="e">
        <f t="shared" si="80"/>
        <v>#NUM!</v>
      </c>
      <c r="GE88" s="60">
        <f ca="1">AVERAGE(OFFSET($GD$3,0,0,'Données projet'!$E$17+1,1))-AVERAGE(OFFSET($H$3,0,0,'Données projet'!$E$17+1,1))</f>
        <v>268.19959446602911</v>
      </c>
      <c r="GF88" s="60">
        <f t="shared" si="104"/>
        <v>691.2533336811855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48.365519585705734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48.365519585705734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1.1368683772161603E-13</v>
      </c>
      <c r="GV88" s="18">
        <f>GU88*VLOOKUP('Données projet'!$B$18,Paramètres!$A$1:$I$89,3,0)*VLOOKUP('Données projet'!$B$18,Paramètres!$A$1:$I$89,5,0)</f>
        <v>8.8675733422860506E-14</v>
      </c>
      <c r="GW88" s="14">
        <f t="shared" si="105"/>
        <v>1.3509285393066301E-12</v>
      </c>
      <c r="GX88" s="22">
        <f t="shared" si="82"/>
        <v>2.5073107750038623E-12</v>
      </c>
      <c r="GY88" s="60">
        <f t="shared" si="83"/>
        <v>293.33333333333582</v>
      </c>
      <c r="GZ88" s="60">
        <f ca="1">AVERAGE(OFFSET($GY$3,0,0,'Données projet'!$E$18+1,1))-AVERAGE(OFFSET($H$3,0,0,'Données projet'!$E$18+1,1))</f>
        <v>292.57482726862594</v>
      </c>
      <c r="HA88" s="60">
        <f t="shared" si="106"/>
        <v>283.48738729114024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17.8</v>
      </c>
      <c r="N89" s="14">
        <f>IF('Données projet'!$A$36&gt;35,N88+M89-V88,IF(A89&lt;'Données projet'!$A$36,$K$205^A89,IF(A89='Données projet'!$A$36,'Données projet'!$B$36,N88+M89-V88)))</f>
        <v>730.80000000000007</v>
      </c>
      <c r="O89" s="14">
        <f>N89*VLOOKUP('Données projet'!$B$9,Paramètres!$A$1:$I$89,3,0)*VLOOKUP('Données projet'!$B$9,Paramètres!$A$1:$I$89,5,0)</f>
        <v>342.01440000000002</v>
      </c>
      <c r="P89" s="14">
        <f t="shared" si="87"/>
        <v>79.915991022086629</v>
      </c>
      <c r="Q89" s="22">
        <f t="shared" si="54"/>
        <v>734.8620976968009</v>
      </c>
      <c r="R89" s="60">
        <f t="shared" si="55"/>
        <v>1028.1954310301342</v>
      </c>
      <c r="S89" s="60">
        <f ca="1">AVERAGE(OFFSET($R$3,0,0,'Données projet'!$E$9+1,1))-AVERAGE(OFFSET($H$3,0,0,'Données projet'!$E$9+1,1))</f>
        <v>399.92909819003523</v>
      </c>
      <c r="T89" s="60">
        <f t="shared" si="88"/>
        <v>163.7053537268381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565.59999999999957</v>
      </c>
      <c r="AJ89" s="14">
        <f>AI89*VLOOKUP('Données projet'!$B$10,Paramètres!$A$1:$I$89,3,0)*VLOOKUP('Données projet'!$B$10,Paramètres!$A$1:$I$89,5,0)</f>
        <v>338.22879999999975</v>
      </c>
      <c r="AK89" s="14">
        <f t="shared" si="89"/>
        <v>79.13389412315766</v>
      </c>
      <c r="AL89" s="22">
        <f t="shared" si="58"/>
        <v>726.90669226449916</v>
      </c>
      <c r="AM89" s="60">
        <f t="shared" si="59"/>
        <v>1020.2400255978325</v>
      </c>
      <c r="AN89" s="60">
        <f ca="1">AVERAGE(OFFSET($AM$3,0,0,'Données projet'!$E$10+1,1))-AVERAGE(OFFSET($H$3,0,0,'Données projet'!$E$10+1,1))</f>
        <v>455.43477166687273</v>
      </c>
      <c r="AO89" s="60">
        <f t="shared" si="90"/>
        <v>312.81310692672895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253.19999999999993</v>
      </c>
      <c r="BE89" s="14">
        <f>BD89*VLOOKUP('Données projet'!$B$11,Paramètres!$A$1:$I$89,3,0)*VLOOKUP('Données projet'!$B$11,Paramètres!$A$1:$I$89,5,0)</f>
        <v>229.09535999999991</v>
      </c>
      <c r="BF89" s="14">
        <f t="shared" si="91"/>
        <v>56.087032370558362</v>
      </c>
      <c r="BG89" s="22">
        <f t="shared" si="61"/>
        <v>496.69266671205565</v>
      </c>
      <c r="BH89" s="60">
        <f t="shared" si="62"/>
        <v>790.02600004538897</v>
      </c>
      <c r="BI89" s="60">
        <f ca="1">AVERAGE(OFFSET($BH$3,0,0,'Données projet'!$E$11+1,1))-AVERAGE(OFFSET($H$3,0,0,'Données projet'!$E$11+1,1))</f>
        <v>430.11660085503223</v>
      </c>
      <c r="BJ89" s="60">
        <f t="shared" si="92"/>
        <v>231.36959598460686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5.2</v>
      </c>
      <c r="BY89" s="13">
        <f>IF('Données projet'!$A$114&gt;35,BY88+BX89-CG88,IF(A89&lt;'Données projet'!$A$114,$BV$205^A89,IF(A89='Données projet'!$A$114,'Données projet'!$B$114,BY88+BX89-CG88)))</f>
        <v>253.19999999999993</v>
      </c>
      <c r="BZ89" s="14">
        <f>BY89*VLOOKUP('Données projet'!$B$12,Paramètres!$A$1:$I$89,3,0)*VLOOKUP('Données projet'!$B$12,Paramètres!$A$1:$I$89,5,0)</f>
        <v>256.74479999999994</v>
      </c>
      <c r="CA89" s="14">
        <f t="shared" si="93"/>
        <v>62.02799288712616</v>
      </c>
      <c r="CB89" s="22">
        <f t="shared" si="64"/>
        <v>555.1959476117446</v>
      </c>
      <c r="CC89" s="60">
        <f t="shared" si="65"/>
        <v>848.52928094507797</v>
      </c>
      <c r="CD89" s="60">
        <f ca="1">AVERAGE(OFFSET($CC$3,0,0,'Données projet'!$E$12+1,1))-AVERAGE(OFFSET($H$3,0,0,'Données projet'!$E$12+1,1))</f>
        <v>476.8965664931755</v>
      </c>
      <c r="CE89" s="60">
        <f t="shared" si="94"/>
        <v>254.25036207346591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5.2</v>
      </c>
      <c r="CT89" s="13">
        <f>IF('Données projet'!$A$140&gt;35,CT88+CS89-DB88,IF(A89&lt;'Données projet'!$A$140,$CQ$205^A89,IF(A89='Données projet'!$A$140,'Données projet'!$B$140,CT88+CS89-DB88)))</f>
        <v>253.19999999999993</v>
      </c>
      <c r="CU89" s="18">
        <f>CT89*VLOOKUP('Données projet'!$B$13,Paramètres!$A$1:$I$89,3,0)*VLOOKUP('Données projet'!$B$13,Paramètres!$A$1:$I$89,5,0)</f>
        <v>244.89503999999994</v>
      </c>
      <c r="CV89" s="14">
        <f t="shared" si="95"/>
        <v>59.491481383464382</v>
      </c>
      <c r="CW89" s="22">
        <f t="shared" si="67"/>
        <v>530.13985807620031</v>
      </c>
      <c r="CX89" s="60">
        <f t="shared" si="68"/>
        <v>823.47319140953368</v>
      </c>
      <c r="CY89" s="60">
        <f ca="1">AVERAGE(OFFSET($CX$3,0,0,'Données projet'!$E$13+1,1))-AVERAGE(OFFSET($H$3,0,0,'Données projet'!$E$13+1,1))</f>
        <v>456.86147223520601</v>
      </c>
      <c r="CZ89" s="60">
        <f t="shared" si="96"/>
        <v>244.45149244446094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3.2051282051281986</v>
      </c>
      <c r="DO89" s="13">
        <f>IF('Données projet'!$A$166&gt;35,DO88+DN89-DW88,IF(A89&lt;'Données projet'!$A$166,$DL$205^A89,IF(A89='Données projet'!$A$166,'Données projet'!$B$166,DO88+DN89-DW88)))</f>
        <v>184.6153846153847</v>
      </c>
      <c r="DP89" s="18">
        <f>DO89*VLOOKUP('Données projet'!$B$14,Paramètres!$A$1:$I$89,3,0)*VLOOKUP('Données projet'!$B$14,Paramètres!$A$1:$I$89,5,0)</f>
        <v>175.68000000000009</v>
      </c>
      <c r="DQ89" s="14">
        <f t="shared" si="97"/>
        <v>44.359711120210719</v>
      </c>
      <c r="DR89" s="22">
        <f t="shared" si="70"/>
        <v>383.23583020103388</v>
      </c>
      <c r="DS89" s="60">
        <f t="shared" si="71"/>
        <v>676.56916353436714</v>
      </c>
      <c r="DT89" s="60">
        <f ca="1">AVERAGE(OFFSET($DS$3,0,0,'Données projet'!$E$14+1,1))-AVERAGE(OFFSET($H$3,0,0,'Données projet'!$E$14+1,1))</f>
        <v>300.36889324671682</v>
      </c>
      <c r="DU89" s="60">
        <f t="shared" si="98"/>
        <v>214.36051699039683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-4.9658410716801891E-14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202.46844517174412</v>
      </c>
      <c r="EP89" s="60">
        <f t="shared" si="100"/>
        <v>185.00219255324515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4.1025641025640995</v>
      </c>
      <c r="FE89" s="13">
        <f>IF('Données projet'!$A$218&gt;35,FE88+FD89-FM88,IF(A89&lt;'Données projet'!$A$218,$FB$205^A89,IF(A89='Données projet'!$A$218,'Données projet'!$B$218,FE88+FD89-FM88)))</f>
        <v>293.20512820512818</v>
      </c>
      <c r="FF89" s="18">
        <f>FE89*VLOOKUP('Données projet'!$B$16,Paramètres!$A$1:$I$89,3,0)*VLOOKUP('Données projet'!$B$16,Paramètres!$A$1:$I$89,5,0)</f>
        <v>196.68199999999999</v>
      </c>
      <c r="FG89" s="14">
        <f t="shared" si="101"/>
        <v>49.014263299588542</v>
      </c>
      <c r="FH89" s="22">
        <f t="shared" si="76"/>
        <v>427.92099191345005</v>
      </c>
      <c r="FI89" s="60">
        <f t="shared" si="77"/>
        <v>721.25432524678331</v>
      </c>
      <c r="FJ89" s="60">
        <f ca="1">AVERAGE(OFFSET($FI$3,0,0,'Données projet'!$E$16+1,1))-AVERAGE(OFFSET($H$3,0,0,'Données projet'!$E$16+1,1))</f>
        <v>344.87493856469382</v>
      </c>
      <c r="FK89" s="60">
        <f t="shared" si="102"/>
        <v>261.91036689641402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>
        <f>FZ89*VLOOKUP('Données projet'!$B$17,Paramètres!$A$1:$I$89,3,0)*VLOOKUP('Données projet'!$B$17,Paramètres!$A$1:$I$89,5,0)</f>
        <v>0</v>
      </c>
      <c r="GB89" s="14" t="e">
        <f t="shared" si="103"/>
        <v>#NUM!</v>
      </c>
      <c r="GC89" s="22" t="e">
        <f t="shared" si="79"/>
        <v>#NUM!</v>
      </c>
      <c r="GD89" s="60" t="e">
        <f t="shared" si="80"/>
        <v>#NUM!</v>
      </c>
      <c r="GE89" s="60">
        <f ca="1">AVERAGE(OFFSET($GD$3,0,0,'Données projet'!$E$17+1,1))-AVERAGE(OFFSET($H$3,0,0,'Données projet'!$E$17+1,1))</f>
        <v>268.19959446602911</v>
      </c>
      <c r="GF89" s="60">
        <f t="shared" si="104"/>
        <v>691.2533336811855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47.417101246684105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47.417101246684105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1.1368683772161603E-13</v>
      </c>
      <c r="GV89" s="18">
        <f>GU89*VLOOKUP('Données projet'!$B$18,Paramètres!$A$1:$I$89,3,0)*VLOOKUP('Données projet'!$B$18,Paramètres!$A$1:$I$89,5,0)</f>
        <v>8.8675733422860506E-14</v>
      </c>
      <c r="GW89" s="14">
        <f t="shared" si="105"/>
        <v>1.3509285393066301E-12</v>
      </c>
      <c r="GX89" s="22">
        <f t="shared" si="82"/>
        <v>2.5073107750038623E-12</v>
      </c>
      <c r="GY89" s="60">
        <f t="shared" si="83"/>
        <v>293.33333333333582</v>
      </c>
      <c r="GZ89" s="60">
        <f ca="1">AVERAGE(OFFSET($GY$3,0,0,'Données projet'!$E$18+1,1))-AVERAGE(OFFSET($H$3,0,0,'Données projet'!$E$18+1,1))</f>
        <v>292.57482726862594</v>
      </c>
      <c r="HA89" s="60">
        <f t="shared" si="106"/>
        <v>283.48738729114024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17.8</v>
      </c>
      <c r="N90" s="14">
        <f>IF('Données projet'!$A$36&gt;35,N89+M90-V89,IF(A90&lt;'Données projet'!$A$36,$K$205^A90,IF(A90='Données projet'!$A$36,'Données projet'!$B$36,N89+M90-V89)))</f>
        <v>748.6</v>
      </c>
      <c r="O90" s="14">
        <f>N90*VLOOKUP('Données projet'!$B$9,Paramètres!$A$1:$I$89,3,0)*VLOOKUP('Données projet'!$B$9,Paramètres!$A$1:$I$89,5,0)</f>
        <v>350.34479999999996</v>
      </c>
      <c r="P90" s="14">
        <f t="shared" si="87"/>
        <v>81.633505069784817</v>
      </c>
      <c r="Q90" s="22">
        <f t="shared" si="54"/>
        <v>752.36221466320842</v>
      </c>
      <c r="R90" s="60">
        <f t="shared" si="55"/>
        <v>1045.6955479965418</v>
      </c>
      <c r="S90" s="60">
        <f ca="1">AVERAGE(OFFSET($R$3,0,0,'Données projet'!$E$9+1,1))-AVERAGE(OFFSET($H$3,0,0,'Données projet'!$E$9+1,1))</f>
        <v>399.92909819003523</v>
      </c>
      <c r="T90" s="60">
        <f t="shared" si="88"/>
        <v>163.7053537268381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572.19999999999959</v>
      </c>
      <c r="AJ90" s="14">
        <f>AI90*VLOOKUP('Données projet'!$B$10,Paramètres!$A$1:$I$89,3,0)*VLOOKUP('Données projet'!$B$10,Paramètres!$A$1:$I$89,5,0)</f>
        <v>342.1755999999998</v>
      </c>
      <c r="AK90" s="14">
        <f t="shared" si="89"/>
        <v>79.949272157261689</v>
      </c>
      <c r="AL90" s="22">
        <f t="shared" si="58"/>
        <v>735.20081900723028</v>
      </c>
      <c r="AM90" s="60">
        <f t="shared" si="59"/>
        <v>1028.5341523405637</v>
      </c>
      <c r="AN90" s="60">
        <f ca="1">AVERAGE(OFFSET($AM$3,0,0,'Données projet'!$E$10+1,1))-AVERAGE(OFFSET($H$3,0,0,'Données projet'!$E$10+1,1))</f>
        <v>455.43477166687273</v>
      </c>
      <c r="AO90" s="60">
        <f t="shared" si="90"/>
        <v>312.81310692672895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258.39999999999992</v>
      </c>
      <c r="BE90" s="14">
        <f>BD90*VLOOKUP('Données projet'!$B$11,Paramètres!$A$1:$I$89,3,0)*VLOOKUP('Données projet'!$B$11,Paramètres!$A$1:$I$89,5,0)</f>
        <v>233.80031999999994</v>
      </c>
      <c r="BF90" s="14">
        <f t="shared" si="91"/>
        <v>57.103614181373779</v>
      </c>
      <c r="BG90" s="22">
        <f t="shared" si="61"/>
        <v>506.65768536589252</v>
      </c>
      <c r="BH90" s="60">
        <f t="shared" si="62"/>
        <v>799.99101869922583</v>
      </c>
      <c r="BI90" s="60">
        <f ca="1">AVERAGE(OFFSET($BH$3,0,0,'Données projet'!$E$11+1,1))-AVERAGE(OFFSET($H$3,0,0,'Données projet'!$E$11+1,1))</f>
        <v>430.11660085503223</v>
      </c>
      <c r="BJ90" s="60">
        <f t="shared" si="92"/>
        <v>231.36959598460686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5.2</v>
      </c>
      <c r="BY90" s="13">
        <f>IF('Données projet'!$A$114&gt;35,BY89+BX90-CG89,IF(A90&lt;'Données projet'!$A$114,$BV$205^A90,IF(A90='Données projet'!$A$114,'Données projet'!$B$114,BY89+BX90-CG89)))</f>
        <v>258.39999999999992</v>
      </c>
      <c r="BZ90" s="14">
        <f>BY90*VLOOKUP('Données projet'!$B$12,Paramètres!$A$1:$I$89,3,0)*VLOOKUP('Données projet'!$B$12,Paramètres!$A$1:$I$89,5,0)</f>
        <v>262.01759999999996</v>
      </c>
      <c r="CA90" s="14">
        <f t="shared" si="93"/>
        <v>63.15225506797816</v>
      </c>
      <c r="CB90" s="22">
        <f t="shared" si="64"/>
        <v>566.33749757672854</v>
      </c>
      <c r="CC90" s="60">
        <f t="shared" si="65"/>
        <v>859.6708309100618</v>
      </c>
      <c r="CD90" s="60">
        <f ca="1">AVERAGE(OFFSET($CC$3,0,0,'Données projet'!$E$12+1,1))-AVERAGE(OFFSET($H$3,0,0,'Données projet'!$E$12+1,1))</f>
        <v>476.8965664931755</v>
      </c>
      <c r="CE90" s="60">
        <f t="shared" si="94"/>
        <v>254.25036207346591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5.2</v>
      </c>
      <c r="CT90" s="13">
        <f>IF('Données projet'!$A$140&gt;35,CT89+CS90-DB89,IF(A90&lt;'Données projet'!$A$140,$CQ$205^A90,IF(A90='Données projet'!$A$140,'Données projet'!$B$140,CT89+CS90-DB89)))</f>
        <v>258.39999999999992</v>
      </c>
      <c r="CU90" s="18">
        <f>CT90*VLOOKUP('Données projet'!$B$13,Paramètres!$A$1:$I$89,3,0)*VLOOKUP('Données projet'!$B$13,Paramètres!$A$1:$I$89,5,0)</f>
        <v>249.92447999999993</v>
      </c>
      <c r="CV90" s="14">
        <f t="shared" si="95"/>
        <v>60.569769096626466</v>
      </c>
      <c r="CW90" s="22">
        <f t="shared" si="67"/>
        <v>540.77748384329095</v>
      </c>
      <c r="CX90" s="60">
        <f t="shared" si="68"/>
        <v>834.11081717662432</v>
      </c>
      <c r="CY90" s="60">
        <f ca="1">AVERAGE(OFFSET($CX$3,0,0,'Données projet'!$E$13+1,1))-AVERAGE(OFFSET($H$3,0,0,'Données projet'!$E$13+1,1))</f>
        <v>456.86147223520601</v>
      </c>
      <c r="CZ90" s="60">
        <f t="shared" si="96"/>
        <v>244.45149244446094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3.2051282051281986</v>
      </c>
      <c r="DO90" s="13">
        <f>IF('Données projet'!$A$166&gt;35,DO89+DN90-DW89,IF(A90&lt;'Données projet'!$A$166,$DL$205^A90,IF(A90='Données projet'!$A$166,'Données projet'!$B$166,DO89+DN90-DW89)))</f>
        <v>187.8205128205129</v>
      </c>
      <c r="DP90" s="18">
        <f>DO90*VLOOKUP('Données projet'!$B$14,Paramètres!$A$1:$I$89,3,0)*VLOOKUP('Données projet'!$B$14,Paramètres!$A$1:$I$89,5,0)</f>
        <v>178.7300000000001</v>
      </c>
      <c r="DQ90" s="14">
        <f t="shared" si="97"/>
        <v>45.039518234041026</v>
      </c>
      <c r="DR90" s="22">
        <f t="shared" si="70"/>
        <v>389.73191092428829</v>
      </c>
      <c r="DS90" s="60">
        <f t="shared" si="71"/>
        <v>683.06524425762154</v>
      </c>
      <c r="DT90" s="60">
        <f ca="1">AVERAGE(OFFSET($DS$3,0,0,'Données projet'!$E$14+1,1))-AVERAGE(OFFSET($H$3,0,0,'Données projet'!$E$14+1,1))</f>
        <v>300.36889324671682</v>
      </c>
      <c r="DU90" s="60">
        <f t="shared" si="98"/>
        <v>214.36051699039683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-4.9658410716801891E-14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202.46844517174412</v>
      </c>
      <c r="EP90" s="60">
        <f t="shared" si="100"/>
        <v>185.00219255324515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4.1025641025640995</v>
      </c>
      <c r="FE90" s="13">
        <f>IF('Données projet'!$A$218&gt;35,FE89+FD90-FM89,IF(A90&lt;'Données projet'!$A$218,$FB$205^A90,IF(A90='Données projet'!$A$218,'Données projet'!$B$218,FE89+FD90-FM89)))</f>
        <v>297.30769230769226</v>
      </c>
      <c r="FF90" s="18">
        <f>FE90*VLOOKUP('Données projet'!$B$16,Paramètres!$A$1:$I$89,3,0)*VLOOKUP('Données projet'!$B$16,Paramètres!$A$1:$I$89,5,0)</f>
        <v>199.43399999999997</v>
      </c>
      <c r="FG90" s="14">
        <f t="shared" si="101"/>
        <v>49.619757547165513</v>
      </c>
      <c r="FH90" s="22">
        <f t="shared" si="76"/>
        <v>433.76862772797989</v>
      </c>
      <c r="FI90" s="60">
        <f t="shared" si="77"/>
        <v>727.1019610613132</v>
      </c>
      <c r="FJ90" s="60">
        <f ca="1">AVERAGE(OFFSET($FI$3,0,0,'Données projet'!$E$16+1,1))-AVERAGE(OFFSET($H$3,0,0,'Données projet'!$E$16+1,1))</f>
        <v>344.87493856469382</v>
      </c>
      <c r="FK90" s="60">
        <f t="shared" si="102"/>
        <v>261.91036689641402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>
        <f>FZ90*VLOOKUP('Données projet'!$B$17,Paramètres!$A$1:$I$89,3,0)*VLOOKUP('Données projet'!$B$17,Paramètres!$A$1:$I$89,5,0)</f>
        <v>0</v>
      </c>
      <c r="GB90" s="14" t="e">
        <f t="shared" si="103"/>
        <v>#NUM!</v>
      </c>
      <c r="GC90" s="22" t="e">
        <f t="shared" si="79"/>
        <v>#NUM!</v>
      </c>
      <c r="GD90" s="60" t="e">
        <f t="shared" si="80"/>
        <v>#NUM!</v>
      </c>
      <c r="GE90" s="60">
        <f ca="1">AVERAGE(OFFSET($GD$3,0,0,'Données projet'!$E$17+1,1))-AVERAGE(OFFSET($H$3,0,0,'Données projet'!$E$17+1,1))</f>
        <v>268.19959446602911</v>
      </c>
      <c r="GF90" s="60">
        <f t="shared" si="104"/>
        <v>691.2533336811855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46.487280812812621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46.487280812812621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1.1368683772161603E-13</v>
      </c>
      <c r="GV90" s="18">
        <f>GU90*VLOOKUP('Données projet'!$B$18,Paramètres!$A$1:$I$89,3,0)*VLOOKUP('Données projet'!$B$18,Paramètres!$A$1:$I$89,5,0)</f>
        <v>8.8675733422860506E-14</v>
      </c>
      <c r="GW90" s="14">
        <f t="shared" si="105"/>
        <v>1.3509285393066301E-12</v>
      </c>
      <c r="GX90" s="22">
        <f t="shared" si="82"/>
        <v>2.5073107750038623E-12</v>
      </c>
      <c r="GY90" s="60">
        <f t="shared" si="83"/>
        <v>293.33333333333582</v>
      </c>
      <c r="GZ90" s="60">
        <f ca="1">AVERAGE(OFFSET($GY$3,0,0,'Données projet'!$E$18+1,1))-AVERAGE(OFFSET($H$3,0,0,'Données projet'!$E$18+1,1))</f>
        <v>292.57482726862594</v>
      </c>
      <c r="HA90" s="60">
        <f t="shared" si="106"/>
        <v>283.48738729114024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17.8</v>
      </c>
      <c r="N91" s="14">
        <f>IF('Données projet'!$A$36&gt;35,N90+M91-V90,IF(A91&lt;'Données projet'!$A$36,$K$205^A91,IF(A91='Données projet'!$A$36,'Données projet'!$B$36,N90+M91-V90)))</f>
        <v>766.4</v>
      </c>
      <c r="O91" s="14">
        <f>N91*VLOOKUP('Données projet'!$B$9,Paramètres!$A$1:$I$89,3,0)*VLOOKUP('Données projet'!$B$9,Paramètres!$A$1:$I$89,5,0)</f>
        <v>358.67520000000002</v>
      </c>
      <c r="P91" s="14">
        <f t="shared" si="87"/>
        <v>83.346271607947827</v>
      </c>
      <c r="Q91" s="22">
        <f t="shared" si="54"/>
        <v>769.85406305050913</v>
      </c>
      <c r="R91" s="60">
        <f t="shared" si="55"/>
        <v>1063.1873963838425</v>
      </c>
      <c r="S91" s="60">
        <f ca="1">AVERAGE(OFFSET($R$3,0,0,'Données projet'!$E$9+1,1))-AVERAGE(OFFSET($H$3,0,0,'Données projet'!$E$9+1,1))</f>
        <v>399.92909819003523</v>
      </c>
      <c r="T91" s="60">
        <f t="shared" si="88"/>
        <v>163.7053537268381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578.79999999999961</v>
      </c>
      <c r="AJ91" s="14">
        <f>AI91*VLOOKUP('Données projet'!$B$10,Paramètres!$A$1:$I$89,3,0)*VLOOKUP('Données projet'!$B$10,Paramètres!$A$1:$I$89,5,0)</f>
        <v>346.1223999999998</v>
      </c>
      <c r="AK91" s="14">
        <f t="shared" si="89"/>
        <v>80.763556167633396</v>
      </c>
      <c r="AL91" s="22">
        <f t="shared" si="58"/>
        <v>743.49304032529437</v>
      </c>
      <c r="AM91" s="60">
        <f t="shared" si="59"/>
        <v>1036.8263736586277</v>
      </c>
      <c r="AN91" s="60">
        <f ca="1">AVERAGE(OFFSET($AM$3,0,0,'Données projet'!$E$10+1,1))-AVERAGE(OFFSET($H$3,0,0,'Données projet'!$E$10+1,1))</f>
        <v>455.43477166687273</v>
      </c>
      <c r="AO91" s="60">
        <f t="shared" si="90"/>
        <v>312.81310692672895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263.59999999999991</v>
      </c>
      <c r="BE91" s="14">
        <f>BD91*VLOOKUP('Données projet'!$B$11,Paramètres!$A$1:$I$89,3,0)*VLOOKUP('Données projet'!$B$11,Paramètres!$A$1:$I$89,5,0)</f>
        <v>238.50527999999991</v>
      </c>
      <c r="BF91" s="14">
        <f t="shared" si="91"/>
        <v>58.117817352909881</v>
      </c>
      <c r="BG91" s="22">
        <f t="shared" si="61"/>
        <v>516.61856122298445</v>
      </c>
      <c r="BH91" s="60">
        <f t="shared" si="62"/>
        <v>809.95189455631771</v>
      </c>
      <c r="BI91" s="60">
        <f ca="1">AVERAGE(OFFSET($BH$3,0,0,'Données projet'!$E$11+1,1))-AVERAGE(OFFSET($H$3,0,0,'Données projet'!$E$11+1,1))</f>
        <v>430.11660085503223</v>
      </c>
      <c r="BJ91" s="60">
        <f t="shared" si="92"/>
        <v>231.36959598460686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5.2</v>
      </c>
      <c r="BY91" s="13">
        <f>IF('Données projet'!$A$114&gt;35,BY90+BX91-CG90,IF(A91&lt;'Données projet'!$A$114,$BV$205^A91,IF(A91='Données projet'!$A$114,'Données projet'!$B$114,BY90+BX91-CG90)))</f>
        <v>263.59999999999991</v>
      </c>
      <c r="BZ91" s="14">
        <f>BY91*VLOOKUP('Données projet'!$B$12,Paramètres!$A$1:$I$89,3,0)*VLOOKUP('Données projet'!$B$12,Paramètres!$A$1:$I$89,5,0)</f>
        <v>267.29039999999992</v>
      </c>
      <c r="CA91" s="14">
        <f t="shared" si="93"/>
        <v>64.273886654661325</v>
      </c>
      <c r="CB91" s="22">
        <f t="shared" si="64"/>
        <v>577.47446592353504</v>
      </c>
      <c r="CC91" s="60">
        <f t="shared" si="65"/>
        <v>870.80779925686829</v>
      </c>
      <c r="CD91" s="60">
        <f ca="1">AVERAGE(OFFSET($CC$3,0,0,'Données projet'!$E$12+1,1))-AVERAGE(OFFSET($H$3,0,0,'Données projet'!$E$12+1,1))</f>
        <v>476.8965664931755</v>
      </c>
      <c r="CE91" s="60">
        <f t="shared" si="94"/>
        <v>254.25036207346591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5.2</v>
      </c>
      <c r="CT91" s="13">
        <f>IF('Données projet'!$A$140&gt;35,CT90+CS91-DB90,IF(A91&lt;'Données projet'!$A$140,$CQ$205^A91,IF(A91='Données projet'!$A$140,'Données projet'!$B$140,CT90+CS91-DB90)))</f>
        <v>263.59999999999991</v>
      </c>
      <c r="CU91" s="18">
        <f>CT91*VLOOKUP('Données projet'!$B$13,Paramètres!$A$1:$I$89,3,0)*VLOOKUP('Données projet'!$B$13,Paramètres!$A$1:$I$89,5,0)</f>
        <v>254.9539199999999</v>
      </c>
      <c r="CV91" s="14">
        <f t="shared" si="95"/>
        <v>61.645533788540526</v>
      </c>
      <c r="CW91" s="22">
        <f t="shared" si="67"/>
        <v>551.41071534837454</v>
      </c>
      <c r="CX91" s="60">
        <f t="shared" si="68"/>
        <v>844.74404868170791</v>
      </c>
      <c r="CY91" s="60">
        <f ca="1">AVERAGE(OFFSET($CX$3,0,0,'Données projet'!$E$13+1,1))-AVERAGE(OFFSET($H$3,0,0,'Données projet'!$E$13+1,1))</f>
        <v>456.86147223520601</v>
      </c>
      <c r="CZ91" s="60">
        <f t="shared" si="96"/>
        <v>244.45149244446094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3.2051282051281986</v>
      </c>
      <c r="DO91" s="13">
        <f>IF('Données projet'!$A$166&gt;35,DO90+DN91-DW90,IF(A91&lt;'Données projet'!$A$166,$DL$205^A91,IF(A91='Données projet'!$A$166,'Données projet'!$B$166,DO90+DN91-DW90)))</f>
        <v>191.02564102564111</v>
      </c>
      <c r="DP91" s="18">
        <f>DO91*VLOOKUP('Données projet'!$B$14,Paramètres!$A$1:$I$89,3,0)*VLOOKUP('Données projet'!$B$14,Paramètres!$A$1:$I$89,5,0)</f>
        <v>181.78000000000009</v>
      </c>
      <c r="DQ91" s="14">
        <f t="shared" si="97"/>
        <v>45.717976285292302</v>
      </c>
      <c r="DR91" s="22">
        <f t="shared" si="70"/>
        <v>396.22564203021756</v>
      </c>
      <c r="DS91" s="60">
        <f t="shared" si="71"/>
        <v>689.55897536355087</v>
      </c>
      <c r="DT91" s="60">
        <f ca="1">AVERAGE(OFFSET($DS$3,0,0,'Données projet'!$E$14+1,1))-AVERAGE(OFFSET($H$3,0,0,'Données projet'!$E$14+1,1))</f>
        <v>300.36889324671682</v>
      </c>
      <c r="DU91" s="60">
        <f t="shared" si="98"/>
        <v>214.36051699039683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-4.9658410716801891E-14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202.46844517174412</v>
      </c>
      <c r="EP91" s="60">
        <f t="shared" si="100"/>
        <v>185.00219255324515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4.1025641025640995</v>
      </c>
      <c r="FE91" s="13">
        <f>IF('Données projet'!$A$218&gt;35,FE90+FD91-FM90,IF(A91&lt;'Données projet'!$A$218,$FB$205^A91,IF(A91='Données projet'!$A$218,'Données projet'!$B$218,FE90+FD91-FM90)))</f>
        <v>301.41025641025635</v>
      </c>
      <c r="FF91" s="18">
        <f>FE91*VLOOKUP('Données projet'!$B$16,Paramètres!$A$1:$I$89,3,0)*VLOOKUP('Données projet'!$B$16,Paramètres!$A$1:$I$89,5,0)</f>
        <v>202.18599999999998</v>
      </c>
      <c r="FG91" s="14">
        <f t="shared" si="101"/>
        <v>50.224279992116678</v>
      </c>
      <c r="FH91" s="22">
        <f t="shared" si="76"/>
        <v>439.61457098626988</v>
      </c>
      <c r="FI91" s="60">
        <f t="shared" si="77"/>
        <v>732.94790431960314</v>
      </c>
      <c r="FJ91" s="60">
        <f ca="1">AVERAGE(OFFSET($FI$3,0,0,'Données projet'!$E$16+1,1))-AVERAGE(OFFSET($H$3,0,0,'Données projet'!$E$16+1,1))</f>
        <v>344.87493856469382</v>
      </c>
      <c r="FK91" s="60">
        <f t="shared" si="102"/>
        <v>261.91036689641402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>
        <f>FZ91*VLOOKUP('Données projet'!$B$17,Paramètres!$A$1:$I$89,3,0)*VLOOKUP('Données projet'!$B$17,Paramètres!$A$1:$I$89,5,0)</f>
        <v>0</v>
      </c>
      <c r="GB91" s="14" t="e">
        <f t="shared" si="103"/>
        <v>#NUM!</v>
      </c>
      <c r="GC91" s="22" t="e">
        <f t="shared" si="79"/>
        <v>#NUM!</v>
      </c>
      <c r="GD91" s="60" t="e">
        <f t="shared" si="80"/>
        <v>#NUM!</v>
      </c>
      <c r="GE91" s="60">
        <f ca="1">AVERAGE(OFFSET($GD$3,0,0,'Données projet'!$E$17+1,1))-AVERAGE(OFFSET($H$3,0,0,'Données projet'!$E$17+1,1))</f>
        <v>268.19959446602911</v>
      </c>
      <c r="GF91" s="60">
        <f t="shared" si="104"/>
        <v>691.2533336811855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45.575693590514895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45.575693590514895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1.1368683772161603E-13</v>
      </c>
      <c r="GV91" s="18">
        <f>GU91*VLOOKUP('Données projet'!$B$18,Paramètres!$A$1:$I$89,3,0)*VLOOKUP('Données projet'!$B$18,Paramètres!$A$1:$I$89,5,0)</f>
        <v>8.8675733422860506E-14</v>
      </c>
      <c r="GW91" s="14">
        <f t="shared" si="105"/>
        <v>1.3509285393066301E-12</v>
      </c>
      <c r="GX91" s="22">
        <f t="shared" si="82"/>
        <v>2.5073107750038623E-12</v>
      </c>
      <c r="GY91" s="60">
        <f t="shared" si="83"/>
        <v>293.33333333333582</v>
      </c>
      <c r="GZ91" s="60">
        <f ca="1">AVERAGE(OFFSET($GY$3,0,0,'Données projet'!$E$18+1,1))-AVERAGE(OFFSET($H$3,0,0,'Données projet'!$E$18+1,1))</f>
        <v>292.57482726862594</v>
      </c>
      <c r="HA91" s="60">
        <f t="shared" si="106"/>
        <v>283.48738729114024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17.8</v>
      </c>
      <c r="N92" s="14">
        <f>IF('Données projet'!$A$36&gt;35,N91+M92-V91,IF(A92&lt;'Données projet'!$A$36,$K$205^A92,IF(A92='Données projet'!$A$36,'Données projet'!$B$36,N91+M92-V91)))</f>
        <v>784.19999999999993</v>
      </c>
      <c r="O92" s="14">
        <f>N92*VLOOKUP('Données projet'!$B$9,Paramètres!$A$1:$I$89,3,0)*VLOOKUP('Données projet'!$B$9,Paramètres!$A$1:$I$89,5,0)</f>
        <v>367.00559999999996</v>
      </c>
      <c r="P92" s="14">
        <f t="shared" si="87"/>
        <v>85.054413590443389</v>
      </c>
      <c r="Q92" s="22">
        <f t="shared" si="54"/>
        <v>787.33785700335545</v>
      </c>
      <c r="R92" s="60">
        <f t="shared" si="55"/>
        <v>1080.6711903366888</v>
      </c>
      <c r="S92" s="60">
        <f ca="1">AVERAGE(OFFSET($R$3,0,0,'Données projet'!$E$9+1,1))-AVERAGE(OFFSET($H$3,0,0,'Données projet'!$E$9+1,1))</f>
        <v>399.92909819003523</v>
      </c>
      <c r="T92" s="60">
        <f t="shared" si="88"/>
        <v>163.7053537268381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585.39999999999964</v>
      </c>
      <c r="AJ92" s="14">
        <f>AI92*VLOOKUP('Données projet'!$B$10,Paramètres!$A$1:$I$89,3,0)*VLOOKUP('Données projet'!$B$10,Paramètres!$A$1:$I$89,5,0)</f>
        <v>350.0691999999998</v>
      </c>
      <c r="AK92" s="14">
        <f t="shared" si="89"/>
        <v>81.576760072781752</v>
      </c>
      <c r="AL92" s="22">
        <f t="shared" si="58"/>
        <v>751.78338046009458</v>
      </c>
      <c r="AM92" s="60">
        <f t="shared" si="59"/>
        <v>1045.1167137934278</v>
      </c>
      <c r="AN92" s="60">
        <f ca="1">AVERAGE(OFFSET($AM$3,0,0,'Données projet'!$E$10+1,1))-AVERAGE(OFFSET($H$3,0,0,'Données projet'!$E$10+1,1))</f>
        <v>455.43477166687273</v>
      </c>
      <c r="AO92" s="60">
        <f t="shared" si="90"/>
        <v>312.81310692672895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268.7999999999999</v>
      </c>
      <c r="BE92" s="14">
        <f>BD92*VLOOKUP('Données projet'!$B$11,Paramètres!$A$1:$I$89,3,0)*VLOOKUP('Données projet'!$B$11,Paramètres!$A$1:$I$89,5,0)</f>
        <v>243.21023999999991</v>
      </c>
      <c r="BF92" s="14">
        <f t="shared" si="91"/>
        <v>59.129694216846737</v>
      </c>
      <c r="BG92" s="22">
        <f t="shared" si="61"/>
        <v>526.57538542767463</v>
      </c>
      <c r="BH92" s="60">
        <f t="shared" si="62"/>
        <v>819.908718761008</v>
      </c>
      <c r="BI92" s="60">
        <f ca="1">AVERAGE(OFFSET($BH$3,0,0,'Données projet'!$E$11+1,1))-AVERAGE(OFFSET($H$3,0,0,'Données projet'!$E$11+1,1))</f>
        <v>430.11660085503223</v>
      </c>
      <c r="BJ92" s="60">
        <f t="shared" si="92"/>
        <v>231.36959598460686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5.2</v>
      </c>
      <c r="BY92" s="13">
        <f>IF('Données projet'!$A$114&gt;35,BY91+BX92-CG91,IF(A92&lt;'Données projet'!$A$114,$BV$205^A92,IF(A92='Données projet'!$A$114,'Données projet'!$B$114,BY91+BX92-CG91)))</f>
        <v>268.7999999999999</v>
      </c>
      <c r="BZ92" s="14">
        <f>BY92*VLOOKUP('Données projet'!$B$12,Paramètres!$A$1:$I$89,3,0)*VLOOKUP('Données projet'!$B$12,Paramètres!$A$1:$I$89,5,0)</f>
        <v>272.56319999999994</v>
      </c>
      <c r="CA92" s="14">
        <f t="shared" si="93"/>
        <v>65.392945522034609</v>
      </c>
      <c r="CB92" s="22">
        <f t="shared" si="64"/>
        <v>588.60695345087686</v>
      </c>
      <c r="CC92" s="60">
        <f t="shared" si="65"/>
        <v>881.94028678421023</v>
      </c>
      <c r="CD92" s="60">
        <f ca="1">AVERAGE(OFFSET($CC$3,0,0,'Données projet'!$E$12+1,1))-AVERAGE(OFFSET($H$3,0,0,'Données projet'!$E$12+1,1))</f>
        <v>476.8965664931755</v>
      </c>
      <c r="CE92" s="60">
        <f t="shared" si="94"/>
        <v>254.25036207346591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5.2</v>
      </c>
      <c r="CT92" s="13">
        <f>IF('Données projet'!$A$140&gt;35,CT91+CS92-DB91,IF(A92&lt;'Données projet'!$A$140,$CQ$205^A92,IF(A92='Données projet'!$A$140,'Données projet'!$B$140,CT91+CS92-DB91)))</f>
        <v>268.7999999999999</v>
      </c>
      <c r="CU92" s="18">
        <f>CT92*VLOOKUP('Données projet'!$B$13,Paramètres!$A$1:$I$89,3,0)*VLOOKUP('Données projet'!$B$13,Paramètres!$A$1:$I$89,5,0)</f>
        <v>259.98335999999995</v>
      </c>
      <c r="CV92" s="14">
        <f t="shared" si="95"/>
        <v>62.718830967388243</v>
      </c>
      <c r="CW92" s="22">
        <f t="shared" si="67"/>
        <v>562.03964926820106</v>
      </c>
      <c r="CX92" s="60">
        <f t="shared" si="68"/>
        <v>855.37298260153443</v>
      </c>
      <c r="CY92" s="60">
        <f ca="1">AVERAGE(OFFSET($CX$3,0,0,'Données projet'!$E$13+1,1))-AVERAGE(OFFSET($H$3,0,0,'Données projet'!$E$13+1,1))</f>
        <v>456.86147223520601</v>
      </c>
      <c r="CZ92" s="60">
        <f t="shared" si="96"/>
        <v>244.45149244446094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3.2051282051281986</v>
      </c>
      <c r="DO92" s="13">
        <f>IF('Données projet'!$A$166&gt;35,DO91+DN92-DW91,IF(A92&lt;'Données projet'!$A$166,$DL$205^A92,IF(A92='Données projet'!$A$166,'Données projet'!$B$166,DO91+DN92-DW91)))</f>
        <v>194.23076923076931</v>
      </c>
      <c r="DP92" s="18">
        <f>DO92*VLOOKUP('Données projet'!$B$14,Paramètres!$A$1:$I$89,3,0)*VLOOKUP('Données projet'!$B$14,Paramètres!$A$1:$I$89,5,0)</f>
        <v>184.8300000000001</v>
      </c>
      <c r="DQ92" s="14">
        <f t="shared" si="97"/>
        <v>46.395110521715885</v>
      </c>
      <c r="DR92" s="22">
        <f t="shared" si="70"/>
        <v>402.71706749198864</v>
      </c>
      <c r="DS92" s="60">
        <f t="shared" si="71"/>
        <v>696.05040082532196</v>
      </c>
      <c r="DT92" s="60">
        <f ca="1">AVERAGE(OFFSET($DS$3,0,0,'Données projet'!$E$14+1,1))-AVERAGE(OFFSET($H$3,0,0,'Données projet'!$E$14+1,1))</f>
        <v>300.36889324671682</v>
      </c>
      <c r="DU92" s="60">
        <f t="shared" si="98"/>
        <v>214.36051699039683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-4.9658410716801891E-14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202.46844517174412</v>
      </c>
      <c r="EP92" s="60">
        <f t="shared" si="100"/>
        <v>185.00219255324515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4.1025641025640995</v>
      </c>
      <c r="FE92" s="13">
        <f>IF('Données projet'!$A$218&gt;35,FE91+FD92-FM91,IF(A92&lt;'Données projet'!$A$218,$FB$205^A92,IF(A92='Données projet'!$A$218,'Données projet'!$B$218,FE91+FD92-FM91)))</f>
        <v>305.51282051282044</v>
      </c>
      <c r="FF92" s="18">
        <f>FE92*VLOOKUP('Données projet'!$B$16,Paramètres!$A$1:$I$89,3,0)*VLOOKUP('Données projet'!$B$16,Paramètres!$A$1:$I$89,5,0)</f>
        <v>204.93799999999999</v>
      </c>
      <c r="FG92" s="14">
        <f t="shared" si="101"/>
        <v>50.827845390767983</v>
      </c>
      <c r="FH92" s="22">
        <f t="shared" si="76"/>
        <v>445.4588473889209</v>
      </c>
      <c r="FI92" s="60">
        <f t="shared" si="77"/>
        <v>738.79218072225422</v>
      </c>
      <c r="FJ92" s="60">
        <f ca="1">AVERAGE(OFFSET($FI$3,0,0,'Données projet'!$E$16+1,1))-AVERAGE(OFFSET($H$3,0,0,'Données projet'!$E$16+1,1))</f>
        <v>344.87493856469382</v>
      </c>
      <c r="FK92" s="60">
        <f t="shared" si="102"/>
        <v>261.91036689641402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>
        <f>FZ92*VLOOKUP('Données projet'!$B$17,Paramètres!$A$1:$I$89,3,0)*VLOOKUP('Données projet'!$B$17,Paramètres!$A$1:$I$89,5,0)</f>
        <v>0</v>
      </c>
      <c r="GB92" s="14" t="e">
        <f t="shared" si="103"/>
        <v>#NUM!</v>
      </c>
      <c r="GC92" s="22" t="e">
        <f t="shared" si="79"/>
        <v>#NUM!</v>
      </c>
      <c r="GD92" s="60" t="e">
        <f t="shared" si="80"/>
        <v>#NUM!</v>
      </c>
      <c r="GE92" s="60">
        <f ca="1">AVERAGE(OFFSET($GD$3,0,0,'Données projet'!$E$17+1,1))-AVERAGE(OFFSET($H$3,0,0,'Données projet'!$E$17+1,1))</f>
        <v>268.19959446602911</v>
      </c>
      <c r="GF92" s="60">
        <f t="shared" si="104"/>
        <v>691.2533336811855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44.681982037633119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44.681982037633119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1.1368683772161603E-13</v>
      </c>
      <c r="GV92" s="18">
        <f>GU92*VLOOKUP('Données projet'!$B$18,Paramètres!$A$1:$I$89,3,0)*VLOOKUP('Données projet'!$B$18,Paramètres!$A$1:$I$89,5,0)</f>
        <v>8.8675733422860506E-14</v>
      </c>
      <c r="GW92" s="14">
        <f t="shared" si="105"/>
        <v>1.3509285393066301E-12</v>
      </c>
      <c r="GX92" s="22">
        <f t="shared" si="82"/>
        <v>2.5073107750038623E-12</v>
      </c>
      <c r="GY92" s="60">
        <f t="shared" si="83"/>
        <v>293.33333333333582</v>
      </c>
      <c r="GZ92" s="60">
        <f ca="1">AVERAGE(OFFSET($GY$3,0,0,'Données projet'!$E$18+1,1))-AVERAGE(OFFSET($H$3,0,0,'Données projet'!$E$18+1,1))</f>
        <v>292.57482726862594</v>
      </c>
      <c r="HA92" s="60">
        <f t="shared" si="106"/>
        <v>283.48738729114024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802</v>
      </c>
      <c r="L93" s="13">
        <f>VLOOKUP(A93,'Données projet'!$A$35:$I$55,9,0)</f>
        <v>17.8</v>
      </c>
      <c r="M93" s="13">
        <f t="array" ref="M93">INDEX(L:L,MIN(IF(ISNUMBER(L93:L289),ROW(L93:L289),"")))</f>
        <v>17.8</v>
      </c>
      <c r="N93" s="14">
        <f>IF('Données projet'!$A$36&gt;35,N92+M93-V92,IF(A93&lt;'Données projet'!$A$36,$K$205^A93,IF(A93='Données projet'!$A$36,'Données projet'!$B$36,N92+M93-V92)))</f>
        <v>801.99999999999989</v>
      </c>
      <c r="O93" s="14">
        <f>N93*VLOOKUP('Données projet'!$B$9,Paramètres!$A$1:$I$89,3,0)*VLOOKUP('Données projet'!$B$9,Paramètres!$A$1:$I$89,5,0)</f>
        <v>375.33599999999996</v>
      </c>
      <c r="P93" s="14">
        <f t="shared" si="87"/>
        <v>86.75804807087205</v>
      </c>
      <c r="Q93" s="22">
        <f t="shared" si="54"/>
        <v>804.81380039010207</v>
      </c>
      <c r="R93" s="60">
        <f t="shared" si="55"/>
        <v>1098.1471337234354</v>
      </c>
      <c r="S93" s="60">
        <f ca="1">AVERAGE(OFFSET($R$3,0,0,'Données projet'!$E$9+1,1))-AVERAGE(OFFSET($H$3,0,0,'Données projet'!$E$9+1,1))</f>
        <v>399.92909819003523</v>
      </c>
      <c r="T93" s="60">
        <f t="shared" si="88"/>
        <v>163.7053537268381</v>
      </c>
      <c r="U93" s="16">
        <f>IF(ISNA(VLOOKUP(A93,'Données projet'!$A$35:$I$55,3,0)),0,VLOOKUP(A93,'Données projet'!$A$35:$I$55,3,0))</f>
        <v>6</v>
      </c>
      <c r="V93" s="16">
        <f>IF(ISNA(VLOOKUP(A93,'Données projet'!$A$35:$I$55,4,0)),0,VLOOKUP(A93,'Données projet'!$A$35:$I$55,4,0))</f>
        <v>97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592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591.99999999999966</v>
      </c>
      <c r="AJ93" s="14">
        <f>AI93*VLOOKUP('Données projet'!$B$10,Paramètres!$A$1:$I$89,3,0)*VLOOKUP('Données projet'!$B$10,Paramètres!$A$1:$I$89,5,0)</f>
        <v>354.01599999999985</v>
      </c>
      <c r="AK93" s="14">
        <f t="shared" si="89"/>
        <v>82.388897459302981</v>
      </c>
      <c r="AL93" s="22">
        <f t="shared" si="58"/>
        <v>760.07186307495249</v>
      </c>
      <c r="AM93" s="60">
        <f t="shared" si="59"/>
        <v>1053.4051964082857</v>
      </c>
      <c r="AN93" s="60">
        <f ca="1">AVERAGE(OFFSET($AM$3,0,0,'Données projet'!$E$10+1,1))-AVERAGE(OFFSET($H$3,0,0,'Données projet'!$E$10+1,1))</f>
        <v>455.43477166687273</v>
      </c>
      <c r="AO93" s="60">
        <f t="shared" si="90"/>
        <v>312.81310692672895</v>
      </c>
      <c r="AP93" s="16">
        <f>IF(ISNA(VLOOKUP(A93,'Données projet'!$A$61:$I$81,3,0)),0,VLOOKUP(A93,'Données projet'!$A$61:$I$81,3,0))</f>
        <v>4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273.99999999999989</v>
      </c>
      <c r="BE93" s="14">
        <f>BD93*VLOOKUP('Données projet'!$B$11,Paramètres!$A$1:$I$89,3,0)*VLOOKUP('Données projet'!$B$11,Paramètres!$A$1:$I$89,5,0)</f>
        <v>247.91519999999991</v>
      </c>
      <c r="BF93" s="14">
        <f t="shared" si="91"/>
        <v>60.139294964297406</v>
      </c>
      <c r="BG93" s="22">
        <f t="shared" si="61"/>
        <v>536.52824539615108</v>
      </c>
      <c r="BH93" s="60">
        <f t="shared" si="62"/>
        <v>829.86157872948434</v>
      </c>
      <c r="BI93" s="60">
        <f ca="1">AVERAGE(OFFSET($BH$3,0,0,'Données projet'!$E$11+1,1))-AVERAGE(OFFSET($H$3,0,0,'Données projet'!$E$11+1,1))</f>
        <v>430.11660085503223</v>
      </c>
      <c r="BJ93" s="60">
        <f t="shared" si="92"/>
        <v>231.36959598460686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5.2</v>
      </c>
      <c r="BY93" s="13">
        <f>IF('Données projet'!$A$114&gt;35,BY92+BX93-CG92,IF(A93&lt;'Données projet'!$A$114,$BV$205^A93,IF(A93='Données projet'!$A$114,'Données projet'!$B$114,BY92+BX93-CG92)))</f>
        <v>273.99999999999989</v>
      </c>
      <c r="BZ93" s="14">
        <f>BY93*VLOOKUP('Données projet'!$B$12,Paramètres!$A$1:$I$89,3,0)*VLOOKUP('Données projet'!$B$12,Paramètres!$A$1:$I$89,5,0)</f>
        <v>277.8359999999999</v>
      </c>
      <c r="CA93" s="14">
        <f t="shared" si="93"/>
        <v>66.509487177652318</v>
      </c>
      <c r="CB93" s="22">
        <f t="shared" si="64"/>
        <v>599.73505683441101</v>
      </c>
      <c r="CC93" s="60">
        <f t="shared" si="65"/>
        <v>893.06839016774438</v>
      </c>
      <c r="CD93" s="60">
        <f ca="1">AVERAGE(OFFSET($CC$3,0,0,'Données projet'!$E$12+1,1))-AVERAGE(OFFSET($H$3,0,0,'Données projet'!$E$12+1,1))</f>
        <v>476.8965664931755</v>
      </c>
      <c r="CE93" s="60">
        <f t="shared" si="94"/>
        <v>254.25036207346591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5.2</v>
      </c>
      <c r="CT93" s="13">
        <f>IF('Données projet'!$A$140&gt;35,CT92+CS93-DB92,IF(A93&lt;'Données projet'!$A$140,$CQ$205^A93,IF(A93='Données projet'!$A$140,'Données projet'!$B$140,CT92+CS93-DB92)))</f>
        <v>273.99999999999989</v>
      </c>
      <c r="CU93" s="18">
        <f>CT93*VLOOKUP('Données projet'!$B$13,Paramètres!$A$1:$I$89,3,0)*VLOOKUP('Données projet'!$B$13,Paramètres!$A$1:$I$89,5,0)</f>
        <v>265.01279999999991</v>
      </c>
      <c r="CV93" s="14">
        <f t="shared" si="95"/>
        <v>63.789713870852729</v>
      </c>
      <c r="CW93" s="22">
        <f t="shared" si="67"/>
        <v>572.66437832506824</v>
      </c>
      <c r="CX93" s="60">
        <f t="shared" si="68"/>
        <v>865.99771165840161</v>
      </c>
      <c r="CY93" s="60">
        <f ca="1">AVERAGE(OFFSET($CX$3,0,0,'Données projet'!$E$13+1,1))-AVERAGE(OFFSET($H$3,0,0,'Données projet'!$E$13+1,1))</f>
        <v>456.86147223520601</v>
      </c>
      <c r="CZ93" s="60">
        <f t="shared" si="96"/>
        <v>244.45149244446094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197.4358974358974</v>
      </c>
      <c r="DM93" s="13">
        <f>VLOOKUP(A93,'Données projet'!$A$165:$I$185,9,0)</f>
        <v>3.2051282051281986</v>
      </c>
      <c r="DN93" s="13">
        <f t="array" ref="DN93">INDEX(DM:DM,MIN(IF(ISNUMBER(DM93:DM289),ROW(DM93:DM289),"")))</f>
        <v>3.2051282051281986</v>
      </c>
      <c r="DO93" s="13">
        <f>IF('Données projet'!$A$166&gt;35,DO92+DN93-DW92,IF(A93&lt;'Données projet'!$A$166,$DL$205^A93,IF(A93='Données projet'!$A$166,'Données projet'!$B$166,DO92+DN93-DW92)))</f>
        <v>197.43589743589752</v>
      </c>
      <c r="DP93" s="18">
        <f>DO93*VLOOKUP('Données projet'!$B$14,Paramètres!$A$1:$I$89,3,0)*VLOOKUP('Données projet'!$B$14,Paramètres!$A$1:$I$89,5,0)</f>
        <v>187.88000000000008</v>
      </c>
      <c r="DQ93" s="14">
        <f t="shared" si="97"/>
        <v>47.070945310035327</v>
      </c>
      <c r="DR93" s="22">
        <f t="shared" si="70"/>
        <v>409.20622974831167</v>
      </c>
      <c r="DS93" s="60">
        <f t="shared" si="71"/>
        <v>702.53956308164493</v>
      </c>
      <c r="DT93" s="60">
        <f ca="1">AVERAGE(OFFSET($DS$3,0,0,'Données projet'!$E$14+1,1))-AVERAGE(OFFSET($H$3,0,0,'Données projet'!$E$14+1,1))</f>
        <v>300.36889324671682</v>
      </c>
      <c r="DU93" s="60">
        <f t="shared" si="98"/>
        <v>214.36051699039683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21.153846153846153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-4.9658410716801891E-14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202.46844517174412</v>
      </c>
      <c r="EP93" s="60">
        <f t="shared" si="100"/>
        <v>185.00219255324515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309.61538461538458</v>
      </c>
      <c r="FC93" s="13">
        <f>VLOOKUP(A93,'Données projet'!$A$217:$I$237,9,0)</f>
        <v>4.1025641025640995</v>
      </c>
      <c r="FD93" s="13">
        <f t="array" ref="FD93">INDEX(FC:FC,MIN(IF(ISNUMBER(FC93:FC289),ROW(FC93:FC289),"")))</f>
        <v>4.1025641025640995</v>
      </c>
      <c r="FE93" s="13">
        <f>IF('Données projet'!$A$218&gt;35,FE92+FD93-FM92,IF(A93&lt;'Données projet'!$A$218,$FB$205^A93,IF(A93='Données projet'!$A$218,'Données projet'!$B$218,FE92+FD93-FM92)))</f>
        <v>309.61538461538453</v>
      </c>
      <c r="FF93" s="18">
        <f>FE93*VLOOKUP('Données projet'!$B$16,Paramètres!$A$1:$I$89,3,0)*VLOOKUP('Données projet'!$B$16,Paramètres!$A$1:$I$89,5,0)</f>
        <v>207.68999999999997</v>
      </c>
      <c r="FG93" s="14">
        <f t="shared" si="101"/>
        <v>51.430468080360896</v>
      </c>
      <c r="FH93" s="22">
        <f t="shared" si="76"/>
        <v>451.30148190662845</v>
      </c>
      <c r="FI93" s="60">
        <f t="shared" si="77"/>
        <v>744.63481523996177</v>
      </c>
      <c r="FJ93" s="60">
        <f ca="1">AVERAGE(OFFSET($FI$3,0,0,'Données projet'!$E$16+1,1))-AVERAGE(OFFSET($H$3,0,0,'Données projet'!$E$16+1,1))</f>
        <v>344.87493856469382</v>
      </c>
      <c r="FK93" s="60">
        <f t="shared" si="102"/>
        <v>261.91036689641402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>
        <f>FZ93*VLOOKUP('Données projet'!$B$17,Paramètres!$A$1:$I$89,3,0)*VLOOKUP('Données projet'!$B$17,Paramètres!$A$1:$I$89,5,0)</f>
        <v>0</v>
      </c>
      <c r="GB93" s="14" t="e">
        <f t="shared" si="103"/>
        <v>#NUM!</v>
      </c>
      <c r="GC93" s="22" t="e">
        <f t="shared" si="79"/>
        <v>#NUM!</v>
      </c>
      <c r="GD93" s="60" t="e">
        <f t="shared" si="80"/>
        <v>#NUM!</v>
      </c>
      <c r="GE93" s="60">
        <f ca="1">AVERAGE(OFFSET($GD$3,0,0,'Données projet'!$E$17+1,1))-AVERAGE(OFFSET($H$3,0,0,'Données projet'!$E$17+1,1))</f>
        <v>268.19959446602911</v>
      </c>
      <c r="GF93" s="60">
        <f t="shared" si="104"/>
        <v>691.2533336811855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43.805795623193134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43.805795623193134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1.1368683772161603E-13</v>
      </c>
      <c r="GV93" s="18">
        <f>GU93*VLOOKUP('Données projet'!$B$18,Paramètres!$A$1:$I$89,3,0)*VLOOKUP('Données projet'!$B$18,Paramètres!$A$1:$I$89,5,0)</f>
        <v>8.8675733422860506E-14</v>
      </c>
      <c r="GW93" s="14">
        <f t="shared" si="105"/>
        <v>1.3509285393066301E-12</v>
      </c>
      <c r="GX93" s="22">
        <f t="shared" si="82"/>
        <v>2.5073107750038623E-12</v>
      </c>
      <c r="GY93" s="60">
        <f t="shared" si="83"/>
        <v>293.33333333333582</v>
      </c>
      <c r="GZ93" s="60">
        <f ca="1">AVERAGE(OFFSET($GY$3,0,0,'Données projet'!$E$18+1,1))-AVERAGE(OFFSET($H$3,0,0,'Données projet'!$E$18+1,1))</f>
        <v>292.57482726862594</v>
      </c>
      <c r="HA93" s="60">
        <f t="shared" si="106"/>
        <v>283.48738729114024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15</v>
      </c>
      <c r="N94" s="14">
        <f>IF('Données projet'!$A$36&gt;35,N93+M94-V93,IF(A94&lt;'Données projet'!$A$36,$K$205^A94,IF(A94='Données projet'!$A$36,'Données projet'!$B$36,N93+M94-V93)))</f>
        <v>719.99999999999989</v>
      </c>
      <c r="O94" s="14">
        <f>N94*VLOOKUP('Données projet'!$B$9,Paramètres!$A$1:$I$89,3,0)*VLOOKUP('Données projet'!$B$9,Paramètres!$A$1:$I$89,5,0)</f>
        <v>336.95999999999992</v>
      </c>
      <c r="P94" s="14">
        <f t="shared" si="87"/>
        <v>78.871535242083567</v>
      </c>
      <c r="Q94" s="22">
        <f t="shared" si="54"/>
        <v>724.23992387996202</v>
      </c>
      <c r="R94" s="60">
        <f t="shared" si="55"/>
        <v>1017.5732572132954</v>
      </c>
      <c r="S94" s="60">
        <f ca="1">AVERAGE(OFFSET($R$3,0,0,'Données projet'!$E$9+1,1))-AVERAGE(OFFSET($H$3,0,0,'Données projet'!$E$9+1,1))</f>
        <v>399.92909819003523</v>
      </c>
      <c r="T94" s="60">
        <f t="shared" si="88"/>
        <v>163.7053537268381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6.4</v>
      </c>
      <c r="AI94" s="14">
        <f>IF('Données projet'!$A$62&gt;35,AI93+AH94-AQ93,IF(A94&lt;'Données projet'!$A$62,$AF$205^A94,IF(A94='Données projet'!$A$62,'Données projet'!$B$62,AI93+AH94-AQ93)))</f>
        <v>525.39999999999964</v>
      </c>
      <c r="AJ94" s="14">
        <f>AI94*VLOOKUP('Données projet'!$B$10,Paramètres!$A$1:$I$89,3,0)*VLOOKUP('Données projet'!$B$10,Paramètres!$A$1:$I$89,5,0)</f>
        <v>314.1891999999998</v>
      </c>
      <c r="AK94" s="14">
        <f t="shared" si="89"/>
        <v>74.143017225685284</v>
      </c>
      <c r="AL94" s="22">
        <f t="shared" si="58"/>
        <v>676.34527833473487</v>
      </c>
      <c r="AM94" s="60">
        <f t="shared" si="59"/>
        <v>969.67861166806824</v>
      </c>
      <c r="AN94" s="60">
        <f ca="1">AVERAGE(OFFSET($AM$3,0,0,'Données projet'!$E$10+1,1))-AVERAGE(OFFSET($H$3,0,0,'Données projet'!$E$10+1,1))</f>
        <v>455.43477166687273</v>
      </c>
      <c r="AO94" s="60">
        <f t="shared" si="90"/>
        <v>312.81310692672895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279.19999999999987</v>
      </c>
      <c r="BE94" s="14">
        <f>BD94*VLOOKUP('Données projet'!$B$11,Paramètres!$A$1:$I$89,3,0)*VLOOKUP('Données projet'!$B$11,Paramètres!$A$1:$I$89,5,0)</f>
        <v>252.62015999999988</v>
      </c>
      <c r="BF94" s="14">
        <f t="shared" si="91"/>
        <v>61.14666777229877</v>
      </c>
      <c r="BG94" s="22">
        <f t="shared" si="61"/>
        <v>546.47722503675345</v>
      </c>
      <c r="BH94" s="60">
        <f t="shared" si="62"/>
        <v>839.81055837008671</v>
      </c>
      <c r="BI94" s="60">
        <f ca="1">AVERAGE(OFFSET($BH$3,0,0,'Données projet'!$E$11+1,1))-AVERAGE(OFFSET($H$3,0,0,'Données projet'!$E$11+1,1))</f>
        <v>430.11660085503223</v>
      </c>
      <c r="BJ94" s="60">
        <f t="shared" si="92"/>
        <v>231.36959598460686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5.2</v>
      </c>
      <c r="BY94" s="13">
        <f>IF('Données projet'!$A$114&gt;35,BY93+BX94-CG93,IF(A94&lt;'Données projet'!$A$114,$BV$205^A94,IF(A94='Données projet'!$A$114,'Données projet'!$B$114,BY93+BX94-CG93)))</f>
        <v>279.19999999999987</v>
      </c>
      <c r="BZ94" s="14">
        <f>BY94*VLOOKUP('Données projet'!$B$12,Paramètres!$A$1:$I$89,3,0)*VLOOKUP('Données projet'!$B$12,Paramètres!$A$1:$I$89,5,0)</f>
        <v>283.10879999999992</v>
      </c>
      <c r="CA94" s="14">
        <f t="shared" si="93"/>
        <v>67.623564901653808</v>
      </c>
      <c r="CB94" s="22">
        <f t="shared" si="64"/>
        <v>610.85886887038021</v>
      </c>
      <c r="CC94" s="60">
        <f t="shared" si="65"/>
        <v>904.19220220371358</v>
      </c>
      <c r="CD94" s="60">
        <f ca="1">AVERAGE(OFFSET($CC$3,0,0,'Données projet'!$E$12+1,1))-AVERAGE(OFFSET($H$3,0,0,'Données projet'!$E$12+1,1))</f>
        <v>476.8965664931755</v>
      </c>
      <c r="CE94" s="60">
        <f t="shared" si="94"/>
        <v>254.25036207346591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5.2</v>
      </c>
      <c r="CT94" s="13">
        <f>IF('Données projet'!$A$140&gt;35,CT93+CS94-DB93,IF(A94&lt;'Données projet'!$A$140,$CQ$205^A94,IF(A94='Données projet'!$A$140,'Données projet'!$B$140,CT93+CS94-DB93)))</f>
        <v>279.19999999999987</v>
      </c>
      <c r="CU94" s="18">
        <f>CT94*VLOOKUP('Données projet'!$B$13,Paramètres!$A$1:$I$89,3,0)*VLOOKUP('Données projet'!$B$13,Paramètres!$A$1:$I$89,5,0)</f>
        <v>270.04223999999988</v>
      </c>
      <c r="CV94" s="14">
        <f t="shared" si="95"/>
        <v>64.858233600288088</v>
      </c>
      <c r="CW94" s="22">
        <f t="shared" si="67"/>
        <v>583.28499152050153</v>
      </c>
      <c r="CX94" s="60">
        <f t="shared" si="68"/>
        <v>876.61832485383479</v>
      </c>
      <c r="CY94" s="60">
        <f ca="1">AVERAGE(OFFSET($CX$3,0,0,'Données projet'!$E$13+1,1))-AVERAGE(OFFSET($H$3,0,0,'Données projet'!$E$13+1,1))</f>
        <v>456.86147223520601</v>
      </c>
      <c r="CZ94" s="60">
        <f t="shared" si="96"/>
        <v>244.45149244446094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2.948717948717956</v>
      </c>
      <c r="DO94" s="13">
        <f>IF('Données projet'!$A$166&gt;35,DO93+DN94-DW93,IF(A94&lt;'Données projet'!$A$166,$DL$205^A94,IF(A94='Données projet'!$A$166,'Données projet'!$B$166,DO93+DN94-DW93)))</f>
        <v>179.23076923076931</v>
      </c>
      <c r="DP94" s="18">
        <f>DO94*VLOOKUP('Données projet'!$B$14,Paramètres!$A$1:$I$89,3,0)*VLOOKUP('Données projet'!$B$14,Paramètres!$A$1:$I$89,5,0)</f>
        <v>170.55600000000007</v>
      </c>
      <c r="DQ94" s="14">
        <f t="shared" si="97"/>
        <v>43.214525415201543</v>
      </c>
      <c r="DR94" s="22">
        <f t="shared" si="70"/>
        <v>372.31699843147612</v>
      </c>
      <c r="DS94" s="60">
        <f t="shared" si="71"/>
        <v>665.65033176480938</v>
      </c>
      <c r="DT94" s="60">
        <f ca="1">AVERAGE(OFFSET($DS$3,0,0,'Données projet'!$E$14+1,1))-AVERAGE(OFFSET($H$3,0,0,'Données projet'!$E$14+1,1))</f>
        <v>300.36889324671682</v>
      </c>
      <c r="DU94" s="60">
        <f t="shared" si="98"/>
        <v>214.36051699039683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-4.9658410716801891E-14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202.46844517174412</v>
      </c>
      <c r="EP94" s="60">
        <f t="shared" si="100"/>
        <v>185.00219255324515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3.9743589743589838</v>
      </c>
      <c r="FE94" s="13">
        <f>IF('Données projet'!$A$218&gt;35,FE93+FD94-FM93,IF(A94&lt;'Données projet'!$A$218,$FB$205^A94,IF(A94='Données projet'!$A$218,'Données projet'!$B$218,FE93+FD94-FM93)))</f>
        <v>313.58974358974353</v>
      </c>
      <c r="FF94" s="18">
        <f>FE94*VLOOKUP('Données projet'!$B$16,Paramètres!$A$1:$I$89,3,0)*VLOOKUP('Données projet'!$B$16,Paramètres!$A$1:$I$89,5,0)</f>
        <v>210.35599999999997</v>
      </c>
      <c r="FG94" s="14">
        <f t="shared" si="101"/>
        <v>52.013372984495476</v>
      </c>
      <c r="FH94" s="22">
        <f t="shared" si="76"/>
        <v>456.95999128132956</v>
      </c>
      <c r="FI94" s="60">
        <f t="shared" si="77"/>
        <v>750.29332461466288</v>
      </c>
      <c r="FJ94" s="60">
        <f ca="1">AVERAGE(OFFSET($FI$3,0,0,'Données projet'!$E$16+1,1))-AVERAGE(OFFSET($H$3,0,0,'Données projet'!$E$16+1,1))</f>
        <v>344.87493856469382</v>
      </c>
      <c r="FK94" s="60">
        <f t="shared" si="102"/>
        <v>261.91036689641402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>
        <f>FZ94*VLOOKUP('Données projet'!$B$17,Paramètres!$A$1:$I$89,3,0)*VLOOKUP('Données projet'!$B$17,Paramètres!$A$1:$I$89,5,0)</f>
        <v>0</v>
      </c>
      <c r="GB94" s="14" t="e">
        <f t="shared" si="103"/>
        <v>#NUM!</v>
      </c>
      <c r="GC94" s="22" t="e">
        <f t="shared" si="79"/>
        <v>#NUM!</v>
      </c>
      <c r="GD94" s="60" t="e">
        <f t="shared" si="80"/>
        <v>#NUM!</v>
      </c>
      <c r="GE94" s="60">
        <f ca="1">AVERAGE(OFFSET($GD$3,0,0,'Données projet'!$E$17+1,1))-AVERAGE(OFFSET($H$3,0,0,'Données projet'!$E$17+1,1))</f>
        <v>268.19959446602911</v>
      </c>
      <c r="GF94" s="60">
        <f t="shared" si="104"/>
        <v>691.2533336811855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42.946790689919375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42.946790689919375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1.1368683772161603E-13</v>
      </c>
      <c r="GV94" s="18">
        <f>GU94*VLOOKUP('Données projet'!$B$18,Paramètres!$A$1:$I$89,3,0)*VLOOKUP('Données projet'!$B$18,Paramètres!$A$1:$I$89,5,0)</f>
        <v>8.8675733422860506E-14</v>
      </c>
      <c r="GW94" s="14">
        <f t="shared" si="105"/>
        <v>1.3509285393066301E-12</v>
      </c>
      <c r="GX94" s="22">
        <f t="shared" si="82"/>
        <v>2.5073107750038623E-12</v>
      </c>
      <c r="GY94" s="60">
        <f t="shared" si="83"/>
        <v>293.33333333333582</v>
      </c>
      <c r="GZ94" s="60">
        <f ca="1">AVERAGE(OFFSET($GY$3,0,0,'Données projet'!$E$18+1,1))-AVERAGE(OFFSET($H$3,0,0,'Données projet'!$E$18+1,1))</f>
        <v>292.57482726862594</v>
      </c>
      <c r="HA94" s="60">
        <f t="shared" si="106"/>
        <v>283.48738729114024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15</v>
      </c>
      <c r="N95" s="14">
        <f>IF('Données projet'!$A$36&gt;35,N94+M95-V94,IF(A95&lt;'Données projet'!$A$36,$K$205^A95,IF(A95='Données projet'!$A$36,'Données projet'!$B$36,N94+M95-V94)))</f>
        <v>734.99999999999989</v>
      </c>
      <c r="O95" s="14">
        <f>N95*VLOOKUP('Données projet'!$B$9,Paramètres!$A$1:$I$89,3,0)*VLOOKUP('Données projet'!$B$9,Paramètres!$A$1:$I$89,5,0)</f>
        <v>343.97999999999996</v>
      </c>
      <c r="P95" s="14">
        <f t="shared" si="87"/>
        <v>80.321681832084693</v>
      </c>
      <c r="Q95" s="22">
        <f t="shared" si="54"/>
        <v>738.9920958575475</v>
      </c>
      <c r="R95" s="60">
        <f t="shared" si="55"/>
        <v>1032.3254291908809</v>
      </c>
      <c r="S95" s="60">
        <f ca="1">AVERAGE(OFFSET($R$3,0,0,'Données projet'!$E$9+1,1))-AVERAGE(OFFSET($H$3,0,0,'Données projet'!$E$9+1,1))</f>
        <v>399.92909819003523</v>
      </c>
      <c r="T95" s="60">
        <f t="shared" si="88"/>
        <v>163.7053537268381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6.4</v>
      </c>
      <c r="AI95" s="14">
        <f>IF('Données projet'!$A$62&gt;35,AI94+AH95-AQ94,IF(A95&lt;'Données projet'!$A$62,$AF$205^A95,IF(A95='Données projet'!$A$62,'Données projet'!$B$62,AI94+AH95-AQ94)))</f>
        <v>531.79999999999961</v>
      </c>
      <c r="AJ95" s="14">
        <f>AI95*VLOOKUP('Données projet'!$B$10,Paramètres!$A$1:$I$89,3,0)*VLOOKUP('Données projet'!$B$10,Paramètres!$A$1:$I$89,5,0)</f>
        <v>318.01639999999981</v>
      </c>
      <c r="AK95" s="14">
        <f t="shared" si="89"/>
        <v>74.940477863341627</v>
      </c>
      <c r="AL95" s="22">
        <f t="shared" si="58"/>
        <v>684.39989561198638</v>
      </c>
      <c r="AM95" s="60">
        <f t="shared" si="59"/>
        <v>977.73322894531975</v>
      </c>
      <c r="AN95" s="60">
        <f ca="1">AVERAGE(OFFSET($AM$3,0,0,'Données projet'!$E$10+1,1))-AVERAGE(OFFSET($H$3,0,0,'Données projet'!$E$10+1,1))</f>
        <v>455.43477166687273</v>
      </c>
      <c r="AO95" s="60">
        <f t="shared" si="90"/>
        <v>312.81310692672895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284.39999999999986</v>
      </c>
      <c r="BE95" s="14">
        <f>BD95*VLOOKUP('Données projet'!$B$11,Paramètres!$A$1:$I$89,3,0)*VLOOKUP('Données projet'!$B$11,Paramètres!$A$1:$I$89,5,0)</f>
        <v>257.32511999999986</v>
      </c>
      <c r="BF95" s="14">
        <f t="shared" si="91"/>
        <v>62.151858920612646</v>
      </c>
      <c r="BG95" s="22">
        <f t="shared" si="61"/>
        <v>556.42240495340013</v>
      </c>
      <c r="BH95" s="60">
        <f t="shared" si="62"/>
        <v>849.7557382867335</v>
      </c>
      <c r="BI95" s="60">
        <f ca="1">AVERAGE(OFFSET($BH$3,0,0,'Données projet'!$E$11+1,1))-AVERAGE(OFFSET($H$3,0,0,'Données projet'!$E$11+1,1))</f>
        <v>430.11660085503223</v>
      </c>
      <c r="BJ95" s="60">
        <f t="shared" si="92"/>
        <v>231.36959598460686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5.2</v>
      </c>
      <c r="BY95" s="13">
        <f>IF('Données projet'!$A$114&gt;35,BY94+BX95-CG94,IF(A95&lt;'Données projet'!$A$114,$BV$205^A95,IF(A95='Données projet'!$A$114,'Données projet'!$B$114,BY94+BX95-CG94)))</f>
        <v>284.39999999999986</v>
      </c>
      <c r="BZ95" s="14">
        <f>BY95*VLOOKUP('Données projet'!$B$12,Paramètres!$A$1:$I$89,3,0)*VLOOKUP('Données projet'!$B$12,Paramètres!$A$1:$I$89,5,0)</f>
        <v>288.38159999999988</v>
      </c>
      <c r="CA95" s="14">
        <f t="shared" si="93"/>
        <v>68.735229875936611</v>
      </c>
      <c r="CB95" s="22">
        <f t="shared" si="64"/>
        <v>621.97847870058933</v>
      </c>
      <c r="CC95" s="60">
        <f t="shared" si="65"/>
        <v>915.31181203392271</v>
      </c>
      <c r="CD95" s="60">
        <f ca="1">AVERAGE(OFFSET($CC$3,0,0,'Données projet'!$E$12+1,1))-AVERAGE(OFFSET($H$3,0,0,'Données projet'!$E$12+1,1))</f>
        <v>476.8965664931755</v>
      </c>
      <c r="CE95" s="60">
        <f t="shared" si="94"/>
        <v>254.25036207346591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5.2</v>
      </c>
      <c r="CT95" s="13">
        <f>IF('Données projet'!$A$140&gt;35,CT94+CS95-DB94,IF(A95&lt;'Données projet'!$A$140,$CQ$205^A95,IF(A95='Données projet'!$A$140,'Données projet'!$B$140,CT94+CS95-DB94)))</f>
        <v>284.39999999999986</v>
      </c>
      <c r="CU95" s="18">
        <f>CT95*VLOOKUP('Données projet'!$B$13,Paramètres!$A$1:$I$89,3,0)*VLOOKUP('Données projet'!$B$13,Paramètres!$A$1:$I$89,5,0)</f>
        <v>275.0716799999999</v>
      </c>
      <c r="CV95" s="14">
        <f t="shared" si="95"/>
        <v>65.924439244609701</v>
      </c>
      <c r="CW95" s="22">
        <f t="shared" si="67"/>
        <v>593.90157435102833</v>
      </c>
      <c r="CX95" s="60">
        <f t="shared" si="68"/>
        <v>887.23490768436159</v>
      </c>
      <c r="CY95" s="60">
        <f ca="1">AVERAGE(OFFSET($CX$3,0,0,'Données projet'!$E$13+1,1))-AVERAGE(OFFSET($H$3,0,0,'Données projet'!$E$13+1,1))</f>
        <v>456.86147223520601</v>
      </c>
      <c r="CZ95" s="60">
        <f t="shared" si="96"/>
        <v>244.45149244446094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2.948717948717956</v>
      </c>
      <c r="DO95" s="13">
        <f>IF('Données projet'!$A$166&gt;35,DO94+DN95-DW94,IF(A95&lt;'Données projet'!$A$166,$DL$205^A95,IF(A95='Données projet'!$A$166,'Données projet'!$B$166,DO94+DN95-DW94)))</f>
        <v>182.17948717948727</v>
      </c>
      <c r="DP95" s="18">
        <f>DO95*VLOOKUP('Données projet'!$B$14,Paramètres!$A$1:$I$89,3,0)*VLOOKUP('Données projet'!$B$14,Paramètres!$A$1:$I$89,5,0)</f>
        <v>173.36200000000008</v>
      </c>
      <c r="DQ95" s="14">
        <f t="shared" si="97"/>
        <v>43.84213939003628</v>
      </c>
      <c r="DR95" s="22">
        <f t="shared" si="70"/>
        <v>378.29720943764664</v>
      </c>
      <c r="DS95" s="60">
        <f t="shared" si="71"/>
        <v>671.6305427709799</v>
      </c>
      <c r="DT95" s="60">
        <f ca="1">AVERAGE(OFFSET($DS$3,0,0,'Données projet'!$E$14+1,1))-AVERAGE(OFFSET($H$3,0,0,'Données projet'!$E$14+1,1))</f>
        <v>300.36889324671682</v>
      </c>
      <c r="DU95" s="60">
        <f t="shared" si="98"/>
        <v>214.36051699039683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-4.9658410716801891E-14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202.46844517174412</v>
      </c>
      <c r="EP95" s="60">
        <f t="shared" si="100"/>
        <v>185.00219255324515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3.9743589743589838</v>
      </c>
      <c r="FE95" s="13">
        <f>IF('Données projet'!$A$218&gt;35,FE94+FD95-FM94,IF(A95&lt;'Données projet'!$A$218,$FB$205^A95,IF(A95='Données projet'!$A$218,'Données projet'!$B$218,FE94+FD95-FM94)))</f>
        <v>317.56410256410254</v>
      </c>
      <c r="FF95" s="18">
        <f>FE95*VLOOKUP('Données projet'!$B$16,Paramètres!$A$1:$I$89,3,0)*VLOOKUP('Données projet'!$B$16,Paramètres!$A$1:$I$89,5,0)</f>
        <v>213.02199999999996</v>
      </c>
      <c r="FG95" s="14">
        <f t="shared" si="101"/>
        <v>52.595418582472995</v>
      </c>
      <c r="FH95" s="22">
        <f t="shared" si="76"/>
        <v>462.61700403114037</v>
      </c>
      <c r="FI95" s="60">
        <f t="shared" si="77"/>
        <v>755.95033736447363</v>
      </c>
      <c r="FJ95" s="60">
        <f ca="1">AVERAGE(OFFSET($FI$3,0,0,'Données projet'!$E$16+1,1))-AVERAGE(OFFSET($H$3,0,0,'Données projet'!$E$16+1,1))</f>
        <v>344.87493856469382</v>
      </c>
      <c r="FK95" s="60">
        <f t="shared" si="102"/>
        <v>261.91036689641402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>
        <f>FZ95*VLOOKUP('Données projet'!$B$17,Paramètres!$A$1:$I$89,3,0)*VLOOKUP('Données projet'!$B$17,Paramètres!$A$1:$I$89,5,0)</f>
        <v>0</v>
      </c>
      <c r="GB95" s="14" t="e">
        <f t="shared" si="103"/>
        <v>#NUM!</v>
      </c>
      <c r="GC95" s="22" t="e">
        <f t="shared" si="79"/>
        <v>#NUM!</v>
      </c>
      <c r="GD95" s="60" t="e">
        <f t="shared" si="80"/>
        <v>#NUM!</v>
      </c>
      <c r="GE95" s="60">
        <f ca="1">AVERAGE(OFFSET($GD$3,0,0,'Données projet'!$E$17+1,1))-AVERAGE(OFFSET($H$3,0,0,'Données projet'!$E$17+1,1))</f>
        <v>268.19959446602911</v>
      </c>
      <c r="GF95" s="60">
        <f t="shared" si="104"/>
        <v>691.2533336811855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42.104630319445839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42.104630319445839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1.1368683772161603E-13</v>
      </c>
      <c r="GV95" s="18">
        <f>GU95*VLOOKUP('Données projet'!$B$18,Paramètres!$A$1:$I$89,3,0)*VLOOKUP('Données projet'!$B$18,Paramètres!$A$1:$I$89,5,0)</f>
        <v>8.8675733422860506E-14</v>
      </c>
      <c r="GW95" s="14">
        <f t="shared" si="105"/>
        <v>1.3509285393066301E-12</v>
      </c>
      <c r="GX95" s="22">
        <f t="shared" si="82"/>
        <v>2.5073107750038623E-12</v>
      </c>
      <c r="GY95" s="60">
        <f t="shared" si="83"/>
        <v>293.33333333333582</v>
      </c>
      <c r="GZ95" s="60">
        <f ca="1">AVERAGE(OFFSET($GY$3,0,0,'Données projet'!$E$18+1,1))-AVERAGE(OFFSET($H$3,0,0,'Données projet'!$E$18+1,1))</f>
        <v>292.57482726862594</v>
      </c>
      <c r="HA95" s="60">
        <f t="shared" si="106"/>
        <v>283.48738729114024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15</v>
      </c>
      <c r="N96" s="14">
        <f>IF('Données projet'!$A$36&gt;35,N95+M96-V95,IF(A96&lt;'Données projet'!$A$36,$K$205^A96,IF(A96='Données projet'!$A$36,'Données projet'!$B$36,N95+M96-V95)))</f>
        <v>749.99999999999989</v>
      </c>
      <c r="O96" s="14">
        <f>N96*VLOOKUP('Données projet'!$B$9,Paramètres!$A$1:$I$89,3,0)*VLOOKUP('Données projet'!$B$9,Paramètres!$A$1:$I$89,5,0)</f>
        <v>350.99999999999994</v>
      </c>
      <c r="P96" s="14">
        <f t="shared" si="87"/>
        <v>81.768387419963787</v>
      </c>
      <c r="Q96" s="22">
        <f t="shared" si="54"/>
        <v>753.73827475643691</v>
      </c>
      <c r="R96" s="60">
        <f t="shared" si="55"/>
        <v>1047.0716080897703</v>
      </c>
      <c r="S96" s="60">
        <f ca="1">AVERAGE(OFFSET($R$3,0,0,'Données projet'!$E$9+1,1))-AVERAGE(OFFSET($H$3,0,0,'Données projet'!$E$9+1,1))</f>
        <v>399.92909819003523</v>
      </c>
      <c r="T96" s="60">
        <f t="shared" si="88"/>
        <v>163.7053537268381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6.4</v>
      </c>
      <c r="AI96" s="14">
        <f>IF('Données projet'!$A$62&gt;35,AI95+AH96-AQ95,IF(A96&lt;'Données projet'!$A$62,$AF$205^A96,IF(A96='Données projet'!$A$62,'Données projet'!$B$62,AI95+AH96-AQ95)))</f>
        <v>538.19999999999959</v>
      </c>
      <c r="AJ96" s="14">
        <f>AI96*VLOOKUP('Données projet'!$B$10,Paramètres!$A$1:$I$89,3,0)*VLOOKUP('Données projet'!$B$10,Paramètres!$A$1:$I$89,5,0)</f>
        <v>321.84359999999981</v>
      </c>
      <c r="AK96" s="14">
        <f t="shared" si="89"/>
        <v>75.736822149877014</v>
      </c>
      <c r="AL96" s="22">
        <f t="shared" si="58"/>
        <v>692.4525685777021</v>
      </c>
      <c r="AM96" s="60">
        <f t="shared" si="59"/>
        <v>985.78590191103535</v>
      </c>
      <c r="AN96" s="60">
        <f ca="1">AVERAGE(OFFSET($AM$3,0,0,'Données projet'!$E$10+1,1))-AVERAGE(OFFSET($H$3,0,0,'Données projet'!$E$10+1,1))</f>
        <v>455.43477166687273</v>
      </c>
      <c r="AO96" s="60">
        <f t="shared" si="90"/>
        <v>312.81310692672895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289.59999999999985</v>
      </c>
      <c r="BE96" s="14">
        <f>BD96*VLOOKUP('Données projet'!$B$11,Paramètres!$A$1:$I$89,3,0)*VLOOKUP('Données projet'!$B$11,Paramètres!$A$1:$I$89,5,0)</f>
        <v>262.03007999999988</v>
      </c>
      <c r="BF96" s="14">
        <f t="shared" si="91"/>
        <v>63.154912899742584</v>
      </c>
      <c r="BG96" s="22">
        <f t="shared" si="61"/>
        <v>566.3638626337181</v>
      </c>
      <c r="BH96" s="60">
        <f t="shared" si="62"/>
        <v>859.69719596705136</v>
      </c>
      <c r="BI96" s="60">
        <f ca="1">AVERAGE(OFFSET($BH$3,0,0,'Données projet'!$E$11+1,1))-AVERAGE(OFFSET($H$3,0,0,'Données projet'!$E$11+1,1))</f>
        <v>430.11660085503223</v>
      </c>
      <c r="BJ96" s="60">
        <f t="shared" si="92"/>
        <v>231.36959598460686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5.2</v>
      </c>
      <c r="BY96" s="13">
        <f>IF('Données projet'!$A$114&gt;35,BY95+BX96-CG95,IF(A96&lt;'Données projet'!$A$114,$BV$205^A96,IF(A96='Données projet'!$A$114,'Données projet'!$B$114,BY95+BX96-CG95)))</f>
        <v>289.59999999999985</v>
      </c>
      <c r="BZ96" s="14">
        <f>BY96*VLOOKUP('Données projet'!$B$12,Paramètres!$A$1:$I$89,3,0)*VLOOKUP('Données projet'!$B$12,Paramètres!$A$1:$I$89,5,0)</f>
        <v>293.6543999999999</v>
      </c>
      <c r="CA96" s="14">
        <f t="shared" si="93"/>
        <v>69.844531303614474</v>
      </c>
      <c r="CB96" s="22">
        <f t="shared" si="64"/>
        <v>633.09397202046159</v>
      </c>
      <c r="CC96" s="60">
        <f t="shared" si="65"/>
        <v>926.42730535379496</v>
      </c>
      <c r="CD96" s="60">
        <f ca="1">AVERAGE(OFFSET($CC$3,0,0,'Données projet'!$E$12+1,1))-AVERAGE(OFFSET($H$3,0,0,'Données projet'!$E$12+1,1))</f>
        <v>476.8965664931755</v>
      </c>
      <c r="CE96" s="60">
        <f t="shared" si="94"/>
        <v>254.25036207346591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5.2</v>
      </c>
      <c r="CT96" s="13">
        <f>IF('Données projet'!$A$140&gt;35,CT95+CS96-DB95,IF(A96&lt;'Données projet'!$A$140,$CQ$205^A96,IF(A96='Données projet'!$A$140,'Données projet'!$B$140,CT95+CS96-DB95)))</f>
        <v>289.59999999999985</v>
      </c>
      <c r="CU96" s="18">
        <f>CT96*VLOOKUP('Données projet'!$B$13,Paramètres!$A$1:$I$89,3,0)*VLOOKUP('Données projet'!$B$13,Paramètres!$A$1:$I$89,5,0)</f>
        <v>280.10111999999987</v>
      </c>
      <c r="CV96" s="14">
        <f t="shared" si="95"/>
        <v>66.988377994867818</v>
      </c>
      <c r="CW96" s="22">
        <f t="shared" si="67"/>
        <v>604.5142090077278</v>
      </c>
      <c r="CX96" s="60">
        <f t="shared" si="68"/>
        <v>897.84754234106117</v>
      </c>
      <c r="CY96" s="60">
        <f ca="1">AVERAGE(OFFSET($CX$3,0,0,'Données projet'!$E$13+1,1))-AVERAGE(OFFSET($H$3,0,0,'Données projet'!$E$13+1,1))</f>
        <v>456.86147223520601</v>
      </c>
      <c r="CZ96" s="60">
        <f t="shared" si="96"/>
        <v>244.45149244446094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2.948717948717956</v>
      </c>
      <c r="DO96" s="13">
        <f>IF('Données projet'!$A$166&gt;35,DO95+DN96-DW95,IF(A96&lt;'Données projet'!$A$166,$DL$205^A96,IF(A96='Données projet'!$A$166,'Données projet'!$B$166,DO95+DN96-DW95)))</f>
        <v>185.12820512820522</v>
      </c>
      <c r="DP96" s="18">
        <f>DO96*VLOOKUP('Données projet'!$B$14,Paramètres!$A$1:$I$89,3,0)*VLOOKUP('Données projet'!$B$14,Paramètres!$A$1:$I$89,5,0)</f>
        <v>176.16800000000009</v>
      </c>
      <c r="DQ96" s="14">
        <f t="shared" si="97"/>
        <v>44.468571982879908</v>
      </c>
      <c r="DR96" s="22">
        <f t="shared" si="70"/>
        <v>384.27536287018273</v>
      </c>
      <c r="DS96" s="60">
        <f t="shared" si="71"/>
        <v>677.60869620351605</v>
      </c>
      <c r="DT96" s="60">
        <f ca="1">AVERAGE(OFFSET($DS$3,0,0,'Données projet'!$E$14+1,1))-AVERAGE(OFFSET($H$3,0,0,'Données projet'!$E$14+1,1))</f>
        <v>300.36889324671682</v>
      </c>
      <c r="DU96" s="60">
        <f t="shared" si="98"/>
        <v>214.36051699039683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-4.9658410716801891E-14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202.46844517174412</v>
      </c>
      <c r="EP96" s="60">
        <f t="shared" si="100"/>
        <v>185.00219255324515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3.9743589743589838</v>
      </c>
      <c r="FE96" s="13">
        <f>IF('Données projet'!$A$218&gt;35,FE95+FD96-FM95,IF(A96&lt;'Données projet'!$A$218,$FB$205^A96,IF(A96='Données projet'!$A$218,'Données projet'!$B$218,FE95+FD96-FM95)))</f>
        <v>321.53846153846155</v>
      </c>
      <c r="FF96" s="18">
        <f>FE96*VLOOKUP('Données projet'!$B$16,Paramètres!$A$1:$I$89,3,0)*VLOOKUP('Données projet'!$B$16,Paramètres!$A$1:$I$89,5,0)</f>
        <v>215.68800000000002</v>
      </c>
      <c r="FG96" s="14">
        <f t="shared" si="101"/>
        <v>53.17661687232367</v>
      </c>
      <c r="FH96" s="22">
        <f t="shared" si="76"/>
        <v>468.2725410526304</v>
      </c>
      <c r="FI96" s="60">
        <f t="shared" si="77"/>
        <v>761.60587438596372</v>
      </c>
      <c r="FJ96" s="60">
        <f ca="1">AVERAGE(OFFSET($FI$3,0,0,'Données projet'!$E$16+1,1))-AVERAGE(OFFSET($H$3,0,0,'Données projet'!$E$16+1,1))</f>
        <v>344.87493856469382</v>
      </c>
      <c r="FK96" s="60">
        <f t="shared" si="102"/>
        <v>261.91036689641402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>
        <f>FZ96*VLOOKUP('Données projet'!$B$17,Paramètres!$A$1:$I$89,3,0)*VLOOKUP('Données projet'!$B$17,Paramètres!$A$1:$I$89,5,0)</f>
        <v>0</v>
      </c>
      <c r="GB96" s="14" t="e">
        <f t="shared" si="103"/>
        <v>#NUM!</v>
      </c>
      <c r="GC96" s="22" t="e">
        <f t="shared" si="79"/>
        <v>#NUM!</v>
      </c>
      <c r="GD96" s="60" t="e">
        <f t="shared" si="80"/>
        <v>#NUM!</v>
      </c>
      <c r="GE96" s="60">
        <f ca="1">AVERAGE(OFFSET($GD$3,0,0,'Données projet'!$E$17+1,1))-AVERAGE(OFFSET($H$3,0,0,'Données projet'!$E$17+1,1))</f>
        <v>268.19959446602911</v>
      </c>
      <c r="GF96" s="60">
        <f t="shared" si="104"/>
        <v>691.2533336811855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41.278984200170186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41.278984200170186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1.1368683772161603E-13</v>
      </c>
      <c r="GV96" s="18">
        <f>GU96*VLOOKUP('Données projet'!$B$18,Paramètres!$A$1:$I$89,3,0)*VLOOKUP('Données projet'!$B$18,Paramètres!$A$1:$I$89,5,0)</f>
        <v>8.8675733422860506E-14</v>
      </c>
      <c r="GW96" s="14">
        <f t="shared" si="105"/>
        <v>1.3509285393066301E-12</v>
      </c>
      <c r="GX96" s="22">
        <f t="shared" si="82"/>
        <v>2.5073107750038623E-12</v>
      </c>
      <c r="GY96" s="60">
        <f t="shared" si="83"/>
        <v>293.33333333333582</v>
      </c>
      <c r="GZ96" s="60">
        <f ca="1">AVERAGE(OFFSET($GY$3,0,0,'Données projet'!$E$18+1,1))-AVERAGE(OFFSET($H$3,0,0,'Données projet'!$E$18+1,1))</f>
        <v>292.57482726862594</v>
      </c>
      <c r="HA96" s="60">
        <f t="shared" si="106"/>
        <v>283.48738729114024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15</v>
      </c>
      <c r="N97" s="14">
        <f>IF('Données projet'!$A$36&gt;35,N96+M97-V96,IF(A97&lt;'Données projet'!$A$36,$K$205^A97,IF(A97='Données projet'!$A$36,'Données projet'!$B$36,N96+M97-V96)))</f>
        <v>764.99999999999989</v>
      </c>
      <c r="O97" s="14">
        <f>N97*VLOOKUP('Données projet'!$B$9,Paramètres!$A$1:$I$89,3,0)*VLOOKUP('Données projet'!$B$9,Paramètres!$A$1:$I$89,5,0)</f>
        <v>358.02</v>
      </c>
      <c r="P97" s="14">
        <f t="shared" si="87"/>
        <v>83.211728757381735</v>
      </c>
      <c r="Q97" s="22">
        <f t="shared" si="54"/>
        <v>768.47859425243985</v>
      </c>
      <c r="R97" s="60">
        <f t="shared" si="55"/>
        <v>1061.8119275857732</v>
      </c>
      <c r="S97" s="60">
        <f ca="1">AVERAGE(OFFSET($R$3,0,0,'Données projet'!$E$9+1,1))-AVERAGE(OFFSET($H$3,0,0,'Données projet'!$E$9+1,1))</f>
        <v>399.92909819003523</v>
      </c>
      <c r="T97" s="60">
        <f t="shared" si="88"/>
        <v>163.7053537268381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6.4</v>
      </c>
      <c r="AI97" s="14">
        <f>IF('Données projet'!$A$62&gt;35,AI96+AH97-AQ96,IF(A97&lt;'Données projet'!$A$62,$AF$205^A97,IF(A97='Données projet'!$A$62,'Données projet'!$B$62,AI96+AH97-AQ96)))</f>
        <v>544.59999999999957</v>
      </c>
      <c r="AJ97" s="14">
        <f>AI97*VLOOKUP('Données projet'!$B$10,Paramètres!$A$1:$I$89,3,0)*VLOOKUP('Données projet'!$B$10,Paramètres!$A$1:$I$89,5,0)</f>
        <v>325.67079999999976</v>
      </c>
      <c r="AK97" s="14">
        <f t="shared" si="89"/>
        <v>76.532064896038591</v>
      </c>
      <c r="AL97" s="22">
        <f t="shared" si="58"/>
        <v>700.5033230272669</v>
      </c>
      <c r="AM97" s="60">
        <f t="shared" si="59"/>
        <v>993.83665636060027</v>
      </c>
      <c r="AN97" s="60">
        <f ca="1">AVERAGE(OFFSET($AM$3,0,0,'Données projet'!$E$10+1,1))-AVERAGE(OFFSET($H$3,0,0,'Données projet'!$E$10+1,1))</f>
        <v>455.43477166687273</v>
      </c>
      <c r="AO97" s="60">
        <f t="shared" si="90"/>
        <v>312.81310692672895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294.79999999999984</v>
      </c>
      <c r="BE97" s="14">
        <f>BD97*VLOOKUP('Données projet'!$B$11,Paramètres!$A$1:$I$89,3,0)*VLOOKUP('Données projet'!$B$11,Paramètres!$A$1:$I$89,5,0)</f>
        <v>266.73503999999986</v>
      </c>
      <c r="BF97" s="14">
        <f t="shared" si="91"/>
        <v>64.155872510973225</v>
      </c>
      <c r="BG97" s="22">
        <f t="shared" si="61"/>
        <v>576.30167262327802</v>
      </c>
      <c r="BH97" s="60">
        <f t="shared" si="62"/>
        <v>869.63500595661139</v>
      </c>
      <c r="BI97" s="60">
        <f ca="1">AVERAGE(OFFSET($BH$3,0,0,'Données projet'!$E$11+1,1))-AVERAGE(OFFSET($H$3,0,0,'Données projet'!$E$11+1,1))</f>
        <v>430.11660085503223</v>
      </c>
      <c r="BJ97" s="60">
        <f t="shared" si="92"/>
        <v>231.36959598460686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5.2</v>
      </c>
      <c r="BY97" s="13">
        <f>IF('Données projet'!$A$114&gt;35,BY96+BX97-CG96,IF(A97&lt;'Données projet'!$A$114,$BV$205^A97,IF(A97='Données projet'!$A$114,'Données projet'!$B$114,BY96+BX97-CG96)))</f>
        <v>294.79999999999984</v>
      </c>
      <c r="BZ97" s="14">
        <f>BY97*VLOOKUP('Données projet'!$B$12,Paramètres!$A$1:$I$89,3,0)*VLOOKUP('Données projet'!$B$12,Paramètres!$A$1:$I$89,5,0)</f>
        <v>298.92719999999986</v>
      </c>
      <c r="CA97" s="14">
        <f t="shared" si="93"/>
        <v>70.95151651965358</v>
      </c>
      <c r="CB97" s="22">
        <f t="shared" si="64"/>
        <v>644.20543127172971</v>
      </c>
      <c r="CC97" s="60">
        <f t="shared" si="65"/>
        <v>937.53876460506308</v>
      </c>
      <c r="CD97" s="60">
        <f ca="1">AVERAGE(OFFSET($CC$3,0,0,'Données projet'!$E$12+1,1))-AVERAGE(OFFSET($H$3,0,0,'Données projet'!$E$12+1,1))</f>
        <v>476.8965664931755</v>
      </c>
      <c r="CE97" s="60">
        <f t="shared" si="94"/>
        <v>254.25036207346591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5.2</v>
      </c>
      <c r="CT97" s="13">
        <f>IF('Données projet'!$A$140&gt;35,CT96+CS97-DB96,IF(A97&lt;'Données projet'!$A$140,$CQ$205^A97,IF(A97='Données projet'!$A$140,'Données projet'!$B$140,CT96+CS97-DB96)))</f>
        <v>294.79999999999984</v>
      </c>
      <c r="CU97" s="18">
        <f>CT97*VLOOKUP('Données projet'!$B$13,Paramètres!$A$1:$I$89,3,0)*VLOOKUP('Données projet'!$B$13,Paramètres!$A$1:$I$89,5,0)</f>
        <v>285.13055999999983</v>
      </c>
      <c r="CV97" s="14">
        <f t="shared" si="95"/>
        <v>68.050095250359178</v>
      </c>
      <c r="CW97" s="22">
        <f t="shared" si="67"/>
        <v>615.12297456104193</v>
      </c>
      <c r="CX97" s="60">
        <f t="shared" si="68"/>
        <v>908.45630789437519</v>
      </c>
      <c r="CY97" s="60">
        <f ca="1">AVERAGE(OFFSET($CX$3,0,0,'Données projet'!$E$13+1,1))-AVERAGE(OFFSET($H$3,0,0,'Données projet'!$E$13+1,1))</f>
        <v>456.86147223520601</v>
      </c>
      <c r="CZ97" s="60">
        <f t="shared" si="96"/>
        <v>244.45149244446094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2.948717948717956</v>
      </c>
      <c r="DO97" s="13">
        <f>IF('Données projet'!$A$166&gt;35,DO96+DN97-DW96,IF(A97&lt;'Données projet'!$A$166,$DL$205^A97,IF(A97='Données projet'!$A$166,'Données projet'!$B$166,DO96+DN97-DW96)))</f>
        <v>188.07692307692318</v>
      </c>
      <c r="DP97" s="18">
        <f>DO97*VLOOKUP('Données projet'!$B$14,Paramètres!$A$1:$I$89,3,0)*VLOOKUP('Données projet'!$B$14,Paramètres!$A$1:$I$89,5,0)</f>
        <v>178.9740000000001</v>
      </c>
      <c r="DQ97" s="14">
        <f t="shared" si="97"/>
        <v>45.093844183386395</v>
      </c>
      <c r="DR97" s="22">
        <f t="shared" si="70"/>
        <v>390.25149528606488</v>
      </c>
      <c r="DS97" s="60">
        <f t="shared" si="71"/>
        <v>683.58482861939819</v>
      </c>
      <c r="DT97" s="60">
        <f ca="1">AVERAGE(OFFSET($DS$3,0,0,'Données projet'!$E$14+1,1))-AVERAGE(OFFSET($H$3,0,0,'Données projet'!$E$14+1,1))</f>
        <v>300.36889324671682</v>
      </c>
      <c r="DU97" s="60">
        <f t="shared" si="98"/>
        <v>214.36051699039683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-4.9658410716801891E-14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202.46844517174412</v>
      </c>
      <c r="EP97" s="60">
        <f t="shared" si="100"/>
        <v>185.00219255324515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3.9743589743589838</v>
      </c>
      <c r="FE97" s="13">
        <f>IF('Données projet'!$A$218&gt;35,FE96+FD97-FM96,IF(A97&lt;'Données projet'!$A$218,$FB$205^A97,IF(A97='Données projet'!$A$218,'Données projet'!$B$218,FE96+FD97-FM96)))</f>
        <v>325.51282051282055</v>
      </c>
      <c r="FF97" s="18">
        <f>FE97*VLOOKUP('Données projet'!$B$16,Paramètres!$A$1:$I$89,3,0)*VLOOKUP('Données projet'!$B$16,Paramètres!$A$1:$I$89,5,0)</f>
        <v>218.35400000000001</v>
      </c>
      <c r="FG97" s="14">
        <f t="shared" si="101"/>
        <v>53.756979538415074</v>
      </c>
      <c r="FH97" s="22">
        <f t="shared" si="76"/>
        <v>473.92662269607291</v>
      </c>
      <c r="FI97" s="60">
        <f t="shared" si="77"/>
        <v>767.25995602940623</v>
      </c>
      <c r="FJ97" s="60">
        <f ca="1">AVERAGE(OFFSET($FI$3,0,0,'Données projet'!$E$16+1,1))-AVERAGE(OFFSET($H$3,0,0,'Données projet'!$E$16+1,1))</f>
        <v>344.87493856469382</v>
      </c>
      <c r="FK97" s="60">
        <f t="shared" si="102"/>
        <v>261.91036689641402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>
        <f>FZ97*VLOOKUP('Données projet'!$B$17,Paramètres!$A$1:$I$89,3,0)*VLOOKUP('Données projet'!$B$17,Paramètres!$A$1:$I$89,5,0)</f>
        <v>0</v>
      </c>
      <c r="GB97" s="14" t="e">
        <f t="shared" si="103"/>
        <v>#NUM!</v>
      </c>
      <c r="GC97" s="22" t="e">
        <f t="shared" si="79"/>
        <v>#NUM!</v>
      </c>
      <c r="GD97" s="60" t="e">
        <f t="shared" si="80"/>
        <v>#NUM!</v>
      </c>
      <c r="GE97" s="60">
        <f ca="1">AVERAGE(OFFSET($GD$3,0,0,'Données projet'!$E$17+1,1))-AVERAGE(OFFSET($H$3,0,0,'Données projet'!$E$17+1,1))</f>
        <v>268.19959446602911</v>
      </c>
      <c r="GF97" s="60">
        <f t="shared" si="104"/>
        <v>691.2533336811855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40.469528497699116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40.469528497699116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1.1368683772161603E-13</v>
      </c>
      <c r="GV97" s="18">
        <f>GU97*VLOOKUP('Données projet'!$B$18,Paramètres!$A$1:$I$89,3,0)*VLOOKUP('Données projet'!$B$18,Paramètres!$A$1:$I$89,5,0)</f>
        <v>8.8675733422860506E-14</v>
      </c>
      <c r="GW97" s="14">
        <f t="shared" si="105"/>
        <v>1.3509285393066301E-12</v>
      </c>
      <c r="GX97" s="22">
        <f t="shared" si="82"/>
        <v>2.5073107750038623E-12</v>
      </c>
      <c r="GY97" s="60">
        <f t="shared" si="83"/>
        <v>293.33333333333582</v>
      </c>
      <c r="GZ97" s="60">
        <f ca="1">AVERAGE(OFFSET($GY$3,0,0,'Données projet'!$E$18+1,1))-AVERAGE(OFFSET($H$3,0,0,'Données projet'!$E$18+1,1))</f>
        <v>292.57482726862594</v>
      </c>
      <c r="HA97" s="60">
        <f t="shared" si="106"/>
        <v>283.48738729114024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15</v>
      </c>
      <c r="N98" s="14">
        <f>IF('Données projet'!$A$36&gt;35,N97+M98-V97,IF(A98&lt;'Données projet'!$A$36,$K$205^A98,IF(A98='Données projet'!$A$36,'Données projet'!$B$36,N97+M98-V97)))</f>
        <v>779.99999999999989</v>
      </c>
      <c r="O98" s="14">
        <f>N98*VLOOKUP('Données projet'!$B$9,Paramètres!$A$1:$I$89,3,0)*VLOOKUP('Données projet'!$B$9,Paramètres!$A$1:$I$89,5,0)</f>
        <v>365.03999999999996</v>
      </c>
      <c r="P98" s="14">
        <f t="shared" si="87"/>
        <v>84.651779413976413</v>
      </c>
      <c r="Q98" s="22">
        <f t="shared" si="54"/>
        <v>783.21318247934221</v>
      </c>
      <c r="R98" s="60">
        <f t="shared" si="55"/>
        <v>1076.5465158126756</v>
      </c>
      <c r="S98" s="60">
        <f ca="1">AVERAGE(OFFSET($R$3,0,0,'Données projet'!$E$9+1,1))-AVERAGE(OFFSET($H$3,0,0,'Données projet'!$E$9+1,1))</f>
        <v>399.92909819003523</v>
      </c>
      <c r="T98" s="60">
        <f t="shared" si="88"/>
        <v>163.7053537268381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6.4</v>
      </c>
      <c r="AI98" s="14">
        <f>IF('Données projet'!$A$62&gt;35,AI97+AH98-AQ97,IF(A98&lt;'Données projet'!$A$62,$AF$205^A98,IF(A98='Données projet'!$A$62,'Données projet'!$B$62,AI97+AH98-AQ97)))</f>
        <v>550.99999999999955</v>
      </c>
      <c r="AJ98" s="14">
        <f>AI98*VLOOKUP('Données projet'!$B$10,Paramètres!$A$1:$I$89,3,0)*VLOOKUP('Données projet'!$B$10,Paramètres!$A$1:$I$89,5,0)</f>
        <v>329.49799999999976</v>
      </c>
      <c r="AK98" s="14">
        <f t="shared" si="89"/>
        <v>77.32622054443614</v>
      </c>
      <c r="AL98" s="22">
        <f t="shared" si="58"/>
        <v>708.5521841148925</v>
      </c>
      <c r="AM98" s="60">
        <f t="shared" si="59"/>
        <v>1001.8855174482258</v>
      </c>
      <c r="AN98" s="60">
        <f ca="1">AVERAGE(OFFSET($AM$3,0,0,'Données projet'!$E$10+1,1))-AVERAGE(OFFSET($H$3,0,0,'Données projet'!$E$10+1,1))</f>
        <v>455.43477166687273</v>
      </c>
      <c r="AO98" s="60">
        <f t="shared" si="90"/>
        <v>312.81310692672895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299.99999999999983</v>
      </c>
      <c r="BE98" s="14">
        <f>BD98*VLOOKUP('Données projet'!$B$11,Paramètres!$A$1:$I$89,3,0)*VLOOKUP('Données projet'!$B$11,Paramètres!$A$1:$I$89,5,0)</f>
        <v>271.43999999999983</v>
      </c>
      <c r="BF98" s="14">
        <f t="shared" si="91"/>
        <v>65.154778959151173</v>
      </c>
      <c r="BG98" s="22">
        <f t="shared" si="61"/>
        <v>586.23590668718793</v>
      </c>
      <c r="BH98" s="60">
        <f t="shared" si="62"/>
        <v>879.56924002052119</v>
      </c>
      <c r="BI98" s="60">
        <f ca="1">AVERAGE(OFFSET($BH$3,0,0,'Données projet'!$E$11+1,1))-AVERAGE(OFFSET($H$3,0,0,'Données projet'!$E$11+1,1))</f>
        <v>430.11660085503223</v>
      </c>
      <c r="BJ98" s="60">
        <f t="shared" si="92"/>
        <v>231.36959598460686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300</v>
      </c>
      <c r="BW98" s="13">
        <f>VLOOKUP(A98,'Données projet'!$A$113:$I$133,9,0)</f>
        <v>5.2</v>
      </c>
      <c r="BX98" s="13">
        <f t="array" ref="BX98">INDEX(BW:BW,MIN(IF(ISNUMBER(BW98:BW294),ROW(BW98:BW294),"")))</f>
        <v>5.2</v>
      </c>
      <c r="BY98" s="13">
        <f>IF('Données projet'!$A$114&gt;35,BY97+BX98-CG97,IF(A98&lt;'Données projet'!$A$114,$BV$205^A98,IF(A98='Données projet'!$A$114,'Données projet'!$B$114,BY97+BX98-CG97)))</f>
        <v>299.99999999999983</v>
      </c>
      <c r="BZ98" s="14">
        <f>BY98*VLOOKUP('Données projet'!$B$12,Paramètres!$A$1:$I$89,3,0)*VLOOKUP('Données projet'!$B$12,Paramètres!$A$1:$I$89,5,0)</f>
        <v>304.19999999999982</v>
      </c>
      <c r="CA98" s="14">
        <f t="shared" si="93"/>
        <v>72.056231093481074</v>
      </c>
      <c r="CB98" s="22">
        <f t="shared" si="64"/>
        <v>655.31293582114586</v>
      </c>
      <c r="CC98" s="60">
        <f t="shared" si="65"/>
        <v>948.64626915447911</v>
      </c>
      <c r="CD98" s="60">
        <f ca="1">AVERAGE(OFFSET($CC$3,0,0,'Données projet'!$E$12+1,1))-AVERAGE(OFFSET($H$3,0,0,'Données projet'!$E$12+1,1))</f>
        <v>476.8965664931755</v>
      </c>
      <c r="CE98" s="60">
        <f t="shared" si="94"/>
        <v>254.25036207346591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42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300</v>
      </c>
      <c r="CR98" s="13">
        <f>VLOOKUP(A98,'Données projet'!$A$139:$I$159,9,0)</f>
        <v>5.2</v>
      </c>
      <c r="CS98" s="13">
        <f t="array" ref="CS98">INDEX(CR:CR,MIN(IF(ISNUMBER(CR98:CR294),ROW(CR98:CR294),"")))</f>
        <v>5.2</v>
      </c>
      <c r="CT98" s="13">
        <f>IF('Données projet'!$A$140&gt;35,CT97+CS98-DB97,IF(A98&lt;'Données projet'!$A$140,$CQ$205^A98,IF(A98='Données projet'!$A$140,'Données projet'!$B$140,CT97+CS98-DB97)))</f>
        <v>299.99999999999983</v>
      </c>
      <c r="CU98" s="18">
        <f>CT98*VLOOKUP('Données projet'!$B$13,Paramètres!$A$1:$I$89,3,0)*VLOOKUP('Données projet'!$B$13,Paramètres!$A$1:$I$89,5,0)</f>
        <v>290.15999999999985</v>
      </c>
      <c r="CV98" s="14">
        <f t="shared" si="95"/>
        <v>69.109634717039867</v>
      </c>
      <c r="CW98" s="22">
        <f t="shared" si="67"/>
        <v>625.72794713217752</v>
      </c>
      <c r="CX98" s="60">
        <f t="shared" si="68"/>
        <v>919.06128046551089</v>
      </c>
      <c r="CY98" s="60">
        <f ca="1">AVERAGE(OFFSET($CX$3,0,0,'Données projet'!$E$13+1,1))-AVERAGE(OFFSET($H$3,0,0,'Données projet'!$E$13+1,1))</f>
        <v>456.86147223520601</v>
      </c>
      <c r="CZ98" s="60">
        <f t="shared" si="96"/>
        <v>244.45149244446094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191.02564102564102</v>
      </c>
      <c r="DM98" s="13">
        <f>VLOOKUP(A98,'Données projet'!$A$165:$I$185,9,0)</f>
        <v>2.948717948717956</v>
      </c>
      <c r="DN98" s="13">
        <f t="array" ref="DN98">INDEX(DM:DM,MIN(IF(ISNUMBER(DM98:DM294),ROW(DM98:DM294),"")))</f>
        <v>2.948717948717956</v>
      </c>
      <c r="DO98" s="13">
        <f>IF('Données projet'!$A$166&gt;35,DO97+DN98-DW97,IF(A98&lt;'Données projet'!$A$166,$DL$205^A98,IF(A98='Données projet'!$A$166,'Données projet'!$B$166,DO97+DN98-DW97)))</f>
        <v>191.02564102564114</v>
      </c>
      <c r="DP98" s="18">
        <f>DO98*VLOOKUP('Données projet'!$B$14,Paramètres!$A$1:$I$89,3,0)*VLOOKUP('Données projet'!$B$14,Paramètres!$A$1:$I$89,5,0)</f>
        <v>181.78000000000011</v>
      </c>
      <c r="DQ98" s="14">
        <f t="shared" si="97"/>
        <v>45.717976285292302</v>
      </c>
      <c r="DR98" s="22">
        <f t="shared" si="70"/>
        <v>396.22564203021761</v>
      </c>
      <c r="DS98" s="60">
        <f t="shared" si="71"/>
        <v>689.55897536355087</v>
      </c>
      <c r="DT98" s="60">
        <f ca="1">AVERAGE(OFFSET($DS$3,0,0,'Données projet'!$E$14+1,1))-AVERAGE(OFFSET($H$3,0,0,'Données projet'!$E$14+1,1))</f>
        <v>300.36889324671682</v>
      </c>
      <c r="DU98" s="60">
        <f t="shared" si="98"/>
        <v>214.36051699039683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-4.9658410716801891E-14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202.46844517174412</v>
      </c>
      <c r="EP98" s="60">
        <f t="shared" si="100"/>
        <v>185.00219255324515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329.4871794871795</v>
      </c>
      <c r="FC98" s="13">
        <f>VLOOKUP(A98,'Données projet'!$A$217:$I$237,9,0)</f>
        <v>3.9743589743589838</v>
      </c>
      <c r="FD98" s="13">
        <f t="array" ref="FD98">INDEX(FC:FC,MIN(IF(ISNUMBER(FC98:FC294),ROW(FC98:FC294),"")))</f>
        <v>3.9743589743589838</v>
      </c>
      <c r="FE98" s="13">
        <f>IF('Données projet'!$A$218&gt;35,FE97+FD98-FM97,IF(A98&lt;'Données projet'!$A$218,$FB$205^A98,IF(A98='Données projet'!$A$218,'Données projet'!$B$218,FE97+FD98-FM97)))</f>
        <v>329.48717948717956</v>
      </c>
      <c r="FF98" s="18">
        <f>FE98*VLOOKUP('Données projet'!$B$16,Paramètres!$A$1:$I$89,3,0)*VLOOKUP('Données projet'!$B$16,Paramètres!$A$1:$I$89,5,0)</f>
        <v>221.02000000000007</v>
      </c>
      <c r="FG98" s="14">
        <f t="shared" si="101"/>
        <v>54.336517963380317</v>
      </c>
      <c r="FH98" s="22">
        <f t="shared" si="76"/>
        <v>479.57926878622084</v>
      </c>
      <c r="FI98" s="60">
        <f t="shared" si="77"/>
        <v>772.91260211955409</v>
      </c>
      <c r="FJ98" s="60">
        <f ca="1">AVERAGE(OFFSET($FI$3,0,0,'Données projet'!$E$16+1,1))-AVERAGE(OFFSET($H$3,0,0,'Données projet'!$E$16+1,1))</f>
        <v>344.87493856469382</v>
      </c>
      <c r="FK98" s="60">
        <f t="shared" si="102"/>
        <v>261.91036689641402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25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>
        <f>FZ98*VLOOKUP('Données projet'!$B$17,Paramètres!$A$1:$I$89,3,0)*VLOOKUP('Données projet'!$B$17,Paramètres!$A$1:$I$89,5,0)</f>
        <v>0</v>
      </c>
      <c r="GB98" s="14" t="e">
        <f t="shared" si="103"/>
        <v>#NUM!</v>
      </c>
      <c r="GC98" s="22" t="e">
        <f t="shared" si="79"/>
        <v>#NUM!</v>
      </c>
      <c r="GD98" s="60" t="e">
        <f t="shared" si="80"/>
        <v>#NUM!</v>
      </c>
      <c r="GE98" s="60">
        <f ca="1">AVERAGE(OFFSET($GD$3,0,0,'Données projet'!$E$17+1,1))-AVERAGE(OFFSET($H$3,0,0,'Données projet'!$E$17+1,1))</f>
        <v>268.19959446602911</v>
      </c>
      <c r="GF98" s="60">
        <f t="shared" si="104"/>
        <v>691.2533336811855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39.675945727834282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39.675945727834282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1.1368683772161603E-13</v>
      </c>
      <c r="GV98" s="18">
        <f>GU98*VLOOKUP('Données projet'!$B$18,Paramètres!$A$1:$I$89,3,0)*VLOOKUP('Données projet'!$B$18,Paramètres!$A$1:$I$89,5,0)</f>
        <v>8.8675733422860506E-14</v>
      </c>
      <c r="GW98" s="14">
        <f t="shared" si="105"/>
        <v>1.3509285393066301E-12</v>
      </c>
      <c r="GX98" s="22">
        <f t="shared" si="82"/>
        <v>2.5073107750038623E-12</v>
      </c>
      <c r="GY98" s="60">
        <f t="shared" si="83"/>
        <v>293.33333333333582</v>
      </c>
      <c r="GZ98" s="60">
        <f ca="1">AVERAGE(OFFSET($GY$3,0,0,'Données projet'!$E$18+1,1))-AVERAGE(OFFSET($H$3,0,0,'Données projet'!$E$18+1,1))</f>
        <v>292.57482726862594</v>
      </c>
      <c r="HA98" s="60">
        <f t="shared" si="106"/>
        <v>283.48738729114024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15</v>
      </c>
      <c r="N99" s="14">
        <f>IF('Données projet'!$A$36&gt;35,N98+M99-V98,IF(A99&lt;'Données projet'!$A$36,$K$205^A99,IF(A99='Données projet'!$A$36,'Données projet'!$B$36,N98+M99-V98)))</f>
        <v>794.99999999999989</v>
      </c>
      <c r="O99" s="14">
        <f>N99*VLOOKUP('Données projet'!$B$9,Paramètres!$A$1:$I$89,3,0)*VLOOKUP('Données projet'!$B$9,Paramètres!$A$1:$I$89,5,0)</f>
        <v>372.05999999999995</v>
      </c>
      <c r="P99" s="14">
        <f t="shared" si="87"/>
        <v>86.08860996789744</v>
      </c>
      <c r="Q99" s="22">
        <f t="shared" ref="Q99:Q130" si="107">(O99+P99)*0.475*44/12</f>
        <v>797.94216236075465</v>
      </c>
      <c r="R99" s="60">
        <f t="shared" si="55"/>
        <v>1091.275495694088</v>
      </c>
      <c r="S99" s="60">
        <f ca="1">AVERAGE(OFFSET($R$3,0,0,'Données projet'!$E$9+1,1))-AVERAGE(OFFSET($H$3,0,0,'Données projet'!$E$9+1,1))</f>
        <v>399.92909819003523</v>
      </c>
      <c r="T99" s="60">
        <f t="shared" si="88"/>
        <v>163.7053537268381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6.4</v>
      </c>
      <c r="AI99" s="14">
        <f>IF('Données projet'!$A$62&gt;35,AI98+AH99-AQ98,IF(A99&lt;'Données projet'!$A$62,$AF$205^A99,IF(A99='Données projet'!$A$62,'Données projet'!$B$62,AI98+AH99-AQ98)))</f>
        <v>557.39999999999952</v>
      </c>
      <c r="AJ99" s="14">
        <f>AI99*VLOOKUP('Données projet'!$B$10,Paramètres!$A$1:$I$89,3,0)*VLOOKUP('Données projet'!$B$10,Paramètres!$A$1:$I$89,5,0)</f>
        <v>333.32519999999971</v>
      </c>
      <c r="AK99" s="14">
        <f t="shared" si="89"/>
        <v>78.119303182860349</v>
      </c>
      <c r="AL99" s="22">
        <f t="shared" si="58"/>
        <v>716.5991763768144</v>
      </c>
      <c r="AM99" s="60">
        <f t="shared" si="59"/>
        <v>1009.9325097101478</v>
      </c>
      <c r="AN99" s="60">
        <f ca="1">AVERAGE(OFFSET($AM$3,0,0,'Données projet'!$E$10+1,1))-AVERAGE(OFFSET($H$3,0,0,'Données projet'!$E$10+1,1))</f>
        <v>455.43477166687273</v>
      </c>
      <c r="AO99" s="60">
        <f t="shared" si="90"/>
        <v>312.81310692672895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262.69999999999982</v>
      </c>
      <c r="BE99" s="14">
        <f>BD99*VLOOKUP('Données projet'!$B$11,Paramètres!$A$1:$I$89,3,0)*VLOOKUP('Données projet'!$B$11,Paramètres!$A$1:$I$89,5,0)</f>
        <v>237.69095999999982</v>
      </c>
      <c r="BF99" s="14">
        <f t="shared" si="91"/>
        <v>57.942450096949393</v>
      </c>
      <c r="BG99" s="22">
        <f t="shared" si="61"/>
        <v>514.89485591885318</v>
      </c>
      <c r="BH99" s="60">
        <f t="shared" si="62"/>
        <v>808.22818925218644</v>
      </c>
      <c r="BI99" s="60">
        <f ca="1">AVERAGE(OFFSET($BH$3,0,0,'Données projet'!$E$11+1,1))-AVERAGE(OFFSET($H$3,0,0,'Données projet'!$E$11+1,1))</f>
        <v>430.11660085503223</v>
      </c>
      <c r="BJ99" s="60">
        <f t="shared" si="92"/>
        <v>231.36959598460686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4.7</v>
      </c>
      <c r="BY99" s="13">
        <f>IF('Données projet'!$A$114&gt;35,BY98+BX99-CG98,IF(A99&lt;'Données projet'!$A$114,$BV$205^A99,IF(A99='Données projet'!$A$114,'Données projet'!$B$114,BY98+BX99-CG98)))</f>
        <v>262.69999999999982</v>
      </c>
      <c r="BZ99" s="14">
        <f>BY99*VLOOKUP('Données projet'!$B$12,Paramètres!$A$1:$I$89,3,0)*VLOOKUP('Données projet'!$B$12,Paramètres!$A$1:$I$89,5,0)</f>
        <v>266.37779999999981</v>
      </c>
      <c r="CA99" s="14">
        <f t="shared" si="93"/>
        <v>64.079943804672666</v>
      </c>
      <c r="CB99" s="22">
        <f t="shared" si="64"/>
        <v>575.54723712647126</v>
      </c>
      <c r="CC99" s="60">
        <f t="shared" si="65"/>
        <v>868.88057045980463</v>
      </c>
      <c r="CD99" s="60">
        <f ca="1">AVERAGE(OFFSET($CC$3,0,0,'Données projet'!$E$12+1,1))-AVERAGE(OFFSET($H$3,0,0,'Données projet'!$E$12+1,1))</f>
        <v>476.8965664931755</v>
      </c>
      <c r="CE99" s="60">
        <f t="shared" si="94"/>
        <v>254.25036207346591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</v>
      </c>
      <c r="CT99" s="13">
        <f>IF('Données projet'!$A$140&gt;35,CT98+CS99-DB98,IF(A99&lt;'Données projet'!$A$140,$CQ$205^A99,IF(A99='Données projet'!$A$140,'Données projet'!$B$140,CT98+CS99-DB98)))</f>
        <v>262.69999999999982</v>
      </c>
      <c r="CU99" s="18">
        <f>CT99*VLOOKUP('Données projet'!$B$13,Paramètres!$A$1:$I$89,3,0)*VLOOKUP('Données projet'!$B$13,Paramètres!$A$1:$I$89,5,0)</f>
        <v>254.08343999999983</v>
      </c>
      <c r="CV99" s="14">
        <f t="shared" si="95"/>
        <v>61.459521845988199</v>
      </c>
      <c r="CW99" s="22">
        <f t="shared" si="67"/>
        <v>549.57065854842915</v>
      </c>
      <c r="CX99" s="60">
        <f t="shared" si="68"/>
        <v>842.90399188176252</v>
      </c>
      <c r="CY99" s="60">
        <f ca="1">AVERAGE(OFFSET($CX$3,0,0,'Données projet'!$E$13+1,1))-AVERAGE(OFFSET($H$3,0,0,'Données projet'!$E$13+1,1))</f>
        <v>456.86147223520601</v>
      </c>
      <c r="CZ99" s="60">
        <f t="shared" si="96"/>
        <v>244.45149244446094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2.9487179487179445</v>
      </c>
      <c r="DO99" s="13">
        <f>IF('Données projet'!$A$166&gt;35,DO98+DN99-DW98,IF(A99&lt;'Données projet'!$A$166,$DL$205^A99,IF(A99='Données projet'!$A$166,'Données projet'!$B$166,DO98+DN99-DW98)))</f>
        <v>193.97435897435909</v>
      </c>
      <c r="DP99" s="18">
        <f>DO99*VLOOKUP('Données projet'!$B$14,Paramètres!$A$1:$I$89,3,0)*VLOOKUP('Données projet'!$B$14,Paramètres!$A$1:$I$89,5,0)</f>
        <v>184.58600000000013</v>
      </c>
      <c r="DQ99" s="14">
        <f t="shared" si="97"/>
        <v>46.340987919869399</v>
      </c>
      <c r="DR99" s="22">
        <f t="shared" si="70"/>
        <v>402.19783729377281</v>
      </c>
      <c r="DS99" s="60">
        <f t="shared" si="71"/>
        <v>695.53117062710612</v>
      </c>
      <c r="DT99" s="60">
        <f ca="1">AVERAGE(OFFSET($DS$3,0,0,'Données projet'!$E$14+1,1))-AVERAGE(OFFSET($H$3,0,0,'Données projet'!$E$14+1,1))</f>
        <v>300.36889324671682</v>
      </c>
      <c r="DU99" s="60">
        <f t="shared" si="98"/>
        <v>214.36051699039683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-4.9658410716801891E-14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202.46844517174412</v>
      </c>
      <c r="EP99" s="60">
        <f t="shared" si="100"/>
        <v>185.00219255324515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3.717948717948707</v>
      </c>
      <c r="FE99" s="13">
        <f>IF('Données projet'!$A$218&gt;35,FE98+FD99-FM98,IF(A99&lt;'Données projet'!$A$218,$FB$205^A99,IF(A99='Données projet'!$A$218,'Données projet'!$B$218,FE98+FD99-FM98)))</f>
        <v>308.20512820512829</v>
      </c>
      <c r="FF99" s="18">
        <f>FE99*VLOOKUP('Données projet'!$B$16,Paramètres!$A$1:$I$89,3,0)*VLOOKUP('Données projet'!$B$16,Paramètres!$A$1:$I$89,5,0)</f>
        <v>206.74400000000009</v>
      </c>
      <c r="FG99" s="14">
        <f t="shared" si="101"/>
        <v>51.223421985771196</v>
      </c>
      <c r="FH99" s="22">
        <f t="shared" si="76"/>
        <v>449.29325995855169</v>
      </c>
      <c r="FI99" s="60">
        <f t="shared" si="77"/>
        <v>742.626593291885</v>
      </c>
      <c r="FJ99" s="60">
        <f ca="1">AVERAGE(OFFSET($FI$3,0,0,'Données projet'!$E$16+1,1))-AVERAGE(OFFSET($H$3,0,0,'Données projet'!$E$16+1,1))</f>
        <v>344.87493856469382</v>
      </c>
      <c r="FK99" s="60">
        <f t="shared" si="102"/>
        <v>261.91036689641402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>
        <f>FZ99*VLOOKUP('Données projet'!$B$17,Paramètres!$A$1:$I$89,3,0)*VLOOKUP('Données projet'!$B$17,Paramètres!$A$1:$I$89,5,0)</f>
        <v>0</v>
      </c>
      <c r="GB99" s="14" t="e">
        <f t="shared" si="103"/>
        <v>#NUM!</v>
      </c>
      <c r="GC99" s="22" t="e">
        <f t="shared" si="79"/>
        <v>#NUM!</v>
      </c>
      <c r="GD99" s="60" t="e">
        <f t="shared" si="80"/>
        <v>#NUM!</v>
      </c>
      <c r="GE99" s="60">
        <f ca="1">AVERAGE(OFFSET($GD$3,0,0,'Données projet'!$E$17+1,1))-AVERAGE(OFFSET($H$3,0,0,'Données projet'!$E$17+1,1))</f>
        <v>268.19959446602911</v>
      </c>
      <c r="GF99" s="60">
        <f t="shared" si="104"/>
        <v>691.2533336811855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38.897924632048799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38.897924632048799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1.1368683772161603E-13</v>
      </c>
      <c r="GV99" s="18">
        <f>GU99*VLOOKUP('Données projet'!$B$18,Paramètres!$A$1:$I$89,3,0)*VLOOKUP('Données projet'!$B$18,Paramètres!$A$1:$I$89,5,0)</f>
        <v>8.8675733422860506E-14</v>
      </c>
      <c r="GW99" s="14">
        <f t="shared" si="105"/>
        <v>1.3509285393066301E-12</v>
      </c>
      <c r="GX99" s="22">
        <f t="shared" si="82"/>
        <v>2.5073107750038623E-12</v>
      </c>
      <c r="GY99" s="60">
        <f t="shared" si="83"/>
        <v>293.33333333333582</v>
      </c>
      <c r="GZ99" s="60">
        <f ca="1">AVERAGE(OFFSET($GY$3,0,0,'Données projet'!$E$18+1,1))-AVERAGE(OFFSET($H$3,0,0,'Données projet'!$E$18+1,1))</f>
        <v>292.57482726862594</v>
      </c>
      <c r="HA99" s="60">
        <f t="shared" si="106"/>
        <v>283.48738729114024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15</v>
      </c>
      <c r="N100" s="14">
        <f>IF('Données projet'!$A$36&gt;35,N99+M100-V99,IF(A100&lt;'Données projet'!$A$36,$K$205^A100,IF(A100='Données projet'!$A$36,'Données projet'!$B$36,N99+M100-V99)))</f>
        <v>809.99999999999989</v>
      </c>
      <c r="O100" s="14">
        <f>N100*VLOOKUP('Données projet'!$B$9,Paramètres!$A$1:$I$89,3,0)*VLOOKUP('Données projet'!$B$9,Paramètres!$A$1:$I$89,5,0)</f>
        <v>379.08</v>
      </c>
      <c r="P100" s="14">
        <f t="shared" si="87"/>
        <v>87.522288181554913</v>
      </c>
      <c r="Q100" s="22">
        <f t="shared" si="107"/>
        <v>812.66565191620805</v>
      </c>
      <c r="R100" s="60">
        <f t="shared" si="55"/>
        <v>1105.9989852495414</v>
      </c>
      <c r="S100" s="60">
        <f ca="1">AVERAGE(OFFSET($R$3,0,0,'Données projet'!$E$9+1,1))-AVERAGE(OFFSET($H$3,0,0,'Données projet'!$E$9+1,1))</f>
        <v>399.92909819003523</v>
      </c>
      <c r="T100" s="60">
        <f t="shared" si="88"/>
        <v>163.7053537268381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6.4</v>
      </c>
      <c r="AI100" s="14">
        <f>IF('Données projet'!$A$62&gt;35,AI99+AH100-AQ99,IF(A100&lt;'Données projet'!$A$62,$AF$205^A100,IF(A100='Données projet'!$A$62,'Données projet'!$B$62,AI99+AH100-AQ99)))</f>
        <v>563.7999999999995</v>
      </c>
      <c r="AJ100" s="14">
        <f>AI100*VLOOKUP('Données projet'!$B$10,Paramètres!$A$1:$I$89,3,0)*VLOOKUP('Données projet'!$B$10,Paramètres!$A$1:$I$89,5,0)</f>
        <v>337.15239999999972</v>
      </c>
      <c r="AK100" s="14">
        <f t="shared" si="89"/>
        <v>78.911326556971076</v>
      </c>
      <c r="AL100" s="22">
        <f t="shared" si="58"/>
        <v>724.64432375339072</v>
      </c>
      <c r="AM100" s="60">
        <f t="shared" si="59"/>
        <v>1017.9776570867241</v>
      </c>
      <c r="AN100" s="60">
        <f ca="1">AVERAGE(OFFSET($AM$3,0,0,'Données projet'!$E$10+1,1))-AVERAGE(OFFSET($H$3,0,0,'Données projet'!$E$10+1,1))</f>
        <v>455.43477166687273</v>
      </c>
      <c r="AO100" s="60">
        <f t="shared" si="90"/>
        <v>312.81310692672895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267.39999999999981</v>
      </c>
      <c r="BE100" s="14">
        <f>BD100*VLOOKUP('Données projet'!$B$11,Paramètres!$A$1:$I$89,3,0)*VLOOKUP('Données projet'!$B$11,Paramètres!$A$1:$I$89,5,0)</f>
        <v>241.94351999999981</v>
      </c>
      <c r="BF100" s="14">
        <f t="shared" si="91"/>
        <v>58.857491789961337</v>
      </c>
      <c r="BG100" s="22">
        <f t="shared" si="61"/>
        <v>523.89509553418225</v>
      </c>
      <c r="BH100" s="60">
        <f t="shared" si="62"/>
        <v>817.2284288675155</v>
      </c>
      <c r="BI100" s="60">
        <f ca="1">AVERAGE(OFFSET($BH$3,0,0,'Données projet'!$E$11+1,1))-AVERAGE(OFFSET($H$3,0,0,'Données projet'!$E$11+1,1))</f>
        <v>430.11660085503223</v>
      </c>
      <c r="BJ100" s="60">
        <f t="shared" si="92"/>
        <v>231.36959598460686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4.7</v>
      </c>
      <c r="BY100" s="13">
        <f>IF('Données projet'!$A$114&gt;35,BY99+BX100-CG99,IF(A100&lt;'Données projet'!$A$114,$BV$205^A100,IF(A100='Données projet'!$A$114,'Données projet'!$B$114,BY99+BX100-CG99)))</f>
        <v>267.39999999999981</v>
      </c>
      <c r="BZ100" s="14">
        <f>BY100*VLOOKUP('Données projet'!$B$12,Paramètres!$A$1:$I$89,3,0)*VLOOKUP('Données projet'!$B$12,Paramètres!$A$1:$I$89,5,0)</f>
        <v>271.14359999999982</v>
      </c>
      <c r="CA100" s="14">
        <f t="shared" si="93"/>
        <v>65.091910336447413</v>
      </c>
      <c r="CB100" s="22">
        <f t="shared" si="64"/>
        <v>585.61018050264568</v>
      </c>
      <c r="CC100" s="60">
        <f t="shared" si="65"/>
        <v>878.94351383597905</v>
      </c>
      <c r="CD100" s="60">
        <f ca="1">AVERAGE(OFFSET($CC$3,0,0,'Données projet'!$E$12+1,1))-AVERAGE(OFFSET($H$3,0,0,'Données projet'!$E$12+1,1))</f>
        <v>476.8965664931755</v>
      </c>
      <c r="CE100" s="60">
        <f t="shared" si="94"/>
        <v>254.25036207346591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</v>
      </c>
      <c r="CT100" s="13">
        <f>IF('Données projet'!$A$140&gt;35,CT99+CS100-DB99,IF(A100&lt;'Données projet'!$A$140,$CQ$205^A100,IF(A100='Données projet'!$A$140,'Données projet'!$B$140,CT99+CS100-DB99)))</f>
        <v>267.39999999999981</v>
      </c>
      <c r="CU100" s="18">
        <f>CT100*VLOOKUP('Données projet'!$B$13,Paramètres!$A$1:$I$89,3,0)*VLOOKUP('Données projet'!$B$13,Paramètres!$A$1:$I$89,5,0)</f>
        <v>258.62927999999982</v>
      </c>
      <c r="CV100" s="14">
        <f t="shared" si="95"/>
        <v>62.430106017481869</v>
      </c>
      <c r="CW100" s="22">
        <f t="shared" si="67"/>
        <v>559.17843064711394</v>
      </c>
      <c r="CX100" s="60">
        <f t="shared" si="68"/>
        <v>852.51176398044731</v>
      </c>
      <c r="CY100" s="60">
        <f ca="1">AVERAGE(OFFSET($CX$3,0,0,'Données projet'!$E$13+1,1))-AVERAGE(OFFSET($H$3,0,0,'Données projet'!$E$13+1,1))</f>
        <v>456.86147223520601</v>
      </c>
      <c r="CZ100" s="60">
        <f t="shared" si="96"/>
        <v>244.45149244446094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2.9487179487179445</v>
      </c>
      <c r="DO100" s="13">
        <f>IF('Données projet'!$A$166&gt;35,DO99+DN100-DW99,IF(A100&lt;'Données projet'!$A$166,$DL$205^A100,IF(A100='Données projet'!$A$166,'Données projet'!$B$166,DO99+DN100-DW99)))</f>
        <v>196.92307692307705</v>
      </c>
      <c r="DP100" s="18">
        <f>DO100*VLOOKUP('Données projet'!$B$14,Paramètres!$A$1:$I$89,3,0)*VLOOKUP('Données projet'!$B$14,Paramètres!$A$1:$I$89,5,0)</f>
        <v>187.39200000000011</v>
      </c>
      <c r="DQ100" s="14">
        <f t="shared" si="97"/>
        <v>46.962898087285822</v>
      </c>
      <c r="DR100" s="22">
        <f t="shared" si="70"/>
        <v>408.16811416868967</v>
      </c>
      <c r="DS100" s="60">
        <f t="shared" si="71"/>
        <v>701.50144750202298</v>
      </c>
      <c r="DT100" s="60">
        <f ca="1">AVERAGE(OFFSET($DS$3,0,0,'Données projet'!$E$14+1,1))-AVERAGE(OFFSET($H$3,0,0,'Données projet'!$E$14+1,1))</f>
        <v>300.36889324671682</v>
      </c>
      <c r="DU100" s="60">
        <f t="shared" si="98"/>
        <v>214.36051699039683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-4.9658410716801891E-14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202.46844517174412</v>
      </c>
      <c r="EP100" s="60">
        <f t="shared" si="100"/>
        <v>185.00219255324515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3.717948717948707</v>
      </c>
      <c r="FE100" s="13">
        <f>IF('Données projet'!$A$218&gt;35,FE99+FD100-FM99,IF(A100&lt;'Données projet'!$A$218,$FB$205^A100,IF(A100='Données projet'!$A$218,'Données projet'!$B$218,FE99+FD100-FM99)))</f>
        <v>311.92307692307702</v>
      </c>
      <c r="FF100" s="18">
        <f>FE100*VLOOKUP('Données projet'!$B$16,Paramètres!$A$1:$I$89,3,0)*VLOOKUP('Données projet'!$B$16,Paramètres!$A$1:$I$89,5,0)</f>
        <v>209.23800000000006</v>
      </c>
      <c r="FG100" s="14">
        <f t="shared" si="101"/>
        <v>51.769034313723793</v>
      </c>
      <c r="FH100" s="22">
        <f t="shared" si="76"/>
        <v>454.58725142973572</v>
      </c>
      <c r="FI100" s="60">
        <f t="shared" si="77"/>
        <v>747.92058476306897</v>
      </c>
      <c r="FJ100" s="60">
        <f ca="1">AVERAGE(OFFSET($FI$3,0,0,'Données projet'!$E$16+1,1))-AVERAGE(OFFSET($H$3,0,0,'Données projet'!$E$16+1,1))</f>
        <v>344.87493856469382</v>
      </c>
      <c r="FK100" s="60">
        <f t="shared" si="102"/>
        <v>261.91036689641402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>
        <f>FZ100*VLOOKUP('Données projet'!$B$17,Paramètres!$A$1:$I$89,3,0)*VLOOKUP('Données projet'!$B$17,Paramètres!$A$1:$I$89,5,0)</f>
        <v>0</v>
      </c>
      <c r="GB100" s="14" t="e">
        <f t="shared" si="103"/>
        <v>#NUM!</v>
      </c>
      <c r="GC100" s="22" t="e">
        <f t="shared" si="79"/>
        <v>#NUM!</v>
      </c>
      <c r="GD100" s="60" t="e">
        <f t="shared" si="80"/>
        <v>#NUM!</v>
      </c>
      <c r="GE100" s="60">
        <f ca="1">AVERAGE(OFFSET($GD$3,0,0,'Données projet'!$E$17+1,1))-AVERAGE(OFFSET($H$3,0,0,'Données projet'!$E$17+1,1))</f>
        <v>268.19959446602911</v>
      </c>
      <c r="GF100" s="60">
        <f t="shared" si="104"/>
        <v>691.2533336811855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38.135160055405663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38.135160055405663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1.1368683772161603E-13</v>
      </c>
      <c r="GV100" s="18">
        <f>GU100*VLOOKUP('Données projet'!$B$18,Paramètres!$A$1:$I$89,3,0)*VLOOKUP('Données projet'!$B$18,Paramètres!$A$1:$I$89,5,0)</f>
        <v>8.8675733422860506E-14</v>
      </c>
      <c r="GW100" s="14">
        <f t="shared" si="105"/>
        <v>1.3509285393066301E-12</v>
      </c>
      <c r="GX100" s="22">
        <f t="shared" si="82"/>
        <v>2.5073107750038623E-12</v>
      </c>
      <c r="GY100" s="60">
        <f t="shared" si="83"/>
        <v>293.33333333333582</v>
      </c>
      <c r="GZ100" s="60">
        <f ca="1">AVERAGE(OFFSET($GY$3,0,0,'Données projet'!$E$18+1,1))-AVERAGE(OFFSET($H$3,0,0,'Données projet'!$E$18+1,1))</f>
        <v>292.57482726862594</v>
      </c>
      <c r="HA100" s="60">
        <f t="shared" si="106"/>
        <v>283.48738729114024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15</v>
      </c>
      <c r="N101" s="14">
        <f>IF('Données projet'!$A$36&gt;35,N100+M101-V100,IF(A101&lt;'Données projet'!$A$36,$K$205^A101,IF(A101='Données projet'!$A$36,'Données projet'!$B$36,N100+M101-V100)))</f>
        <v>824.99999999999989</v>
      </c>
      <c r="O101" s="14">
        <f>N101*VLOOKUP('Données projet'!$B$9,Paramètres!$A$1:$I$89,3,0)*VLOOKUP('Données projet'!$B$9,Paramètres!$A$1:$I$89,5,0)</f>
        <v>386.09999999999997</v>
      </c>
      <c r="P101" s="14">
        <f t="shared" si="87"/>
        <v>88.952879163979915</v>
      </c>
      <c r="Q101" s="22">
        <f t="shared" si="107"/>
        <v>827.38376454393153</v>
      </c>
      <c r="R101" s="60">
        <f t="shared" si="55"/>
        <v>1120.7170978772649</v>
      </c>
      <c r="S101" s="60">
        <f ca="1">AVERAGE(OFFSET($R$3,0,0,'Données projet'!$E$9+1,1))-AVERAGE(OFFSET($H$3,0,0,'Données projet'!$E$9+1,1))</f>
        <v>399.92909819003523</v>
      </c>
      <c r="T101" s="60">
        <f t="shared" si="88"/>
        <v>163.7053537268381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6.4</v>
      </c>
      <c r="AI101" s="14">
        <f>IF('Données projet'!$A$62&gt;35,AI100+AH101-AQ100,IF(A101&lt;'Données projet'!$A$62,$AF$205^A101,IF(A101='Données projet'!$A$62,'Données projet'!$B$62,AI100+AH101-AQ100)))</f>
        <v>570.19999999999948</v>
      </c>
      <c r="AJ101" s="14">
        <f>AI101*VLOOKUP('Données projet'!$B$10,Paramètres!$A$1:$I$89,3,0)*VLOOKUP('Données projet'!$B$10,Paramètres!$A$1:$I$89,5,0)</f>
        <v>340.97959999999966</v>
      </c>
      <c r="AK101" s="14">
        <f t="shared" si="89"/>
        <v>79.702304082394093</v>
      </c>
      <c r="AL101" s="22">
        <f t="shared" si="58"/>
        <v>732.68764961016916</v>
      </c>
      <c r="AM101" s="60">
        <f t="shared" si="59"/>
        <v>1026.0209829435025</v>
      </c>
      <c r="AN101" s="60">
        <f ca="1">AVERAGE(OFFSET($AM$3,0,0,'Données projet'!$E$10+1,1))-AVERAGE(OFFSET($H$3,0,0,'Données projet'!$E$10+1,1))</f>
        <v>455.43477166687273</v>
      </c>
      <c r="AO101" s="60">
        <f t="shared" si="90"/>
        <v>312.81310692672895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272.0999999999998</v>
      </c>
      <c r="BE101" s="14">
        <f>BD101*VLOOKUP('Données projet'!$B$11,Paramètres!$A$1:$I$89,3,0)*VLOOKUP('Données projet'!$B$11,Paramètres!$A$1:$I$89,5,0)</f>
        <v>246.1960799999998</v>
      </c>
      <c r="BF101" s="14">
        <f t="shared" si="91"/>
        <v>59.770663189456066</v>
      </c>
      <c r="BG101" s="22">
        <f t="shared" si="61"/>
        <v>532.8920777216357</v>
      </c>
      <c r="BH101" s="60">
        <f t="shared" si="62"/>
        <v>826.22541105496907</v>
      </c>
      <c r="BI101" s="60">
        <f ca="1">AVERAGE(OFFSET($BH$3,0,0,'Données projet'!$E$11+1,1))-AVERAGE(OFFSET($H$3,0,0,'Données projet'!$E$11+1,1))</f>
        <v>430.11660085503223</v>
      </c>
      <c r="BJ101" s="60">
        <f t="shared" si="92"/>
        <v>231.36959598460686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4.7</v>
      </c>
      <c r="BY101" s="13">
        <f>IF('Données projet'!$A$114&gt;35,BY100+BX101-CG100,IF(A101&lt;'Données projet'!$A$114,$BV$205^A101,IF(A101='Données projet'!$A$114,'Données projet'!$B$114,BY100+BX101-CG100)))</f>
        <v>272.0999999999998</v>
      </c>
      <c r="BZ101" s="14">
        <f>BY101*VLOOKUP('Données projet'!$B$12,Paramètres!$A$1:$I$89,3,0)*VLOOKUP('Données projet'!$B$12,Paramètres!$A$1:$I$89,5,0)</f>
        <v>275.90939999999978</v>
      </c>
      <c r="CA101" s="14">
        <f t="shared" si="93"/>
        <v>66.101808465811018</v>
      </c>
      <c r="CB101" s="22">
        <f t="shared" si="64"/>
        <v>595.66952141128706</v>
      </c>
      <c r="CC101" s="60">
        <f t="shared" si="65"/>
        <v>889.00285474462044</v>
      </c>
      <c r="CD101" s="60">
        <f ca="1">AVERAGE(OFFSET($CC$3,0,0,'Données projet'!$E$12+1,1))-AVERAGE(OFFSET($H$3,0,0,'Données projet'!$E$12+1,1))</f>
        <v>476.8965664931755</v>
      </c>
      <c r="CE101" s="60">
        <f t="shared" si="94"/>
        <v>254.25036207346591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</v>
      </c>
      <c r="CT101" s="13">
        <f>IF('Données projet'!$A$140&gt;35,CT100+CS101-DB100,IF(A101&lt;'Données projet'!$A$140,$CQ$205^A101,IF(A101='Données projet'!$A$140,'Données projet'!$B$140,CT100+CS101-DB100)))</f>
        <v>272.0999999999998</v>
      </c>
      <c r="CU101" s="18">
        <f>CT101*VLOOKUP('Données projet'!$B$13,Paramètres!$A$1:$I$89,3,0)*VLOOKUP('Données projet'!$B$13,Paramètres!$A$1:$I$89,5,0)</f>
        <v>263.17511999999982</v>
      </c>
      <c r="CV101" s="14">
        <f t="shared" si="95"/>
        <v>63.398706369770494</v>
      </c>
      <c r="CW101" s="22">
        <f t="shared" si="67"/>
        <v>568.78274759401654</v>
      </c>
      <c r="CX101" s="60">
        <f t="shared" si="68"/>
        <v>862.11608092734991</v>
      </c>
      <c r="CY101" s="60">
        <f ca="1">AVERAGE(OFFSET($CX$3,0,0,'Données projet'!$E$13+1,1))-AVERAGE(OFFSET($H$3,0,0,'Données projet'!$E$13+1,1))</f>
        <v>456.86147223520601</v>
      </c>
      <c r="CZ101" s="60">
        <f t="shared" si="96"/>
        <v>244.45149244446094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2.9487179487179445</v>
      </c>
      <c r="DO101" s="13">
        <f>IF('Données projet'!$A$166&gt;35,DO100+DN101-DW100,IF(A101&lt;'Données projet'!$A$166,$DL$205^A101,IF(A101='Données projet'!$A$166,'Données projet'!$B$166,DO100+DN101-DW100)))</f>
        <v>199.871794871795</v>
      </c>
      <c r="DP101" s="18">
        <f>DO101*VLOOKUP('Données projet'!$B$14,Paramètres!$A$1:$I$89,3,0)*VLOOKUP('Données projet'!$B$14,Paramètres!$A$1:$I$89,5,0)</f>
        <v>190.19800000000012</v>
      </c>
      <c r="DQ101" s="14">
        <f t="shared" si="97"/>
        <v>47.583725186034627</v>
      </c>
      <c r="DR101" s="22">
        <f t="shared" si="70"/>
        <v>414.13650469901057</v>
      </c>
      <c r="DS101" s="60">
        <f t="shared" si="71"/>
        <v>707.46983803234389</v>
      </c>
      <c r="DT101" s="60">
        <f ca="1">AVERAGE(OFFSET($DS$3,0,0,'Données projet'!$E$14+1,1))-AVERAGE(OFFSET($H$3,0,0,'Données projet'!$E$14+1,1))</f>
        <v>300.36889324671682</v>
      </c>
      <c r="DU101" s="60">
        <f t="shared" si="98"/>
        <v>214.36051699039683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-4.9658410716801891E-14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202.46844517174412</v>
      </c>
      <c r="EP101" s="60">
        <f t="shared" si="100"/>
        <v>185.00219255324515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3.717948717948707</v>
      </c>
      <c r="FE101" s="13">
        <f>IF('Données projet'!$A$218&gt;35,FE100+FD101-FM100,IF(A101&lt;'Données projet'!$A$218,$FB$205^A101,IF(A101='Données projet'!$A$218,'Données projet'!$B$218,FE100+FD101-FM100)))</f>
        <v>315.64102564102575</v>
      </c>
      <c r="FF101" s="18">
        <f>FE101*VLOOKUP('Données projet'!$B$16,Paramètres!$A$1:$I$89,3,0)*VLOOKUP('Données projet'!$B$16,Paramètres!$A$1:$I$89,5,0)</f>
        <v>211.73200000000008</v>
      </c>
      <c r="FG101" s="14">
        <f t="shared" si="101"/>
        <v>52.313890152569769</v>
      </c>
      <c r="FH101" s="22">
        <f t="shared" si="76"/>
        <v>459.87992534905925</v>
      </c>
      <c r="FI101" s="60">
        <f t="shared" si="77"/>
        <v>753.21325868239251</v>
      </c>
      <c r="FJ101" s="60">
        <f ca="1">AVERAGE(OFFSET($FI$3,0,0,'Données projet'!$E$16+1,1))-AVERAGE(OFFSET($H$3,0,0,'Données projet'!$E$16+1,1))</f>
        <v>344.87493856469382</v>
      </c>
      <c r="FK101" s="60">
        <f t="shared" si="102"/>
        <v>261.91036689641402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>
        <f>FZ101*VLOOKUP('Données projet'!$B$17,Paramètres!$A$1:$I$89,3,0)*VLOOKUP('Données projet'!$B$17,Paramètres!$A$1:$I$89,5,0)</f>
        <v>0</v>
      </c>
      <c r="GB101" s="14" t="e">
        <f t="shared" si="103"/>
        <v>#NUM!</v>
      </c>
      <c r="GC101" s="22" t="e">
        <f t="shared" si="79"/>
        <v>#NUM!</v>
      </c>
      <c r="GD101" s="60" t="e">
        <f t="shared" si="80"/>
        <v>#NUM!</v>
      </c>
      <c r="GE101" s="60">
        <f ca="1">AVERAGE(OFFSET($GD$3,0,0,'Données projet'!$E$17+1,1))-AVERAGE(OFFSET($H$3,0,0,'Données projet'!$E$17+1,1))</f>
        <v>268.19959446602911</v>
      </c>
      <c r="GF101" s="60">
        <f t="shared" si="104"/>
        <v>691.2533336811855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37.387352826870043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37.387352826870043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1.1368683772161603E-13</v>
      </c>
      <c r="GV101" s="18">
        <f>GU101*VLOOKUP('Données projet'!$B$18,Paramètres!$A$1:$I$89,3,0)*VLOOKUP('Données projet'!$B$18,Paramètres!$A$1:$I$89,5,0)</f>
        <v>8.8675733422860506E-14</v>
      </c>
      <c r="GW101" s="14">
        <f t="shared" si="105"/>
        <v>1.3509285393066301E-12</v>
      </c>
      <c r="GX101" s="22">
        <f t="shared" si="82"/>
        <v>2.5073107750038623E-12</v>
      </c>
      <c r="GY101" s="60">
        <f t="shared" si="83"/>
        <v>293.33333333333582</v>
      </c>
      <c r="GZ101" s="60">
        <f ca="1">AVERAGE(OFFSET($GY$3,0,0,'Données projet'!$E$18+1,1))-AVERAGE(OFFSET($H$3,0,0,'Données projet'!$E$18+1,1))</f>
        <v>292.57482726862594</v>
      </c>
      <c r="HA101" s="60">
        <f t="shared" si="106"/>
        <v>283.48738729114024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15</v>
      </c>
      <c r="N102" s="14">
        <f>IF('Données projet'!$A$36&gt;35,N101+M102-V101,IF(A102&lt;'Données projet'!$A$36,$K$205^A102,IF(A102='Données projet'!$A$36,'Données projet'!$B$36,N101+M102-V101)))</f>
        <v>839.99999999999989</v>
      </c>
      <c r="O102" s="14">
        <f>N102*VLOOKUP('Données projet'!$B$9,Paramètres!$A$1:$I$89,3,0)*VLOOKUP('Données projet'!$B$9,Paramètres!$A$1:$I$89,5,0)</f>
        <v>393.11999999999989</v>
      </c>
      <c r="P102" s="14">
        <f t="shared" si="87"/>
        <v>90.380445521044919</v>
      </c>
      <c r="Q102" s="22">
        <f t="shared" si="107"/>
        <v>842.09660928248638</v>
      </c>
      <c r="R102" s="60">
        <f t="shared" si="55"/>
        <v>1135.4299426158198</v>
      </c>
      <c r="S102" s="60">
        <f ca="1">AVERAGE(OFFSET($R$3,0,0,'Données projet'!$E$9+1,1))-AVERAGE(OFFSET($H$3,0,0,'Données projet'!$E$9+1,1))</f>
        <v>399.92909819003523</v>
      </c>
      <c r="T102" s="60">
        <f t="shared" si="88"/>
        <v>163.7053537268381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6.4</v>
      </c>
      <c r="AI102" s="14">
        <f>IF('Données projet'!$A$62&gt;35,AI101+AH102-AQ101,IF(A102&lt;'Données projet'!$A$62,$AF$205^A102,IF(A102='Données projet'!$A$62,'Données projet'!$B$62,AI101+AH102-AQ101)))</f>
        <v>576.59999999999945</v>
      </c>
      <c r="AJ102" s="14">
        <f>AI102*VLOOKUP('Données projet'!$B$10,Paramètres!$A$1:$I$89,3,0)*VLOOKUP('Données projet'!$B$10,Paramètres!$A$1:$I$89,5,0)</f>
        <v>344.80679999999973</v>
      </c>
      <c r="AK102" s="14">
        <f t="shared" si="89"/>
        <v>80.492248856258314</v>
      </c>
      <c r="AL102" s="22">
        <f t="shared" si="58"/>
        <v>740.72917675798271</v>
      </c>
      <c r="AM102" s="60">
        <f t="shared" si="59"/>
        <v>1034.062510091316</v>
      </c>
      <c r="AN102" s="60">
        <f ca="1">AVERAGE(OFFSET($AM$3,0,0,'Données projet'!$E$10+1,1))-AVERAGE(OFFSET($H$3,0,0,'Données projet'!$E$10+1,1))</f>
        <v>455.43477166687273</v>
      </c>
      <c r="AO102" s="60">
        <f t="shared" si="90"/>
        <v>312.81310692672895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276.79999999999978</v>
      </c>
      <c r="BE102" s="14">
        <f>BD102*VLOOKUP('Données projet'!$B$11,Paramètres!$A$1:$I$89,3,0)*VLOOKUP('Données projet'!$B$11,Paramètres!$A$1:$I$89,5,0)</f>
        <v>250.44863999999981</v>
      </c>
      <c r="BF102" s="14">
        <f t="shared" si="91"/>
        <v>60.682000328889998</v>
      </c>
      <c r="BG102" s="22">
        <f t="shared" si="61"/>
        <v>541.885865239483</v>
      </c>
      <c r="BH102" s="60">
        <f t="shared" si="62"/>
        <v>835.21919857281637</v>
      </c>
      <c r="BI102" s="60">
        <f ca="1">AVERAGE(OFFSET($BH$3,0,0,'Données projet'!$E$11+1,1))-AVERAGE(OFFSET($H$3,0,0,'Données projet'!$E$11+1,1))</f>
        <v>430.11660085503223</v>
      </c>
      <c r="BJ102" s="60">
        <f t="shared" si="92"/>
        <v>231.36959598460686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4.7</v>
      </c>
      <c r="BY102" s="13">
        <f>IF('Données projet'!$A$114&gt;35,BY101+BX102-CG101,IF(A102&lt;'Données projet'!$A$114,$BV$205^A102,IF(A102='Données projet'!$A$114,'Données projet'!$B$114,BY101+BX102-CG101)))</f>
        <v>276.79999999999978</v>
      </c>
      <c r="BZ102" s="14">
        <f>BY102*VLOOKUP('Données projet'!$B$12,Paramètres!$A$1:$I$89,3,0)*VLOOKUP('Données projet'!$B$12,Paramètres!$A$1:$I$89,5,0)</f>
        <v>280.67519999999979</v>
      </c>
      <c r="CA102" s="14">
        <f t="shared" si="93"/>
        <v>67.109678043026435</v>
      </c>
      <c r="CB102" s="22">
        <f t="shared" si="64"/>
        <v>605.72532925827056</v>
      </c>
      <c r="CC102" s="60">
        <f t="shared" si="65"/>
        <v>899.05866259160393</v>
      </c>
      <c r="CD102" s="60">
        <f ca="1">AVERAGE(OFFSET($CC$3,0,0,'Données projet'!$E$12+1,1))-AVERAGE(OFFSET($H$3,0,0,'Données projet'!$E$12+1,1))</f>
        <v>476.8965664931755</v>
      </c>
      <c r="CE102" s="60">
        <f t="shared" si="94"/>
        <v>254.25036207346591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</v>
      </c>
      <c r="CT102" s="13">
        <f>IF('Données projet'!$A$140&gt;35,CT101+CS102-DB101,IF(A102&lt;'Données projet'!$A$140,$CQ$205^A102,IF(A102='Données projet'!$A$140,'Données projet'!$B$140,CT101+CS102-DB101)))</f>
        <v>276.79999999999978</v>
      </c>
      <c r="CU102" s="18">
        <f>CT102*VLOOKUP('Données projet'!$B$13,Paramètres!$A$1:$I$89,3,0)*VLOOKUP('Données projet'!$B$13,Paramètres!$A$1:$I$89,5,0)</f>
        <v>267.72095999999982</v>
      </c>
      <c r="CV102" s="14">
        <f t="shared" si="95"/>
        <v>64.365361123519946</v>
      </c>
      <c r="CW102" s="22">
        <f t="shared" si="67"/>
        <v>578.38367595679699</v>
      </c>
      <c r="CX102" s="60">
        <f t="shared" si="68"/>
        <v>871.71700929013036</v>
      </c>
      <c r="CY102" s="60">
        <f ca="1">AVERAGE(OFFSET($CX$3,0,0,'Données projet'!$E$13+1,1))-AVERAGE(OFFSET($H$3,0,0,'Données projet'!$E$13+1,1))</f>
        <v>456.86147223520601</v>
      </c>
      <c r="CZ102" s="60">
        <f t="shared" si="96"/>
        <v>244.45149244446094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2.9487179487179445</v>
      </c>
      <c r="DO102" s="13">
        <f>IF('Données projet'!$A$166&gt;35,DO101+DN102-DW101,IF(A102&lt;'Données projet'!$A$166,$DL$205^A102,IF(A102='Données projet'!$A$166,'Données projet'!$B$166,DO101+DN102-DW101)))</f>
        <v>202.82051282051296</v>
      </c>
      <c r="DP102" s="18">
        <f>DO102*VLOOKUP('Données projet'!$B$14,Paramètres!$A$1:$I$89,3,0)*VLOOKUP('Données projet'!$B$14,Paramètres!$A$1:$I$89,5,0)</f>
        <v>193.00400000000013</v>
      </c>
      <c r="DQ102" s="14">
        <f t="shared" si="97"/>
        <v>48.203487040577308</v>
      </c>
      <c r="DR102" s="22">
        <f t="shared" si="70"/>
        <v>420.10303992900572</v>
      </c>
      <c r="DS102" s="60">
        <f t="shared" si="71"/>
        <v>713.43637326233898</v>
      </c>
      <c r="DT102" s="60">
        <f ca="1">AVERAGE(OFFSET($DS$3,0,0,'Données projet'!$E$14+1,1))-AVERAGE(OFFSET($H$3,0,0,'Données projet'!$E$14+1,1))</f>
        <v>300.36889324671682</v>
      </c>
      <c r="DU102" s="60">
        <f t="shared" si="98"/>
        <v>214.36051699039683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-4.9658410716801891E-14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202.46844517174412</v>
      </c>
      <c r="EP102" s="60">
        <f t="shared" si="100"/>
        <v>185.00219255324515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3.717948717948707</v>
      </c>
      <c r="FE102" s="13">
        <f>IF('Données projet'!$A$218&gt;35,FE101+FD102-FM101,IF(A102&lt;'Données projet'!$A$218,$FB$205^A102,IF(A102='Données projet'!$A$218,'Données projet'!$B$218,FE101+FD102-FM101)))</f>
        <v>319.35897435897448</v>
      </c>
      <c r="FF102" s="18">
        <f>FE102*VLOOKUP('Données projet'!$B$16,Paramètres!$A$1:$I$89,3,0)*VLOOKUP('Données projet'!$B$16,Paramètres!$A$1:$I$89,5,0)</f>
        <v>214.22600000000008</v>
      </c>
      <c r="FG102" s="14">
        <f t="shared" si="101"/>
        <v>52.857999443878597</v>
      </c>
      <c r="FH102" s="22">
        <f t="shared" si="76"/>
        <v>465.171299031422</v>
      </c>
      <c r="FI102" s="60">
        <f t="shared" si="77"/>
        <v>758.50463236475525</v>
      </c>
      <c r="FJ102" s="60">
        <f ca="1">AVERAGE(OFFSET($FI$3,0,0,'Données projet'!$E$16+1,1))-AVERAGE(OFFSET($H$3,0,0,'Données projet'!$E$16+1,1))</f>
        <v>344.87493856469382</v>
      </c>
      <c r="FK102" s="60">
        <f t="shared" si="102"/>
        <v>261.91036689641402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>
        <f>FZ102*VLOOKUP('Données projet'!$B$17,Paramètres!$A$1:$I$89,3,0)*VLOOKUP('Données projet'!$B$17,Paramètres!$A$1:$I$89,5,0)</f>
        <v>0</v>
      </c>
      <c r="GB102" s="14" t="e">
        <f t="shared" si="103"/>
        <v>#NUM!</v>
      </c>
      <c r="GC102" s="22" t="e">
        <f t="shared" si="79"/>
        <v>#NUM!</v>
      </c>
      <c r="GD102" s="60" t="e">
        <f t="shared" si="80"/>
        <v>#NUM!</v>
      </c>
      <c r="GE102" s="60">
        <f ca="1">AVERAGE(OFFSET($GD$3,0,0,'Données projet'!$E$17+1,1))-AVERAGE(OFFSET($H$3,0,0,'Données projet'!$E$17+1,1))</f>
        <v>268.19959446602911</v>
      </c>
      <c r="GF102" s="60">
        <f t="shared" si="104"/>
        <v>691.2533336811855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36.654209641968635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36.654209641968635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1.1368683772161603E-13</v>
      </c>
      <c r="GV102" s="18">
        <f>GU102*VLOOKUP('Données projet'!$B$18,Paramètres!$A$1:$I$89,3,0)*VLOOKUP('Données projet'!$B$18,Paramètres!$A$1:$I$89,5,0)</f>
        <v>8.8675733422860506E-14</v>
      </c>
      <c r="GW102" s="14">
        <f t="shared" si="105"/>
        <v>1.3509285393066301E-12</v>
      </c>
      <c r="GX102" s="22">
        <f t="shared" si="82"/>
        <v>2.5073107750038623E-12</v>
      </c>
      <c r="GY102" s="60">
        <f t="shared" si="83"/>
        <v>293.33333333333582</v>
      </c>
      <c r="GZ102" s="60">
        <f ca="1">AVERAGE(OFFSET($GY$3,0,0,'Données projet'!$E$18+1,1))-AVERAGE(OFFSET($H$3,0,0,'Données projet'!$E$18+1,1))</f>
        <v>292.57482726862594</v>
      </c>
      <c r="HA102" s="60">
        <f t="shared" si="106"/>
        <v>283.48738729114024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855</v>
      </c>
      <c r="L103" s="13">
        <f>VLOOKUP(A103,'Données projet'!$A$35:$I$55,9,0)</f>
        <v>15</v>
      </c>
      <c r="M103" s="13">
        <f t="array" ref="M103">INDEX(L:L,MIN(IF(ISNUMBER(L103:L299),ROW(L103:L299),"")))</f>
        <v>15</v>
      </c>
      <c r="N103" s="14">
        <f>IF('Données projet'!$A$36&gt;35,N102+M103-V102,IF(A103&lt;'Données projet'!$A$36,$K$205^A103,IF(A103='Données projet'!$A$36,'Données projet'!$B$36,N102+M103-V102)))</f>
        <v>854.99999999999989</v>
      </c>
      <c r="O103" s="14">
        <f>N103*VLOOKUP('Données projet'!$B$9,Paramètres!$A$1:$I$89,3,0)*VLOOKUP('Données projet'!$B$9,Paramètres!$A$1:$I$89,5,0)</f>
        <v>400.13999999999993</v>
      </c>
      <c r="P103" s="14">
        <f t="shared" si="87"/>
        <v>91.805047494648534</v>
      </c>
      <c r="Q103" s="22">
        <f t="shared" si="107"/>
        <v>856.80429105317944</v>
      </c>
      <c r="R103" s="60">
        <f t="shared" si="55"/>
        <v>1150.1376243865127</v>
      </c>
      <c r="S103" s="60">
        <f ca="1">AVERAGE(OFFSET($R$3,0,0,'Données projet'!$E$9+1,1))-AVERAGE(OFFSET($H$3,0,0,'Données projet'!$E$9+1,1))</f>
        <v>399.92909819003523</v>
      </c>
      <c r="T103" s="60">
        <f t="shared" si="88"/>
        <v>163.7053537268381</v>
      </c>
      <c r="U103" s="16">
        <f>IF(ISNA(VLOOKUP(A103,'Données projet'!$A$35:$I$55,3,0)),0,VLOOKUP(A103,'Données projet'!$A$35:$I$55,3,0))</f>
        <v>7</v>
      </c>
      <c r="V103" s="16">
        <f>IF(ISNA(VLOOKUP(A103,'Données projet'!$A$35:$I$55,4,0)),0,VLOOKUP(A103,'Données projet'!$A$35:$I$55,4,0))</f>
        <v>855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583</v>
      </c>
      <c r="AG103" s="13">
        <f>VLOOKUP(A103,'Données projet'!$A$61:$I$81,9,0)</f>
        <v>6.4</v>
      </c>
      <c r="AH103" s="13">
        <f t="array" ref="AH103">INDEX(AG:AG,MIN(IF(ISNUMBER(AG103:AG299),ROW(AG103:AG299),"")))</f>
        <v>6.4</v>
      </c>
      <c r="AI103" s="14">
        <f>IF('Données projet'!$A$62&gt;35,AI102+AH103-AQ102,IF(A103&lt;'Données projet'!$A$62,$AF$205^A103,IF(A103='Données projet'!$A$62,'Données projet'!$B$62,AI102+AH103-AQ102)))</f>
        <v>582.99999999999943</v>
      </c>
      <c r="AJ103" s="14">
        <f>AI103*VLOOKUP('Données projet'!$B$10,Paramètres!$A$1:$I$89,3,0)*VLOOKUP('Données projet'!$B$10,Paramètres!$A$1:$I$89,5,0)</f>
        <v>348.63399999999967</v>
      </c>
      <c r="AK103" s="14">
        <f t="shared" si="89"/>
        <v>81.28117366820689</v>
      </c>
      <c r="AL103" s="22">
        <f t="shared" si="58"/>
        <v>748.76892747212639</v>
      </c>
      <c r="AM103" s="60">
        <f t="shared" si="59"/>
        <v>1042.1022608054598</v>
      </c>
      <c r="AN103" s="60">
        <f ca="1">AVERAGE(OFFSET($AM$3,0,0,'Données projet'!$E$10+1,1))-AVERAGE(OFFSET($H$3,0,0,'Données projet'!$E$10+1,1))</f>
        <v>455.43477166687273</v>
      </c>
      <c r="AO103" s="60">
        <f t="shared" si="90"/>
        <v>312.81310692672895</v>
      </c>
      <c r="AP103" s="16">
        <f>IF(ISNA(VLOOKUP(A103,'Données projet'!$A$61:$I$81,3,0)),0,VLOOKUP(A103,'Données projet'!$A$61:$I$81,3,0))</f>
        <v>5</v>
      </c>
      <c r="AQ103" s="16">
        <f>IF(ISNA(VLOOKUP(A103,'Données projet'!$A$61:$I$81,4,0)),0,VLOOKUP(A103,'Données projet'!$A$61:$I$81,4,0))</f>
        <v>583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281.49999999999977</v>
      </c>
      <c r="BE103" s="14">
        <f>BD103*VLOOKUP('Données projet'!$B$11,Paramètres!$A$1:$I$89,3,0)*VLOOKUP('Données projet'!$B$11,Paramètres!$A$1:$I$89,5,0)</f>
        <v>254.7011999999998</v>
      </c>
      <c r="BF103" s="14">
        <f t="shared" si="91"/>
        <v>61.591537947915171</v>
      </c>
      <c r="BG103" s="22">
        <f t="shared" si="61"/>
        <v>550.87651859261859</v>
      </c>
      <c r="BH103" s="60">
        <f t="shared" si="62"/>
        <v>844.20985192595185</v>
      </c>
      <c r="BI103" s="60">
        <f ca="1">AVERAGE(OFFSET($BH$3,0,0,'Données projet'!$E$11+1,1))-AVERAGE(OFFSET($H$3,0,0,'Données projet'!$E$11+1,1))</f>
        <v>430.11660085503223</v>
      </c>
      <c r="BJ103" s="60">
        <f t="shared" si="92"/>
        <v>231.36959598460686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4.7</v>
      </c>
      <c r="BY103" s="13">
        <f>IF('Données projet'!$A$114&gt;35,BY102+BX103-CG102,IF(A103&lt;'Données projet'!$A$114,$BV$205^A103,IF(A103='Données projet'!$A$114,'Données projet'!$B$114,BY102+BX103-CG102)))</f>
        <v>281.49999999999977</v>
      </c>
      <c r="BZ103" s="14">
        <f>BY103*VLOOKUP('Données projet'!$B$12,Paramètres!$A$1:$I$89,3,0)*VLOOKUP('Données projet'!$B$12,Paramètres!$A$1:$I$89,5,0)</f>
        <v>285.4409999999998</v>
      </c>
      <c r="CA103" s="14">
        <f t="shared" si="93"/>
        <v>68.115557487507104</v>
      </c>
      <c r="CB103" s="22">
        <f t="shared" si="64"/>
        <v>615.77767095740785</v>
      </c>
      <c r="CC103" s="60">
        <f t="shared" si="65"/>
        <v>909.11100429074122</v>
      </c>
      <c r="CD103" s="60">
        <f ca="1">AVERAGE(OFFSET($CC$3,0,0,'Données projet'!$E$12+1,1))-AVERAGE(OFFSET($H$3,0,0,'Données projet'!$E$12+1,1))</f>
        <v>476.8965664931755</v>
      </c>
      <c r="CE103" s="60">
        <f t="shared" si="94"/>
        <v>254.25036207346591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</v>
      </c>
      <c r="CT103" s="13">
        <f>IF('Données projet'!$A$140&gt;35,CT102+CS103-DB102,IF(A103&lt;'Données projet'!$A$140,$CQ$205^A103,IF(A103='Données projet'!$A$140,'Données projet'!$B$140,CT102+CS103-DB102)))</f>
        <v>281.49999999999977</v>
      </c>
      <c r="CU103" s="18">
        <f>CT103*VLOOKUP('Données projet'!$B$13,Paramètres!$A$1:$I$89,3,0)*VLOOKUP('Données projet'!$B$13,Paramètres!$A$1:$I$89,5,0)</f>
        <v>272.26679999999976</v>
      </c>
      <c r="CV103" s="14">
        <f t="shared" si="95"/>
        <v>65.330107127057786</v>
      </c>
      <c r="CW103" s="22">
        <f t="shared" si="67"/>
        <v>587.98127991295848</v>
      </c>
      <c r="CX103" s="60">
        <f t="shared" si="68"/>
        <v>881.31461324629186</v>
      </c>
      <c r="CY103" s="60">
        <f ca="1">AVERAGE(OFFSET($CX$3,0,0,'Données projet'!$E$13+1,1))-AVERAGE(OFFSET($H$3,0,0,'Données projet'!$E$13+1,1))</f>
        <v>456.86147223520601</v>
      </c>
      <c r="CZ103" s="60">
        <f t="shared" si="96"/>
        <v>244.45149244446094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205.76923076923075</v>
      </c>
      <c r="DM103" s="13">
        <f>VLOOKUP(A103,'Données projet'!$A$165:$I$185,9,0)</f>
        <v>2.9487179487179445</v>
      </c>
      <c r="DN103" s="13">
        <f t="array" ref="DN103">INDEX(DM:DM,MIN(IF(ISNUMBER(DM103:DM299),ROW(DM103:DM299),"")))</f>
        <v>2.9487179487179445</v>
      </c>
      <c r="DO103" s="13">
        <f>IF('Données projet'!$A$166&gt;35,DO102+DN103-DW102,IF(A103&lt;'Données projet'!$A$166,$DL$205^A103,IF(A103='Données projet'!$A$166,'Données projet'!$B$166,DO102+DN103-DW102)))</f>
        <v>205.76923076923092</v>
      </c>
      <c r="DP103" s="18">
        <f>DO103*VLOOKUP('Données projet'!$B$14,Paramètres!$A$1:$I$89,3,0)*VLOOKUP('Données projet'!$B$14,Paramètres!$A$1:$I$89,5,0)</f>
        <v>195.81000000000014</v>
      </c>
      <c r="DQ103" s="14">
        <f t="shared" si="97"/>
        <v>48.822200927333348</v>
      </c>
      <c r="DR103" s="22">
        <f t="shared" si="70"/>
        <v>426.06774994843914</v>
      </c>
      <c r="DS103" s="60">
        <f t="shared" si="71"/>
        <v>719.40108328177246</v>
      </c>
      <c r="DT103" s="60">
        <f ca="1">AVERAGE(OFFSET($DS$3,0,0,'Données projet'!$E$14+1,1))-AVERAGE(OFFSET($H$3,0,0,'Données projet'!$E$14+1,1))</f>
        <v>300.36889324671682</v>
      </c>
      <c r="DU103" s="60">
        <f t="shared" si="98"/>
        <v>214.36051699039683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19.871794871794872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-4.9658410716801891E-14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202.46844517174412</v>
      </c>
      <c r="EP103" s="60">
        <f t="shared" si="100"/>
        <v>185.00219255324515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323.07692307692304</v>
      </c>
      <c r="FC103" s="13">
        <f>VLOOKUP(A103,'Données projet'!$A$217:$I$237,9,0)</f>
        <v>3.717948717948707</v>
      </c>
      <c r="FD103" s="13">
        <f t="array" ref="FD103">INDEX(FC:FC,MIN(IF(ISNUMBER(FC103:FC299),ROW(FC103:FC299),"")))</f>
        <v>3.717948717948707</v>
      </c>
      <c r="FE103" s="13">
        <f>IF('Données projet'!$A$218&gt;35,FE102+FD103-FM102,IF(A103&lt;'Données projet'!$A$218,$FB$205^A103,IF(A103='Données projet'!$A$218,'Données projet'!$B$218,FE102+FD103-FM102)))</f>
        <v>323.07692307692321</v>
      </c>
      <c r="FF103" s="18">
        <f>FE103*VLOOKUP('Données projet'!$B$16,Paramètres!$A$1:$I$89,3,0)*VLOOKUP('Données projet'!$B$16,Paramètres!$A$1:$I$89,5,0)</f>
        <v>216.72000000000011</v>
      </c>
      <c r="FG103" s="14">
        <f t="shared" si="101"/>
        <v>53.401371884419554</v>
      </c>
      <c r="FH103" s="22">
        <f t="shared" si="76"/>
        <v>470.46138936536425</v>
      </c>
      <c r="FI103" s="60">
        <f t="shared" si="77"/>
        <v>763.79472269869757</v>
      </c>
      <c r="FJ103" s="60">
        <f ca="1">AVERAGE(OFFSET($FI$3,0,0,'Données projet'!$E$16+1,1))-AVERAGE(OFFSET($H$3,0,0,'Données projet'!$E$16+1,1))</f>
        <v>344.87493856469382</v>
      </c>
      <c r="FK103" s="60">
        <f t="shared" si="102"/>
        <v>261.91036689641402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>
        <f>FZ103*VLOOKUP('Données projet'!$B$17,Paramètres!$A$1:$I$89,3,0)*VLOOKUP('Données projet'!$B$17,Paramètres!$A$1:$I$89,5,0)</f>
        <v>0</v>
      </c>
      <c r="GB103" s="14" t="e">
        <f t="shared" si="103"/>
        <v>#NUM!</v>
      </c>
      <c r="GC103" s="22" t="e">
        <f t="shared" si="79"/>
        <v>#NUM!</v>
      </c>
      <c r="GD103" s="60" t="e">
        <f t="shared" si="80"/>
        <v>#NUM!</v>
      </c>
      <c r="GE103" s="60">
        <f ca="1">AVERAGE(OFFSET($GD$3,0,0,'Données projet'!$E$17+1,1))-AVERAGE(OFFSET($H$3,0,0,'Données projet'!$E$17+1,1))</f>
        <v>268.19959446602911</v>
      </c>
      <c r="GF103" s="60">
        <f t="shared" si="104"/>
        <v>691.2533336811855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35.935442947749955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35.935442947749955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1.1368683772161603E-13</v>
      </c>
      <c r="GV103" s="18">
        <f>GU103*VLOOKUP('Données projet'!$B$18,Paramètres!$A$1:$I$89,3,0)*VLOOKUP('Données projet'!$B$18,Paramètres!$A$1:$I$89,5,0)</f>
        <v>8.8675733422860506E-14</v>
      </c>
      <c r="GW103" s="14">
        <f t="shared" si="105"/>
        <v>1.3509285393066301E-12</v>
      </c>
      <c r="GX103" s="22">
        <f t="shared" si="82"/>
        <v>2.5073107750038623E-12</v>
      </c>
      <c r="GY103" s="60">
        <f t="shared" si="83"/>
        <v>293.33333333333582</v>
      </c>
      <c r="GZ103" s="60">
        <f ca="1">AVERAGE(OFFSET($GY$3,0,0,'Données projet'!$E$18+1,1))-AVERAGE(OFFSET($H$3,0,0,'Données projet'!$E$18+1,1))</f>
        <v>292.57482726862594</v>
      </c>
      <c r="HA103" s="60">
        <f t="shared" si="106"/>
        <v>283.48738729114024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399.92909819003523</v>
      </c>
      <c r="T104" s="60">
        <f t="shared" si="88"/>
        <v>163.7053537268381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-5.6843418860808015E-13</v>
      </c>
      <c r="AJ104" s="14">
        <f>AI104*VLOOKUP('Données projet'!$B$10,Paramètres!$A$1:$I$89,3,0)*VLOOKUP('Données projet'!$B$10,Paramètres!$A$1:$I$89,5,0)</f>
        <v>-3.39923644787632E-13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455.43477166687273</v>
      </c>
      <c r="AO104" s="60">
        <f t="shared" si="90"/>
        <v>312.81310692672895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286.19999999999976</v>
      </c>
      <c r="BE104" s="14">
        <f>BD104*VLOOKUP('Données projet'!$B$11,Paramètres!$A$1:$I$89,3,0)*VLOOKUP('Données projet'!$B$11,Paramètres!$A$1:$I$89,5,0)</f>
        <v>258.95375999999976</v>
      </c>
      <c r="BF104" s="14">
        <f t="shared" si="91"/>
        <v>62.499309559645262</v>
      </c>
      <c r="BG104" s="22">
        <f t="shared" si="61"/>
        <v>559.86409614971501</v>
      </c>
      <c r="BH104" s="60">
        <f t="shared" si="62"/>
        <v>853.19742948304838</v>
      </c>
      <c r="BI104" s="60">
        <f ca="1">AVERAGE(OFFSET($BH$3,0,0,'Données projet'!$E$11+1,1))-AVERAGE(OFFSET($H$3,0,0,'Données projet'!$E$11+1,1))</f>
        <v>430.11660085503223</v>
      </c>
      <c r="BJ104" s="60">
        <f t="shared" si="92"/>
        <v>231.36959598460686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4.7</v>
      </c>
      <c r="BY104" s="13">
        <f>IF('Données projet'!$A$114&gt;35,BY103+BX104-CG103,IF(A104&lt;'Données projet'!$A$114,$BV$205^A104,IF(A104='Données projet'!$A$114,'Données projet'!$B$114,BY103+BX104-CG103)))</f>
        <v>286.19999999999976</v>
      </c>
      <c r="BZ104" s="14">
        <f>BY104*VLOOKUP('Données projet'!$B$12,Paramètres!$A$1:$I$89,3,0)*VLOOKUP('Données projet'!$B$12,Paramètres!$A$1:$I$89,5,0)</f>
        <v>290.20679999999982</v>
      </c>
      <c r="CA104" s="14">
        <f t="shared" si="93"/>
        <v>69.119483862208398</v>
      </c>
      <c r="CB104" s="22">
        <f t="shared" si="64"/>
        <v>625.82661106001262</v>
      </c>
      <c r="CC104" s="60">
        <f t="shared" si="65"/>
        <v>919.159944393346</v>
      </c>
      <c r="CD104" s="60">
        <f ca="1">AVERAGE(OFFSET($CC$3,0,0,'Données projet'!$E$12+1,1))-AVERAGE(OFFSET($H$3,0,0,'Données projet'!$E$12+1,1))</f>
        <v>476.8965664931755</v>
      </c>
      <c r="CE104" s="60">
        <f t="shared" si="94"/>
        <v>254.25036207346591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</v>
      </c>
      <c r="CT104" s="13">
        <f>IF('Données projet'!$A$140&gt;35,CT103+CS104-DB103,IF(A104&lt;'Données projet'!$A$140,$CQ$205^A104,IF(A104='Données projet'!$A$140,'Données projet'!$B$140,CT103+CS104-DB103)))</f>
        <v>286.19999999999976</v>
      </c>
      <c r="CU104" s="18">
        <f>CT104*VLOOKUP('Données projet'!$B$13,Paramètres!$A$1:$I$89,3,0)*VLOOKUP('Données projet'!$B$13,Paramètres!$A$1:$I$89,5,0)</f>
        <v>276.81263999999976</v>
      </c>
      <c r="CV104" s="14">
        <f t="shared" si="95"/>
        <v>66.292979927723621</v>
      </c>
      <c r="CW104" s="22">
        <f t="shared" si="67"/>
        <v>597.57562137411821</v>
      </c>
      <c r="CX104" s="60">
        <f t="shared" si="68"/>
        <v>890.90895470745158</v>
      </c>
      <c r="CY104" s="60">
        <f ca="1">AVERAGE(OFFSET($CX$3,0,0,'Données projet'!$E$13+1,1))-AVERAGE(OFFSET($H$3,0,0,'Données projet'!$E$13+1,1))</f>
        <v>456.86147223520601</v>
      </c>
      <c r="CZ104" s="60">
        <f t="shared" si="96"/>
        <v>244.45149244446094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2.62820512820513</v>
      </c>
      <c r="DO104" s="13">
        <f>IF('Données projet'!$A$166&gt;35,DO103+DN104-DW103,IF(A104&lt;'Données projet'!$A$166,$DL$205^A104,IF(A104='Données projet'!$A$166,'Données projet'!$B$166,DO103+DN104-DW103)))</f>
        <v>188.52564102564119</v>
      </c>
      <c r="DP104" s="18">
        <f>DO104*VLOOKUP('Données projet'!$B$14,Paramètres!$A$1:$I$89,3,0)*VLOOKUP('Données projet'!$B$14,Paramètres!$A$1:$I$89,5,0)</f>
        <v>179.40100000000018</v>
      </c>
      <c r="DQ104" s="14">
        <f t="shared" si="97"/>
        <v>45.188893859860038</v>
      </c>
      <c r="DR104" s="22">
        <f t="shared" si="70"/>
        <v>391.16073180592321</v>
      </c>
      <c r="DS104" s="60">
        <f t="shared" si="71"/>
        <v>684.49406513925646</v>
      </c>
      <c r="DT104" s="60">
        <f ca="1">AVERAGE(OFFSET($DS$3,0,0,'Données projet'!$E$14+1,1))-AVERAGE(OFFSET($H$3,0,0,'Données projet'!$E$14+1,1))</f>
        <v>300.36889324671682</v>
      </c>
      <c r="DU104" s="60">
        <f t="shared" si="98"/>
        <v>214.36051699039683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-4.9658410716801891E-14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202.46844517174412</v>
      </c>
      <c r="EP104" s="60">
        <f t="shared" si="100"/>
        <v>185.00219255324515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3.5897435897435912</v>
      </c>
      <c r="FE104" s="13">
        <f>IF('Données projet'!$A$218&gt;35,FE103+FD104-FM103,IF(A104&lt;'Données projet'!$A$218,$FB$205^A104,IF(A104='Données projet'!$A$218,'Données projet'!$B$218,FE103+FD104-FM103)))</f>
        <v>326.6666666666668</v>
      </c>
      <c r="FF104" s="18">
        <f>FE104*VLOOKUP('Données projet'!$B$16,Paramètres!$A$1:$I$89,3,0)*VLOOKUP('Données projet'!$B$16,Paramètres!$A$1:$I$89,5,0)</f>
        <v>219.1280000000001</v>
      </c>
      <c r="FG104" s="14">
        <f t="shared" si="101"/>
        <v>53.925317044064478</v>
      </c>
      <c r="FH104" s="22">
        <f t="shared" si="76"/>
        <v>475.56786051841237</v>
      </c>
      <c r="FI104" s="60">
        <f t="shared" si="77"/>
        <v>768.90119385174569</v>
      </c>
      <c r="FJ104" s="60">
        <f ca="1">AVERAGE(OFFSET($FI$3,0,0,'Données projet'!$E$16+1,1))-AVERAGE(OFFSET($H$3,0,0,'Données projet'!$E$16+1,1))</f>
        <v>344.87493856469382</v>
      </c>
      <c r="FK104" s="60">
        <f t="shared" si="102"/>
        <v>261.91036689641402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>
        <f>FZ104*VLOOKUP('Données projet'!$B$17,Paramètres!$A$1:$I$89,3,0)*VLOOKUP('Données projet'!$B$17,Paramètres!$A$1:$I$89,5,0)</f>
        <v>0</v>
      </c>
      <c r="GB104" s="14" t="e">
        <f t="shared" si="103"/>
        <v>#NUM!</v>
      </c>
      <c r="GC104" s="22" t="e">
        <f t="shared" si="79"/>
        <v>#NUM!</v>
      </c>
      <c r="GD104" s="60" t="e">
        <f t="shared" si="80"/>
        <v>#NUM!</v>
      </c>
      <c r="GE104" s="60">
        <f ca="1">AVERAGE(OFFSET($GD$3,0,0,'Données projet'!$E$17+1,1))-AVERAGE(OFFSET($H$3,0,0,'Données projet'!$E$17+1,1))</f>
        <v>268.19959446602911</v>
      </c>
      <c r="GF104" s="60">
        <f t="shared" si="104"/>
        <v>691.2533336811855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35.230770830000509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35.230770830000509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1.1368683772161603E-13</v>
      </c>
      <c r="GV104" s="18">
        <f>GU104*VLOOKUP('Données projet'!$B$18,Paramètres!$A$1:$I$89,3,0)*VLOOKUP('Données projet'!$B$18,Paramètres!$A$1:$I$89,5,0)</f>
        <v>8.8675733422860506E-14</v>
      </c>
      <c r="GW104" s="14">
        <f t="shared" si="105"/>
        <v>1.3509285393066301E-12</v>
      </c>
      <c r="GX104" s="22">
        <f t="shared" si="82"/>
        <v>2.5073107750038623E-12</v>
      </c>
      <c r="GY104" s="60">
        <f t="shared" si="83"/>
        <v>293.33333333333582</v>
      </c>
      <c r="GZ104" s="60">
        <f ca="1">AVERAGE(OFFSET($GY$3,0,0,'Données projet'!$E$18+1,1))-AVERAGE(OFFSET($H$3,0,0,'Données projet'!$E$18+1,1))</f>
        <v>292.57482726862594</v>
      </c>
      <c r="HA104" s="60">
        <f t="shared" si="106"/>
        <v>283.48738729114024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399.92909819003523</v>
      </c>
      <c r="T105" s="60">
        <f t="shared" si="88"/>
        <v>163.7053537268381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-5.6843418860808015E-13</v>
      </c>
      <c r="AJ105" s="14">
        <f>AI105*VLOOKUP('Données projet'!$B$10,Paramètres!$A$1:$I$89,3,0)*VLOOKUP('Données projet'!$B$10,Paramètres!$A$1:$I$89,5,0)</f>
        <v>-3.39923644787632E-13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455.43477166687273</v>
      </c>
      <c r="AO105" s="60">
        <f t="shared" si="90"/>
        <v>312.81310692672895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290.89999999999975</v>
      </c>
      <c r="BE105" s="14">
        <f>BD105*VLOOKUP('Données projet'!$B$11,Paramètres!$A$1:$I$89,3,0)*VLOOKUP('Données projet'!$B$11,Paramètres!$A$1:$I$89,5,0)</f>
        <v>263.20631999999978</v>
      </c>
      <c r="BF105" s="14">
        <f t="shared" si="91"/>
        <v>63.405347513378558</v>
      </c>
      <c r="BG105" s="22">
        <f t="shared" si="61"/>
        <v>568.84865425246721</v>
      </c>
      <c r="BH105" s="60">
        <f t="shared" si="62"/>
        <v>862.18198758580047</v>
      </c>
      <c r="BI105" s="60">
        <f ca="1">AVERAGE(OFFSET($BH$3,0,0,'Données projet'!$E$11+1,1))-AVERAGE(OFFSET($H$3,0,0,'Données projet'!$E$11+1,1))</f>
        <v>430.11660085503223</v>
      </c>
      <c r="BJ105" s="60">
        <f t="shared" si="92"/>
        <v>231.36959598460686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4.7</v>
      </c>
      <c r="BY105" s="13">
        <f>IF('Données projet'!$A$114&gt;35,BY104+BX105-CG104,IF(A105&lt;'Données projet'!$A$114,$BV$205^A105,IF(A105='Données projet'!$A$114,'Données projet'!$B$114,BY104+BX105-CG104)))</f>
        <v>290.89999999999975</v>
      </c>
      <c r="BZ105" s="14">
        <f>BY105*VLOOKUP('Données projet'!$B$12,Paramètres!$A$1:$I$89,3,0)*VLOOKUP('Données projet'!$B$12,Paramètres!$A$1:$I$89,5,0)</f>
        <v>294.97259999999977</v>
      </c>
      <c r="CA105" s="14">
        <f t="shared" si="93"/>
        <v>70.121492942994351</v>
      </c>
      <c r="CB105" s="22">
        <f t="shared" si="64"/>
        <v>635.8722118757147</v>
      </c>
      <c r="CC105" s="60">
        <f t="shared" si="65"/>
        <v>929.20554520904807</v>
      </c>
      <c r="CD105" s="60">
        <f ca="1">AVERAGE(OFFSET($CC$3,0,0,'Données projet'!$E$12+1,1))-AVERAGE(OFFSET($H$3,0,0,'Données projet'!$E$12+1,1))</f>
        <v>476.8965664931755</v>
      </c>
      <c r="CE105" s="60">
        <f t="shared" si="94"/>
        <v>254.25036207346591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4.7</v>
      </c>
      <c r="CT105" s="13">
        <f>IF('Données projet'!$A$140&gt;35,CT104+CS105-DB104,IF(A105&lt;'Données projet'!$A$140,$CQ$205^A105,IF(A105='Données projet'!$A$140,'Données projet'!$B$140,CT104+CS105-DB104)))</f>
        <v>290.89999999999975</v>
      </c>
      <c r="CU105" s="18">
        <f>CT105*VLOOKUP('Données projet'!$B$13,Paramètres!$A$1:$I$89,3,0)*VLOOKUP('Données projet'!$B$13,Paramètres!$A$1:$I$89,5,0)</f>
        <v>281.35847999999976</v>
      </c>
      <c r="CV105" s="14">
        <f t="shared" si="95"/>
        <v>67.254013838398748</v>
      </c>
      <c r="CW105" s="22">
        <f t="shared" si="67"/>
        <v>607.16676010187734</v>
      </c>
      <c r="CX105" s="60">
        <f t="shared" si="68"/>
        <v>900.5000934352106</v>
      </c>
      <c r="CY105" s="60">
        <f ca="1">AVERAGE(OFFSET($CX$3,0,0,'Données projet'!$E$13+1,1))-AVERAGE(OFFSET($H$3,0,0,'Données projet'!$E$13+1,1))</f>
        <v>456.86147223520601</v>
      </c>
      <c r="CZ105" s="60">
        <f t="shared" si="96"/>
        <v>244.45149244446094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2.62820512820513</v>
      </c>
      <c r="DO105" s="13">
        <f>IF('Données projet'!$A$166&gt;35,DO104+DN105-DW104,IF(A105&lt;'Données projet'!$A$166,$DL$205^A105,IF(A105='Données projet'!$A$166,'Données projet'!$B$166,DO104+DN105-DW104)))</f>
        <v>191.15384615384633</v>
      </c>
      <c r="DP105" s="18">
        <f>DO105*VLOOKUP('Données projet'!$B$14,Paramètres!$A$1:$I$89,3,0)*VLOOKUP('Données projet'!$B$14,Paramètres!$A$1:$I$89,5,0)</f>
        <v>181.90200000000019</v>
      </c>
      <c r="DQ105" s="14">
        <f t="shared" si="97"/>
        <v>45.745086906996853</v>
      </c>
      <c r="DR105" s="22">
        <f t="shared" si="70"/>
        <v>396.48534302968648</v>
      </c>
      <c r="DS105" s="60">
        <f t="shared" si="71"/>
        <v>689.81867636301979</v>
      </c>
      <c r="DT105" s="60">
        <f ca="1">AVERAGE(OFFSET($DS$3,0,0,'Données projet'!$E$14+1,1))-AVERAGE(OFFSET($H$3,0,0,'Données projet'!$E$14+1,1))</f>
        <v>300.36889324671682</v>
      </c>
      <c r="DU105" s="60">
        <f t="shared" si="98"/>
        <v>214.36051699039683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-4.9658410716801891E-14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202.46844517174412</v>
      </c>
      <c r="EP105" s="60">
        <f t="shared" si="100"/>
        <v>185.00219255324515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3.5897435897435912</v>
      </c>
      <c r="FE105" s="13">
        <f>IF('Données projet'!$A$218&gt;35,FE104+FD105-FM104,IF(A105&lt;'Données projet'!$A$218,$FB$205^A105,IF(A105='Données projet'!$A$218,'Données projet'!$B$218,FE104+FD105-FM104)))</f>
        <v>330.25641025641039</v>
      </c>
      <c r="FF105" s="18">
        <f>FE105*VLOOKUP('Données projet'!$B$16,Paramètres!$A$1:$I$89,3,0)*VLOOKUP('Données projet'!$B$16,Paramètres!$A$1:$I$89,5,0)</f>
        <v>221.53600000000009</v>
      </c>
      <c r="FG105" s="14">
        <f t="shared" si="101"/>
        <v>54.448592428703904</v>
      </c>
      <c r="FH105" s="22">
        <f t="shared" si="76"/>
        <v>480.67316514665953</v>
      </c>
      <c r="FI105" s="60">
        <f t="shared" si="77"/>
        <v>774.00649847999284</v>
      </c>
      <c r="FJ105" s="60">
        <f ca="1">AVERAGE(OFFSET($FI$3,0,0,'Données projet'!$E$16+1,1))-AVERAGE(OFFSET($H$3,0,0,'Données projet'!$E$16+1,1))</f>
        <v>344.87493856469382</v>
      </c>
      <c r="FK105" s="60">
        <f t="shared" si="102"/>
        <v>261.91036689641402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>
        <f>FZ105*VLOOKUP('Données projet'!$B$17,Paramètres!$A$1:$I$89,3,0)*VLOOKUP('Données projet'!$B$17,Paramètres!$A$1:$I$89,5,0)</f>
        <v>0</v>
      </c>
      <c r="GB105" s="14" t="e">
        <f t="shared" si="103"/>
        <v>#NUM!</v>
      </c>
      <c r="GC105" s="22" t="e">
        <f t="shared" si="79"/>
        <v>#NUM!</v>
      </c>
      <c r="GD105" s="60" t="e">
        <f t="shared" si="80"/>
        <v>#NUM!</v>
      </c>
      <c r="GE105" s="60">
        <f ca="1">AVERAGE(OFFSET($GD$3,0,0,'Données projet'!$E$17+1,1))-AVERAGE(OFFSET($H$3,0,0,'Données projet'!$E$17+1,1))</f>
        <v>268.19959446602911</v>
      </c>
      <c r="GF105" s="60">
        <f t="shared" si="104"/>
        <v>691.2533336811855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34.53991690267258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34.53991690267258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1.1368683772161603E-13</v>
      </c>
      <c r="GV105" s="18">
        <f>GU105*VLOOKUP('Données projet'!$B$18,Paramètres!$A$1:$I$89,3,0)*VLOOKUP('Données projet'!$B$18,Paramètres!$A$1:$I$89,5,0)</f>
        <v>8.8675733422860506E-14</v>
      </c>
      <c r="GW105" s="14">
        <f t="shared" si="105"/>
        <v>1.3509285393066301E-12</v>
      </c>
      <c r="GX105" s="22">
        <f t="shared" si="82"/>
        <v>2.5073107750038623E-12</v>
      </c>
      <c r="GY105" s="60">
        <f t="shared" si="83"/>
        <v>293.33333333333582</v>
      </c>
      <c r="GZ105" s="60">
        <f ca="1">AVERAGE(OFFSET($GY$3,0,0,'Données projet'!$E$18+1,1))-AVERAGE(OFFSET($H$3,0,0,'Données projet'!$E$18+1,1))</f>
        <v>292.57482726862594</v>
      </c>
      <c r="HA105" s="60">
        <f t="shared" si="106"/>
        <v>283.48738729114024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399.92909819003523</v>
      </c>
      <c r="T106" s="60">
        <f t="shared" si="88"/>
        <v>163.7053537268381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-5.6843418860808015E-13</v>
      </c>
      <c r="AJ106" s="14">
        <f>AI106*VLOOKUP('Données projet'!$B$10,Paramètres!$A$1:$I$89,3,0)*VLOOKUP('Données projet'!$B$10,Paramètres!$A$1:$I$89,5,0)</f>
        <v>-3.39923644787632E-13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455.43477166687273</v>
      </c>
      <c r="AO106" s="60">
        <f t="shared" si="90"/>
        <v>312.81310692672895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295.59999999999974</v>
      </c>
      <c r="BE106" s="14">
        <f>BD106*VLOOKUP('Données projet'!$B$11,Paramètres!$A$1:$I$89,3,0)*VLOOKUP('Données projet'!$B$11,Paramètres!$A$1:$I$89,5,0)</f>
        <v>267.45887999999974</v>
      </c>
      <c r="BF106" s="14">
        <f t="shared" si="91"/>
        <v>64.309683053152384</v>
      </c>
      <c r="BG106" s="22">
        <f t="shared" si="61"/>
        <v>577.83024731757325</v>
      </c>
      <c r="BH106" s="60">
        <f t="shared" si="62"/>
        <v>871.16358065090662</v>
      </c>
      <c r="BI106" s="60">
        <f ca="1">AVERAGE(OFFSET($BH$3,0,0,'Données projet'!$E$11+1,1))-AVERAGE(OFFSET($H$3,0,0,'Données projet'!$E$11+1,1))</f>
        <v>430.11660085503223</v>
      </c>
      <c r="BJ106" s="60">
        <f t="shared" si="92"/>
        <v>231.36959598460686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4.7</v>
      </c>
      <c r="BY106" s="13">
        <f>IF('Données projet'!$A$114&gt;35,BY105+BX106-CG105,IF(A106&lt;'Données projet'!$A$114,$BV$205^A106,IF(A106='Données projet'!$A$114,'Données projet'!$B$114,BY105+BX106-CG105)))</f>
        <v>295.59999999999974</v>
      </c>
      <c r="BZ106" s="14">
        <f>BY106*VLOOKUP('Données projet'!$B$12,Paramètres!$A$1:$I$89,3,0)*VLOOKUP('Données projet'!$B$12,Paramètres!$A$1:$I$89,5,0)</f>
        <v>299.73839999999979</v>
      </c>
      <c r="CA106" s="14">
        <f t="shared" si="93"/>
        <v>71.121619283394423</v>
      </c>
      <c r="CB106" s="22">
        <f t="shared" si="64"/>
        <v>645.91453358524484</v>
      </c>
      <c r="CC106" s="60">
        <f t="shared" si="65"/>
        <v>939.24786691857821</v>
      </c>
      <c r="CD106" s="60">
        <f ca="1">AVERAGE(OFFSET($CC$3,0,0,'Données projet'!$E$12+1,1))-AVERAGE(OFFSET($H$3,0,0,'Données projet'!$E$12+1,1))</f>
        <v>476.8965664931755</v>
      </c>
      <c r="CE106" s="60">
        <f t="shared" si="94"/>
        <v>254.25036207346591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4.7</v>
      </c>
      <c r="CT106" s="13">
        <f>IF('Données projet'!$A$140&gt;35,CT105+CS106-DB105,IF(A106&lt;'Données projet'!$A$140,$CQ$205^A106,IF(A106='Données projet'!$A$140,'Données projet'!$B$140,CT105+CS106-DB105)))</f>
        <v>295.59999999999974</v>
      </c>
      <c r="CU106" s="18">
        <f>CT106*VLOOKUP('Données projet'!$B$13,Paramètres!$A$1:$I$89,3,0)*VLOOKUP('Données projet'!$B$13,Paramètres!$A$1:$I$89,5,0)</f>
        <v>285.90431999999976</v>
      </c>
      <c r="CV106" s="14">
        <f t="shared" si="95"/>
        <v>68.21324199961451</v>
      </c>
      <c r="CW106" s="22">
        <f t="shared" si="67"/>
        <v>616.75475381599483</v>
      </c>
      <c r="CX106" s="60">
        <f t="shared" si="68"/>
        <v>910.0880871493282</v>
      </c>
      <c r="CY106" s="60">
        <f ca="1">AVERAGE(OFFSET($CX$3,0,0,'Données projet'!$E$13+1,1))-AVERAGE(OFFSET($H$3,0,0,'Données projet'!$E$13+1,1))</f>
        <v>456.86147223520601</v>
      </c>
      <c r="CZ106" s="60">
        <f t="shared" si="96"/>
        <v>244.45149244446094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2.62820512820513</v>
      </c>
      <c r="DO106" s="13">
        <f>IF('Données projet'!$A$166&gt;35,DO105+DN106-DW105,IF(A106&lt;'Données projet'!$A$166,$DL$205^A106,IF(A106='Données projet'!$A$166,'Données projet'!$B$166,DO105+DN106-DW105)))</f>
        <v>193.78205128205147</v>
      </c>
      <c r="DP106" s="18">
        <f>DO106*VLOOKUP('Données projet'!$B$14,Paramètres!$A$1:$I$89,3,0)*VLOOKUP('Données projet'!$B$14,Paramètres!$A$1:$I$89,5,0)</f>
        <v>184.40300000000019</v>
      </c>
      <c r="DQ106" s="14">
        <f t="shared" si="97"/>
        <v>46.300390503711469</v>
      </c>
      <c r="DR106" s="22">
        <f t="shared" si="70"/>
        <v>401.80840512729782</v>
      </c>
      <c r="DS106" s="60">
        <f t="shared" si="71"/>
        <v>695.14173846063113</v>
      </c>
      <c r="DT106" s="60">
        <f ca="1">AVERAGE(OFFSET($DS$3,0,0,'Données projet'!$E$14+1,1))-AVERAGE(OFFSET($H$3,0,0,'Données projet'!$E$14+1,1))</f>
        <v>300.36889324671682</v>
      </c>
      <c r="DU106" s="60">
        <f t="shared" si="98"/>
        <v>214.36051699039683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-4.9658410716801891E-14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202.46844517174412</v>
      </c>
      <c r="EP106" s="60">
        <f t="shared" si="100"/>
        <v>185.00219255324515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3.5897435897435912</v>
      </c>
      <c r="FE106" s="13">
        <f>IF('Données projet'!$A$218&gt;35,FE105+FD106-FM105,IF(A106&lt;'Données projet'!$A$218,$FB$205^A106,IF(A106='Données projet'!$A$218,'Données projet'!$B$218,FE105+FD106-FM105)))</f>
        <v>333.84615384615398</v>
      </c>
      <c r="FF106" s="18">
        <f>FE106*VLOOKUP('Données projet'!$B$16,Paramètres!$A$1:$I$89,3,0)*VLOOKUP('Données projet'!$B$16,Paramètres!$A$1:$I$89,5,0)</f>
        <v>223.9440000000001</v>
      </c>
      <c r="FG106" s="14">
        <f t="shared" si="101"/>
        <v>54.971206161094138</v>
      </c>
      <c r="FH106" s="22">
        <f t="shared" si="76"/>
        <v>485.77731739723913</v>
      </c>
      <c r="FI106" s="60">
        <f t="shared" si="77"/>
        <v>779.11065073057239</v>
      </c>
      <c r="FJ106" s="60">
        <f ca="1">AVERAGE(OFFSET($FI$3,0,0,'Données projet'!$E$16+1,1))-AVERAGE(OFFSET($H$3,0,0,'Données projet'!$E$16+1,1))</f>
        <v>344.87493856469382</v>
      </c>
      <c r="FK106" s="60">
        <f t="shared" si="102"/>
        <v>261.91036689641402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>
        <f>FZ106*VLOOKUP('Données projet'!$B$17,Paramètres!$A$1:$I$89,3,0)*VLOOKUP('Données projet'!$B$17,Paramètres!$A$1:$I$89,5,0)</f>
        <v>0</v>
      </c>
      <c r="GB106" s="14" t="e">
        <f t="shared" si="103"/>
        <v>#NUM!</v>
      </c>
      <c r="GC106" s="22" t="e">
        <f t="shared" si="79"/>
        <v>#NUM!</v>
      </c>
      <c r="GD106" s="60" t="e">
        <f t="shared" si="80"/>
        <v>#NUM!</v>
      </c>
      <c r="GE106" s="60">
        <f ca="1">AVERAGE(OFFSET($GD$3,0,0,'Données projet'!$E$17+1,1))-AVERAGE(OFFSET($H$3,0,0,'Données projet'!$E$17+1,1))</f>
        <v>268.19959446602911</v>
      </c>
      <c r="GF106" s="60">
        <f t="shared" si="104"/>
        <v>691.2533336811855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33.862610199480258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33.862610199480258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1.1368683772161603E-13</v>
      </c>
      <c r="GV106" s="18">
        <f>GU106*VLOOKUP('Données projet'!$B$18,Paramètres!$A$1:$I$89,3,0)*VLOOKUP('Données projet'!$B$18,Paramètres!$A$1:$I$89,5,0)</f>
        <v>8.8675733422860506E-14</v>
      </c>
      <c r="GW106" s="14">
        <f t="shared" si="105"/>
        <v>1.3509285393066301E-12</v>
      </c>
      <c r="GX106" s="22">
        <f t="shared" si="82"/>
        <v>2.5073107750038623E-12</v>
      </c>
      <c r="GY106" s="60">
        <f t="shared" si="83"/>
        <v>293.33333333333582</v>
      </c>
      <c r="GZ106" s="60">
        <f ca="1">AVERAGE(OFFSET($GY$3,0,0,'Données projet'!$E$18+1,1))-AVERAGE(OFFSET($H$3,0,0,'Données projet'!$E$18+1,1))</f>
        <v>292.57482726862594</v>
      </c>
      <c r="HA106" s="60">
        <f t="shared" si="106"/>
        <v>283.48738729114024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399.92909819003523</v>
      </c>
      <c r="T107" s="60">
        <f t="shared" si="88"/>
        <v>163.7053537268381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-5.6843418860808015E-13</v>
      </c>
      <c r="AJ107" s="14">
        <f>AI107*VLOOKUP('Données projet'!$B$10,Paramètres!$A$1:$I$89,3,0)*VLOOKUP('Données projet'!$B$10,Paramètres!$A$1:$I$89,5,0)</f>
        <v>-3.39923644787632E-13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455.43477166687273</v>
      </c>
      <c r="AO107" s="60">
        <f t="shared" si="90"/>
        <v>312.81310692672895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300.29999999999973</v>
      </c>
      <c r="BE107" s="14">
        <f>BD107*VLOOKUP('Données projet'!$B$11,Paramètres!$A$1:$I$89,3,0)*VLOOKUP('Données projet'!$B$11,Paramètres!$A$1:$I$89,5,0)</f>
        <v>271.71143999999975</v>
      </c>
      <c r="BF107" s="14">
        <f t="shared" si="91"/>
        <v>65.212346372467266</v>
      </c>
      <c r="BG107" s="22">
        <f t="shared" si="61"/>
        <v>586.80892793204669</v>
      </c>
      <c r="BH107" s="60">
        <f t="shared" si="62"/>
        <v>880.14226126538006</v>
      </c>
      <c r="BI107" s="60">
        <f ca="1">AVERAGE(OFFSET($BH$3,0,0,'Données projet'!$E$11+1,1))-AVERAGE(OFFSET($H$3,0,0,'Données projet'!$E$11+1,1))</f>
        <v>430.11660085503223</v>
      </c>
      <c r="BJ107" s="60">
        <f t="shared" si="92"/>
        <v>231.36959598460686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4.7</v>
      </c>
      <c r="BY107" s="13">
        <f>IF('Données projet'!$A$114&gt;35,BY106+BX107-CG106,IF(A107&lt;'Données projet'!$A$114,$BV$205^A107,IF(A107='Données projet'!$A$114,'Données projet'!$B$114,BY106+BX107-CG106)))</f>
        <v>300.29999999999973</v>
      </c>
      <c r="BZ107" s="14">
        <f>BY107*VLOOKUP('Données projet'!$B$12,Paramètres!$A$1:$I$89,3,0)*VLOOKUP('Données projet'!$B$12,Paramètres!$A$1:$I$89,5,0)</f>
        <v>304.50419999999974</v>
      </c>
      <c r="CA107" s="14">
        <f t="shared" si="93"/>
        <v>72.11989627512429</v>
      </c>
      <c r="CB107" s="22">
        <f t="shared" si="64"/>
        <v>655.9536343458409</v>
      </c>
      <c r="CC107" s="60">
        <f t="shared" si="65"/>
        <v>949.28696767917427</v>
      </c>
      <c r="CD107" s="60">
        <f ca="1">AVERAGE(OFFSET($CC$3,0,0,'Données projet'!$E$12+1,1))-AVERAGE(OFFSET($H$3,0,0,'Données projet'!$E$12+1,1))</f>
        <v>476.8965664931755</v>
      </c>
      <c r="CE107" s="60">
        <f t="shared" si="94"/>
        <v>254.25036207346591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4.7</v>
      </c>
      <c r="CT107" s="13">
        <f>IF('Données projet'!$A$140&gt;35,CT106+CS107-DB106,IF(A107&lt;'Données projet'!$A$140,$CQ$205^A107,IF(A107='Données projet'!$A$140,'Données projet'!$B$140,CT106+CS107-DB106)))</f>
        <v>300.29999999999973</v>
      </c>
      <c r="CU107" s="18">
        <f>CT107*VLOOKUP('Données projet'!$B$13,Paramètres!$A$1:$I$89,3,0)*VLOOKUP('Données projet'!$B$13,Paramètres!$A$1:$I$89,5,0)</f>
        <v>290.45015999999976</v>
      </c>
      <c r="CV107" s="14">
        <f t="shared" si="95"/>
        <v>69.170696437598821</v>
      </c>
      <c r="CW107" s="22">
        <f t="shared" si="67"/>
        <v>626.33965829548413</v>
      </c>
      <c r="CX107" s="60">
        <f t="shared" si="68"/>
        <v>919.6729916288175</v>
      </c>
      <c r="CY107" s="60">
        <f ca="1">AVERAGE(OFFSET($CX$3,0,0,'Données projet'!$E$13+1,1))-AVERAGE(OFFSET($H$3,0,0,'Données projet'!$E$13+1,1))</f>
        <v>456.86147223520601</v>
      </c>
      <c r="CZ107" s="60">
        <f t="shared" si="96"/>
        <v>244.45149244446094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2.62820512820513</v>
      </c>
      <c r="DO107" s="13">
        <f>IF('Données projet'!$A$166&gt;35,DO106+DN107-DW106,IF(A107&lt;'Données projet'!$A$166,$DL$205^A107,IF(A107='Données projet'!$A$166,'Données projet'!$B$166,DO106+DN107-DW106)))</f>
        <v>196.41025641025661</v>
      </c>
      <c r="DP107" s="18">
        <f>DO107*VLOOKUP('Données projet'!$B$14,Paramètres!$A$1:$I$89,3,0)*VLOOKUP('Données projet'!$B$14,Paramètres!$A$1:$I$89,5,0)</f>
        <v>186.9040000000002</v>
      </c>
      <c r="DQ107" s="14">
        <f t="shared" si="97"/>
        <v>46.854818107718259</v>
      </c>
      <c r="DR107" s="22">
        <f t="shared" si="70"/>
        <v>407.12994153760968</v>
      </c>
      <c r="DS107" s="60">
        <f t="shared" si="71"/>
        <v>700.463274870943</v>
      </c>
      <c r="DT107" s="60">
        <f ca="1">AVERAGE(OFFSET($DS$3,0,0,'Données projet'!$E$14+1,1))-AVERAGE(OFFSET($H$3,0,0,'Données projet'!$E$14+1,1))</f>
        <v>300.36889324671682</v>
      </c>
      <c r="DU107" s="60">
        <f t="shared" si="98"/>
        <v>214.36051699039683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-4.9658410716801891E-14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202.46844517174412</v>
      </c>
      <c r="EP107" s="60">
        <f t="shared" si="100"/>
        <v>185.00219255324515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3.5897435897435912</v>
      </c>
      <c r="FE107" s="13">
        <f>IF('Données projet'!$A$218&gt;35,FE106+FD107-FM106,IF(A107&lt;'Données projet'!$A$218,$FB$205^A107,IF(A107='Données projet'!$A$218,'Données projet'!$B$218,FE106+FD107-FM106)))</f>
        <v>337.43589743589757</v>
      </c>
      <c r="FF107" s="18">
        <f>FE107*VLOOKUP('Données projet'!$B$16,Paramètres!$A$1:$I$89,3,0)*VLOOKUP('Données projet'!$B$16,Paramètres!$A$1:$I$89,5,0)</f>
        <v>226.35200000000009</v>
      </c>
      <c r="FG107" s="14">
        <f t="shared" si="101"/>
        <v>55.493166179246714</v>
      </c>
      <c r="FH107" s="22">
        <f t="shared" si="76"/>
        <v>490.88033109552151</v>
      </c>
      <c r="FI107" s="60">
        <f t="shared" si="77"/>
        <v>784.21366442885483</v>
      </c>
      <c r="FJ107" s="60">
        <f ca="1">AVERAGE(OFFSET($FI$3,0,0,'Données projet'!$E$16+1,1))-AVERAGE(OFFSET($H$3,0,0,'Données projet'!$E$16+1,1))</f>
        <v>344.87493856469382</v>
      </c>
      <c r="FK107" s="60">
        <f t="shared" si="102"/>
        <v>261.91036689641402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>
        <f>FZ107*VLOOKUP('Données projet'!$B$17,Paramètres!$A$1:$I$89,3,0)*VLOOKUP('Données projet'!$B$17,Paramètres!$A$1:$I$89,5,0)</f>
        <v>0</v>
      </c>
      <c r="GB107" s="14" t="e">
        <f t="shared" si="103"/>
        <v>#NUM!</v>
      </c>
      <c r="GC107" s="22" t="e">
        <f t="shared" si="79"/>
        <v>#NUM!</v>
      </c>
      <c r="GD107" s="60" t="e">
        <f t="shared" si="80"/>
        <v>#NUM!</v>
      </c>
      <c r="GE107" s="60">
        <f ca="1">AVERAGE(OFFSET($GD$3,0,0,'Données projet'!$E$17+1,1))-AVERAGE(OFFSET($H$3,0,0,'Données projet'!$E$17+1,1))</f>
        <v>268.19959446602911</v>
      </c>
      <c r="GF107" s="60">
        <f t="shared" si="104"/>
        <v>691.2533336811855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33.198585067621245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33.198585067621245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1.1368683772161603E-13</v>
      </c>
      <c r="GV107" s="18">
        <f>GU107*VLOOKUP('Données projet'!$B$18,Paramètres!$A$1:$I$89,3,0)*VLOOKUP('Données projet'!$B$18,Paramètres!$A$1:$I$89,5,0)</f>
        <v>8.8675733422860506E-14</v>
      </c>
      <c r="GW107" s="14">
        <f t="shared" si="105"/>
        <v>1.3509285393066301E-12</v>
      </c>
      <c r="GX107" s="22">
        <f t="shared" si="82"/>
        <v>2.5073107750038623E-12</v>
      </c>
      <c r="GY107" s="60">
        <f t="shared" si="83"/>
        <v>293.33333333333582</v>
      </c>
      <c r="GZ107" s="60">
        <f ca="1">AVERAGE(OFFSET($GY$3,0,0,'Données projet'!$E$18+1,1))-AVERAGE(OFFSET($H$3,0,0,'Données projet'!$E$18+1,1))</f>
        <v>292.57482726862594</v>
      </c>
      <c r="HA107" s="60">
        <f t="shared" si="106"/>
        <v>283.48738729114024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399.92909819003523</v>
      </c>
      <c r="T108" s="60">
        <f t="shared" si="88"/>
        <v>163.7053537268381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-5.6843418860808015E-13</v>
      </c>
      <c r="AJ108" s="14">
        <f>AI108*VLOOKUP('Données projet'!$B$10,Paramètres!$A$1:$I$89,3,0)*VLOOKUP('Données projet'!$B$10,Paramètres!$A$1:$I$89,5,0)</f>
        <v>-3.39923644787632E-13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455.43477166687273</v>
      </c>
      <c r="AO108" s="60">
        <f t="shared" si="90"/>
        <v>312.81310692672895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304.99999999999972</v>
      </c>
      <c r="BE108" s="14">
        <f>BD108*VLOOKUP('Données projet'!$B$11,Paramètres!$A$1:$I$89,3,0)*VLOOKUP('Données projet'!$B$11,Paramètres!$A$1:$I$89,5,0)</f>
        <v>275.96399999999977</v>
      </c>
      <c r="BF108" s="14">
        <f t="shared" si="91"/>
        <v>66.113366665488854</v>
      </c>
      <c r="BG108" s="22">
        <f t="shared" si="61"/>
        <v>595.78474694239264</v>
      </c>
      <c r="BH108" s="60">
        <f t="shared" si="62"/>
        <v>889.11808027572602</v>
      </c>
      <c r="BI108" s="60">
        <f ca="1">AVERAGE(OFFSET($BH$3,0,0,'Données projet'!$E$11+1,1))-AVERAGE(OFFSET($H$3,0,0,'Données projet'!$E$11+1,1))</f>
        <v>430.11660085503223</v>
      </c>
      <c r="BJ108" s="60">
        <f t="shared" si="92"/>
        <v>231.36959598460686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305</v>
      </c>
      <c r="BW108" s="13">
        <f>VLOOKUP(A108,'Données projet'!$A$113:$I$133,9,0)</f>
        <v>4.7</v>
      </c>
      <c r="BX108" s="13">
        <f t="array" ref="BX108">INDEX(BW:BW,MIN(IF(ISNUMBER(BW108:BW304),ROW(BW108:BW304),"")))</f>
        <v>4.7</v>
      </c>
      <c r="BY108" s="13">
        <f>IF('Données projet'!$A$114&gt;35,BY107+BX108-CG107,IF(A108&lt;'Données projet'!$A$114,$BV$205^A108,IF(A108='Données projet'!$A$114,'Données projet'!$B$114,BY107+BX108-CG107)))</f>
        <v>304.99999999999972</v>
      </c>
      <c r="BZ108" s="14">
        <f>BY108*VLOOKUP('Données projet'!$B$12,Paramètres!$A$1:$I$89,3,0)*VLOOKUP('Données projet'!$B$12,Paramètres!$A$1:$I$89,5,0)</f>
        <v>309.26999999999975</v>
      </c>
      <c r="CA108" s="14">
        <f t="shared" si="93"/>
        <v>73.116356204711025</v>
      </c>
      <c r="CB108" s="22">
        <f t="shared" si="64"/>
        <v>665.98957038987123</v>
      </c>
      <c r="CC108" s="60">
        <f t="shared" si="65"/>
        <v>959.32290372320449</v>
      </c>
      <c r="CD108" s="60">
        <f ca="1">AVERAGE(OFFSET($CC$3,0,0,'Données projet'!$E$12+1,1))-AVERAGE(OFFSET($H$3,0,0,'Données projet'!$E$12+1,1))</f>
        <v>476.8965664931755</v>
      </c>
      <c r="CE108" s="60">
        <f t="shared" si="94"/>
        <v>254.25036207346591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41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4.7</v>
      </c>
      <c r="CS108" s="13">
        <f t="array" ref="CS108">INDEX(CR:CR,MIN(IF(ISNUMBER(CR108:CR304),ROW(CR108:CR304),"")))</f>
        <v>4.7</v>
      </c>
      <c r="CT108" s="13">
        <f>IF('Données projet'!$A$140&gt;35,CT107+CS108-DB107,IF(A108&lt;'Données projet'!$A$140,$CQ$205^A108,IF(A108='Données projet'!$A$140,'Données projet'!$B$140,CT107+CS108-DB107)))</f>
        <v>304.99999999999972</v>
      </c>
      <c r="CU108" s="18">
        <f>CT108*VLOOKUP('Données projet'!$B$13,Paramètres!$A$1:$I$89,3,0)*VLOOKUP('Données projet'!$B$13,Paramètres!$A$1:$I$89,5,0)</f>
        <v>294.99599999999975</v>
      </c>
      <c r="CV108" s="14">
        <f t="shared" si="95"/>
        <v>70.126408118585388</v>
      </c>
      <c r="CW108" s="22">
        <f t="shared" si="67"/>
        <v>635.92152747320245</v>
      </c>
      <c r="CX108" s="60">
        <f t="shared" si="68"/>
        <v>929.25486080653582</v>
      </c>
      <c r="CY108" s="60">
        <f ca="1">AVERAGE(OFFSET($CX$3,0,0,'Données projet'!$E$13+1,1))-AVERAGE(OFFSET($H$3,0,0,'Données projet'!$E$13+1,1))</f>
        <v>456.86147223520601</v>
      </c>
      <c r="CZ108" s="60">
        <f t="shared" si="96"/>
        <v>244.45149244446094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2.62820512820513</v>
      </c>
      <c r="DO108" s="13">
        <f>IF('Données projet'!$A$166&gt;35,DO107+DN108-DW107,IF(A108&lt;'Données projet'!$A$166,$DL$205^A108,IF(A108='Données projet'!$A$166,'Données projet'!$B$166,DO107+DN108-DW107)))</f>
        <v>199.03846153846175</v>
      </c>
      <c r="DP108" s="18">
        <f>DO108*VLOOKUP('Données projet'!$B$14,Paramètres!$A$1:$I$89,3,0)*VLOOKUP('Données projet'!$B$14,Paramètres!$A$1:$I$89,5,0)</f>
        <v>189.4050000000002</v>
      </c>
      <c r="DQ108" s="14">
        <f t="shared" si="97"/>
        <v>47.408382795872527</v>
      </c>
      <c r="DR108" s="22">
        <f t="shared" si="70"/>
        <v>412.44997503614496</v>
      </c>
      <c r="DS108" s="60">
        <f t="shared" si="71"/>
        <v>705.78330836947828</v>
      </c>
      <c r="DT108" s="60">
        <f ca="1">AVERAGE(OFFSET($DS$3,0,0,'Données projet'!$E$14+1,1))-AVERAGE(OFFSET($H$3,0,0,'Données projet'!$E$14+1,1))</f>
        <v>300.36889324671682</v>
      </c>
      <c r="DU108" s="60">
        <f t="shared" si="98"/>
        <v>214.36051699039683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-4.9658410716801891E-14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202.46844517174412</v>
      </c>
      <c r="EP108" s="60">
        <f t="shared" si="100"/>
        <v>185.00219255324515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341.02564102564099</v>
      </c>
      <c r="FC108" s="13">
        <f>VLOOKUP(A108,'Données projet'!$A$217:$I$237,9,0)</f>
        <v>3.5897435897435912</v>
      </c>
      <c r="FD108" s="13">
        <f t="array" ref="FD108">INDEX(FC:FC,MIN(IF(ISNUMBER(FC108:FC304),ROW(FC108:FC304),"")))</f>
        <v>3.5897435897435912</v>
      </c>
      <c r="FE108" s="13">
        <f>IF('Données projet'!$A$218&gt;35,FE107+FD108-FM107,IF(A108&lt;'Données projet'!$A$218,$FB$205^A108,IF(A108='Données projet'!$A$218,'Données projet'!$B$218,FE107+FD108-FM107)))</f>
        <v>341.02564102564116</v>
      </c>
      <c r="FF108" s="18">
        <f>FE108*VLOOKUP('Données projet'!$B$16,Paramètres!$A$1:$I$89,3,0)*VLOOKUP('Données projet'!$B$16,Paramètres!$A$1:$I$89,5,0)</f>
        <v>228.76000000000008</v>
      </c>
      <c r="FG108" s="14">
        <f t="shared" si="101"/>
        <v>56.01448024255059</v>
      </c>
      <c r="FH108" s="22">
        <f t="shared" si="76"/>
        <v>495.98221975577576</v>
      </c>
      <c r="FI108" s="60">
        <f t="shared" si="77"/>
        <v>789.31555308910902</v>
      </c>
      <c r="FJ108" s="60">
        <f ca="1">AVERAGE(OFFSET($FI$3,0,0,'Données projet'!$E$16+1,1))-AVERAGE(OFFSET($H$3,0,0,'Données projet'!$E$16+1,1))</f>
        <v>344.87493856469382</v>
      </c>
      <c r="FK108" s="60">
        <f t="shared" si="102"/>
        <v>261.91036689641402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>
        <f>FZ108*VLOOKUP('Données projet'!$B$17,Paramètres!$A$1:$I$89,3,0)*VLOOKUP('Données projet'!$B$17,Paramètres!$A$1:$I$89,5,0)</f>
        <v>0</v>
      </c>
      <c r="GB108" s="14" t="e">
        <f t="shared" si="103"/>
        <v>#NUM!</v>
      </c>
      <c r="GC108" s="22" t="e">
        <f t="shared" si="79"/>
        <v>#NUM!</v>
      </c>
      <c r="GD108" s="60" t="e">
        <f t="shared" si="80"/>
        <v>#NUM!</v>
      </c>
      <c r="GE108" s="60">
        <f ca="1">AVERAGE(OFFSET($GD$3,0,0,'Données projet'!$E$17+1,1))-AVERAGE(OFFSET($H$3,0,0,'Données projet'!$E$17+1,1))</f>
        <v>268.19959446602911</v>
      </c>
      <c r="GF108" s="60">
        <f t="shared" si="104"/>
        <v>691.2533336811855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32.547581063582648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32.547581063582648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1.1368683772161603E-13</v>
      </c>
      <c r="GV108" s="18">
        <f>GU108*VLOOKUP('Données projet'!$B$18,Paramètres!$A$1:$I$89,3,0)*VLOOKUP('Données projet'!$B$18,Paramètres!$A$1:$I$89,5,0)</f>
        <v>8.8675733422860506E-14</v>
      </c>
      <c r="GW108" s="14">
        <f t="shared" si="105"/>
        <v>1.3509285393066301E-12</v>
      </c>
      <c r="GX108" s="22">
        <f t="shared" si="82"/>
        <v>2.5073107750038623E-12</v>
      </c>
      <c r="GY108" s="60">
        <f t="shared" si="83"/>
        <v>293.33333333333582</v>
      </c>
      <c r="GZ108" s="60">
        <f ca="1">AVERAGE(OFFSET($GY$3,0,0,'Données projet'!$E$18+1,1))-AVERAGE(OFFSET($H$3,0,0,'Données projet'!$E$18+1,1))</f>
        <v>292.57482726862594</v>
      </c>
      <c r="HA108" s="60">
        <f t="shared" si="106"/>
        <v>283.48738729114024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399.92909819003523</v>
      </c>
      <c r="T109" s="60">
        <f t="shared" si="88"/>
        <v>163.7053537268381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-5.6843418860808015E-13</v>
      </c>
      <c r="AJ109" s="14">
        <f>AI109*VLOOKUP('Données projet'!$B$10,Paramètres!$A$1:$I$89,3,0)*VLOOKUP('Données projet'!$B$10,Paramètres!$A$1:$I$89,5,0)</f>
        <v>-3.39923644787632E-13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455.43477166687273</v>
      </c>
      <c r="AO109" s="60">
        <f t="shared" si="90"/>
        <v>312.81310692672895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267.99999999999972</v>
      </c>
      <c r="BE109" s="14">
        <f>BD109*VLOOKUP('Données projet'!$B$11,Paramètres!$A$1:$I$89,3,0)*VLOOKUP('Données projet'!$B$11,Paramètres!$A$1:$I$89,5,0)</f>
        <v>242.48639999999975</v>
      </c>
      <c r="BF109" s="14">
        <f t="shared" si="91"/>
        <v>58.97417023537237</v>
      </c>
      <c r="BG109" s="22">
        <f t="shared" si="61"/>
        <v>525.04382649327317</v>
      </c>
      <c r="BH109" s="60">
        <f t="shared" si="62"/>
        <v>818.37715982660643</v>
      </c>
      <c r="BI109" s="60">
        <f ca="1">AVERAGE(OFFSET($BH$3,0,0,'Données projet'!$E$11+1,1))-AVERAGE(OFFSET($H$3,0,0,'Données projet'!$E$11+1,1))</f>
        <v>430.11660085503223</v>
      </c>
      <c r="BJ109" s="60">
        <f t="shared" si="92"/>
        <v>231.36959598460686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</v>
      </c>
      <c r="BY109" s="13">
        <f>IF('Données projet'!$A$114&gt;35,BY108+BX109-CG108,IF(A109&lt;'Données projet'!$A$114,$BV$205^A109,IF(A109='Données projet'!$A$114,'Données projet'!$B$114,BY108+BX109-CG108)))</f>
        <v>267.99999999999972</v>
      </c>
      <c r="BZ109" s="14">
        <f>BY109*VLOOKUP('Données projet'!$B$12,Paramètres!$A$1:$I$89,3,0)*VLOOKUP('Données projet'!$B$12,Paramètres!$A$1:$I$89,5,0)</f>
        <v>271.75199999999973</v>
      </c>
      <c r="CA109" s="14">
        <f t="shared" si="93"/>
        <v>65.22094782472486</v>
      </c>
      <c r="CB109" s="22">
        <f t="shared" si="64"/>
        <v>586.89455079472862</v>
      </c>
      <c r="CC109" s="60">
        <f t="shared" si="65"/>
        <v>880.22788412806199</v>
      </c>
      <c r="CD109" s="60">
        <f ca="1">AVERAGE(OFFSET($CC$3,0,0,'Données projet'!$E$12+1,1))-AVERAGE(OFFSET($H$3,0,0,'Données projet'!$E$12+1,1))</f>
        <v>476.8965664931755</v>
      </c>
      <c r="CE109" s="60">
        <f t="shared" si="94"/>
        <v>254.25036207346591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</v>
      </c>
      <c r="CT109" s="13">
        <f>IF('Données projet'!$A$140&gt;35,CT108+CS109-DB108,IF(A109&lt;'Données projet'!$A$140,$CQ$205^A109,IF(A109='Données projet'!$A$140,'Données projet'!$B$140,CT108+CS109-DB108)))</f>
        <v>267.99999999999972</v>
      </c>
      <c r="CU109" s="18">
        <f>CT109*VLOOKUP('Données projet'!$B$13,Paramètres!$A$1:$I$89,3,0)*VLOOKUP('Données projet'!$B$13,Paramètres!$A$1:$I$89,5,0)</f>
        <v>259.20959999999974</v>
      </c>
      <c r="CV109" s="14">
        <f t="shared" si="95"/>
        <v>62.553866774106652</v>
      </c>
      <c r="CW109" s="22">
        <f t="shared" si="67"/>
        <v>560.40470463156862</v>
      </c>
      <c r="CX109" s="60">
        <f t="shared" si="68"/>
        <v>853.73803796490188</v>
      </c>
      <c r="CY109" s="60">
        <f ca="1">AVERAGE(OFFSET($CX$3,0,0,'Données projet'!$E$13+1,1))-AVERAGE(OFFSET($H$3,0,0,'Données projet'!$E$13+1,1))</f>
        <v>456.86147223520601</v>
      </c>
      <c r="CZ109" s="60">
        <f t="shared" si="96"/>
        <v>244.45149244446094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2.62820512820513</v>
      </c>
      <c r="DO109" s="13">
        <f>IF('Données projet'!$A$166&gt;35,DO108+DN109-DW108,IF(A109&lt;'Données projet'!$A$166,$DL$205^A109,IF(A109='Données projet'!$A$166,'Données projet'!$B$166,DO108+DN109-DW108)))</f>
        <v>201.66666666666688</v>
      </c>
      <c r="DP109" s="18">
        <f>DO109*VLOOKUP('Données projet'!$B$14,Paramètres!$A$1:$I$89,3,0)*VLOOKUP('Données projet'!$B$14,Paramètres!$A$1:$I$89,5,0)</f>
        <v>191.9060000000002</v>
      </c>
      <c r="DQ109" s="14">
        <f t="shared" si="97"/>
        <v>47.961097279832373</v>
      </c>
      <c r="DR109" s="22">
        <f t="shared" si="70"/>
        <v>417.76852776237507</v>
      </c>
      <c r="DS109" s="60">
        <f t="shared" si="71"/>
        <v>711.10186109570839</v>
      </c>
      <c r="DT109" s="60">
        <f ca="1">AVERAGE(OFFSET($DS$3,0,0,'Données projet'!$E$14+1,1))-AVERAGE(OFFSET($H$3,0,0,'Données projet'!$E$14+1,1))</f>
        <v>300.36889324671682</v>
      </c>
      <c r="DU109" s="60">
        <f t="shared" si="98"/>
        <v>214.36051699039683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-4.9658410716801891E-14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202.46844517174412</v>
      </c>
      <c r="EP109" s="60">
        <f t="shared" si="100"/>
        <v>185.00219255324515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3.4615384615384643</v>
      </c>
      <c r="FE109" s="13">
        <f>IF('Données projet'!$A$218&gt;35,FE108+FD109-FM108,IF(A109&lt;'Données projet'!$A$218,$FB$205^A109,IF(A109='Données projet'!$A$218,'Données projet'!$B$218,FE108+FD109-FM108)))</f>
        <v>344.48717948717962</v>
      </c>
      <c r="FF109" s="18">
        <f>FE109*VLOOKUP('Données projet'!$B$16,Paramètres!$A$1:$I$89,3,0)*VLOOKUP('Données projet'!$B$16,Paramètres!$A$1:$I$89,5,0)</f>
        <v>231.08200000000008</v>
      </c>
      <c r="FG109" s="14">
        <f t="shared" si="101"/>
        <v>56.516571285269613</v>
      </c>
      <c r="FH109" s="22">
        <f t="shared" si="76"/>
        <v>500.90084498851144</v>
      </c>
      <c r="FI109" s="60">
        <f t="shared" si="77"/>
        <v>794.23417832184475</v>
      </c>
      <c r="FJ109" s="60">
        <f ca="1">AVERAGE(OFFSET($FI$3,0,0,'Données projet'!$E$16+1,1))-AVERAGE(OFFSET($H$3,0,0,'Données projet'!$E$16+1,1))</f>
        <v>344.87493856469382</v>
      </c>
      <c r="FK109" s="60">
        <f t="shared" si="102"/>
        <v>261.91036689641402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>
        <f>FZ109*VLOOKUP('Données projet'!$B$17,Paramètres!$A$1:$I$89,3,0)*VLOOKUP('Données projet'!$B$17,Paramètres!$A$1:$I$89,5,0)</f>
        <v>0</v>
      </c>
      <c r="GB109" s="14" t="e">
        <f t="shared" si="103"/>
        <v>#NUM!</v>
      </c>
      <c r="GC109" s="22" t="e">
        <f t="shared" si="79"/>
        <v>#NUM!</v>
      </c>
      <c r="GD109" s="60" t="e">
        <f t="shared" si="80"/>
        <v>#NUM!</v>
      </c>
      <c r="GE109" s="60">
        <f ca="1">AVERAGE(OFFSET($GD$3,0,0,'Données projet'!$E$17+1,1))-AVERAGE(OFFSET($H$3,0,0,'Données projet'!$E$17+1,1))</f>
        <v>268.19959446602911</v>
      </c>
      <c r="GF109" s="60">
        <f t="shared" si="104"/>
        <v>691.2533336811855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31.909342850990011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31.909342850990011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1.1368683772161603E-13</v>
      </c>
      <c r="GV109" s="18">
        <f>GU109*VLOOKUP('Données projet'!$B$18,Paramètres!$A$1:$I$89,3,0)*VLOOKUP('Données projet'!$B$18,Paramètres!$A$1:$I$89,5,0)</f>
        <v>8.8675733422860506E-14</v>
      </c>
      <c r="GW109" s="14">
        <f t="shared" si="105"/>
        <v>1.3509285393066301E-12</v>
      </c>
      <c r="GX109" s="22">
        <f t="shared" si="82"/>
        <v>2.5073107750038623E-12</v>
      </c>
      <c r="GY109" s="60">
        <f t="shared" si="83"/>
        <v>293.33333333333582</v>
      </c>
      <c r="GZ109" s="60">
        <f ca="1">AVERAGE(OFFSET($GY$3,0,0,'Données projet'!$E$18+1,1))-AVERAGE(OFFSET($H$3,0,0,'Données projet'!$E$18+1,1))</f>
        <v>292.57482726862594</v>
      </c>
      <c r="HA109" s="60">
        <f t="shared" si="106"/>
        <v>283.48738729114024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399.92909819003523</v>
      </c>
      <c r="T110" s="60">
        <f t="shared" si="88"/>
        <v>163.7053537268381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-5.6843418860808015E-13</v>
      </c>
      <c r="AJ110" s="14">
        <f>AI110*VLOOKUP('Données projet'!$B$10,Paramètres!$A$1:$I$89,3,0)*VLOOKUP('Données projet'!$B$10,Paramètres!$A$1:$I$89,5,0)</f>
        <v>-3.39923644787632E-13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455.43477166687273</v>
      </c>
      <c r="AO110" s="60">
        <f t="shared" si="90"/>
        <v>312.81310692672895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271.99999999999972</v>
      </c>
      <c r="BE110" s="14">
        <f>BD110*VLOOKUP('Données projet'!$B$11,Paramètres!$A$1:$I$89,3,0)*VLOOKUP('Données projet'!$B$11,Paramètres!$A$1:$I$89,5,0)</f>
        <v>246.10559999999973</v>
      </c>
      <c r="BF110" s="14">
        <f t="shared" si="91"/>
        <v>59.751253234371873</v>
      </c>
      <c r="BG110" s="22">
        <f t="shared" si="61"/>
        <v>532.70068604986398</v>
      </c>
      <c r="BH110" s="60">
        <f t="shared" si="62"/>
        <v>826.03401938319735</v>
      </c>
      <c r="BI110" s="60">
        <f ca="1">AVERAGE(OFFSET($BH$3,0,0,'Données projet'!$E$11+1,1))-AVERAGE(OFFSET($H$3,0,0,'Données projet'!$E$11+1,1))</f>
        <v>430.11660085503223</v>
      </c>
      <c r="BJ110" s="60">
        <f t="shared" si="92"/>
        <v>231.36959598460686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</v>
      </c>
      <c r="BY110" s="13">
        <f>IF('Données projet'!$A$114&gt;35,BY109+BX110-CG109,IF(A110&lt;'Données projet'!$A$114,$BV$205^A110,IF(A110='Données projet'!$A$114,'Données projet'!$B$114,BY109+BX110-CG109)))</f>
        <v>271.99999999999972</v>
      </c>
      <c r="BZ110" s="14">
        <f>BY110*VLOOKUP('Données projet'!$B$12,Paramètres!$A$1:$I$89,3,0)*VLOOKUP('Données projet'!$B$12,Paramètres!$A$1:$I$89,5,0)</f>
        <v>275.80799999999971</v>
      </c>
      <c r="CA110" s="14">
        <f t="shared" si="93"/>
        <v>66.080342531440593</v>
      </c>
      <c r="CB110" s="22">
        <f t="shared" si="64"/>
        <v>595.4555299089252</v>
      </c>
      <c r="CC110" s="60">
        <f t="shared" si="65"/>
        <v>888.78886324225846</v>
      </c>
      <c r="CD110" s="60">
        <f ca="1">AVERAGE(OFFSET($CC$3,0,0,'Données projet'!$E$12+1,1))-AVERAGE(OFFSET($H$3,0,0,'Données projet'!$E$12+1,1))</f>
        <v>476.8965664931755</v>
      </c>
      <c r="CE110" s="60">
        <f t="shared" si="94"/>
        <v>254.25036207346591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</v>
      </c>
      <c r="CT110" s="13">
        <f>IF('Données projet'!$A$140&gt;35,CT109+CS110-DB109,IF(A110&lt;'Données projet'!$A$140,$CQ$205^A110,IF(A110='Données projet'!$A$140,'Données projet'!$B$140,CT109+CS110-DB109)))</f>
        <v>271.99999999999972</v>
      </c>
      <c r="CU110" s="18">
        <f>CT110*VLOOKUP('Données projet'!$B$13,Paramètres!$A$1:$I$89,3,0)*VLOOKUP('Données projet'!$B$13,Paramètres!$A$1:$I$89,5,0)</f>
        <v>263.0783999999997</v>
      </c>
      <c r="CV110" s="14">
        <f t="shared" si="95"/>
        <v>63.378118242127854</v>
      </c>
      <c r="CW110" s="22">
        <f t="shared" si="67"/>
        <v>568.57843593837208</v>
      </c>
      <c r="CX110" s="60">
        <f t="shared" si="68"/>
        <v>861.91176927170545</v>
      </c>
      <c r="CY110" s="60">
        <f ca="1">AVERAGE(OFFSET($CX$3,0,0,'Données projet'!$E$13+1,1))-AVERAGE(OFFSET($H$3,0,0,'Données projet'!$E$13+1,1))</f>
        <v>456.86147223520601</v>
      </c>
      <c r="CZ110" s="60">
        <f t="shared" si="96"/>
        <v>244.45149244446094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2.62820512820513</v>
      </c>
      <c r="DO110" s="13">
        <f>IF('Données projet'!$A$166&gt;35,DO109+DN110-DW109,IF(A110&lt;'Données projet'!$A$166,$DL$205^A110,IF(A110='Données projet'!$A$166,'Données projet'!$B$166,DO109+DN110-DW109)))</f>
        <v>204.29487179487202</v>
      </c>
      <c r="DP110" s="18">
        <f>DO110*VLOOKUP('Données projet'!$B$14,Paramètres!$A$1:$I$89,3,0)*VLOOKUP('Données projet'!$B$14,Paramètres!$A$1:$I$89,5,0)</f>
        <v>194.40700000000021</v>
      </c>
      <c r="DQ110" s="14">
        <f t="shared" si="97"/>
        <v>48.512973920881578</v>
      </c>
      <c r="DR110" s="22">
        <f t="shared" si="70"/>
        <v>423.08562124553572</v>
      </c>
      <c r="DS110" s="60">
        <f t="shared" si="71"/>
        <v>716.41895457886903</v>
      </c>
      <c r="DT110" s="60">
        <f ca="1">AVERAGE(OFFSET($DS$3,0,0,'Données projet'!$E$14+1,1))-AVERAGE(OFFSET($H$3,0,0,'Données projet'!$E$14+1,1))</f>
        <v>300.36889324671682</v>
      </c>
      <c r="DU110" s="60">
        <f t="shared" si="98"/>
        <v>214.36051699039683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-4.9658410716801891E-14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202.46844517174412</v>
      </c>
      <c r="EP110" s="60">
        <f t="shared" si="100"/>
        <v>185.00219255324515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3.4615384615384643</v>
      </c>
      <c r="FE110" s="13">
        <f>IF('Données projet'!$A$218&gt;35,FE109+FD110-FM109,IF(A110&lt;'Données projet'!$A$218,$FB$205^A110,IF(A110='Données projet'!$A$218,'Données projet'!$B$218,FE109+FD110-FM109)))</f>
        <v>347.94871794871807</v>
      </c>
      <c r="FF110" s="18">
        <f>FE110*VLOOKUP('Données projet'!$B$16,Paramètres!$A$1:$I$89,3,0)*VLOOKUP('Données projet'!$B$16,Paramètres!$A$1:$I$89,5,0)</f>
        <v>233.40400000000008</v>
      </c>
      <c r="FG110" s="14">
        <f t="shared" si="101"/>
        <v>57.018075399319287</v>
      </c>
      <c r="FH110" s="22">
        <f t="shared" si="76"/>
        <v>505.81844798714792</v>
      </c>
      <c r="FI110" s="60">
        <f t="shared" si="77"/>
        <v>799.15178132048118</v>
      </c>
      <c r="FJ110" s="60">
        <f ca="1">AVERAGE(OFFSET($FI$3,0,0,'Données projet'!$E$16+1,1))-AVERAGE(OFFSET($H$3,0,0,'Données projet'!$E$16+1,1))</f>
        <v>344.87493856469382</v>
      </c>
      <c r="FK110" s="60">
        <f t="shared" si="102"/>
        <v>261.91036689641402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>
        <f>FZ110*VLOOKUP('Données projet'!$B$17,Paramètres!$A$1:$I$89,3,0)*VLOOKUP('Données projet'!$B$17,Paramètres!$A$1:$I$89,5,0)</f>
        <v>0</v>
      </c>
      <c r="GB110" s="14" t="e">
        <f t="shared" si="103"/>
        <v>#NUM!</v>
      </c>
      <c r="GC110" s="22" t="e">
        <f t="shared" si="79"/>
        <v>#NUM!</v>
      </c>
      <c r="GD110" s="60" t="e">
        <f t="shared" si="80"/>
        <v>#NUM!</v>
      </c>
      <c r="GE110" s="60">
        <f ca="1">AVERAGE(OFFSET($GD$3,0,0,'Données projet'!$E$17+1,1))-AVERAGE(OFFSET($H$3,0,0,'Données projet'!$E$17+1,1))</f>
        <v>268.19959446602911</v>
      </c>
      <c r="GF110" s="60">
        <f t="shared" si="104"/>
        <v>691.2533336811855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31.283620100459448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31.283620100459448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1.1368683772161603E-13</v>
      </c>
      <c r="GV110" s="18">
        <f>GU110*VLOOKUP('Données projet'!$B$18,Paramètres!$A$1:$I$89,3,0)*VLOOKUP('Données projet'!$B$18,Paramètres!$A$1:$I$89,5,0)</f>
        <v>8.8675733422860506E-14</v>
      </c>
      <c r="GW110" s="14">
        <f t="shared" si="105"/>
        <v>1.3509285393066301E-12</v>
      </c>
      <c r="GX110" s="22">
        <f t="shared" si="82"/>
        <v>2.5073107750038623E-12</v>
      </c>
      <c r="GY110" s="60">
        <f t="shared" si="83"/>
        <v>293.33333333333582</v>
      </c>
      <c r="GZ110" s="60">
        <f ca="1">AVERAGE(OFFSET($GY$3,0,0,'Données projet'!$E$18+1,1))-AVERAGE(OFFSET($H$3,0,0,'Données projet'!$E$18+1,1))</f>
        <v>292.57482726862594</v>
      </c>
      <c r="HA110" s="60">
        <f t="shared" si="106"/>
        <v>283.48738729114024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399.92909819003523</v>
      </c>
      <c r="T111" s="60">
        <f t="shared" si="88"/>
        <v>163.7053537268381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-5.6843418860808015E-13</v>
      </c>
      <c r="AJ111" s="14">
        <f>AI111*VLOOKUP('Données projet'!$B$10,Paramètres!$A$1:$I$89,3,0)*VLOOKUP('Données projet'!$B$10,Paramètres!$A$1:$I$89,5,0)</f>
        <v>-3.39923644787632E-13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455.43477166687273</v>
      </c>
      <c r="AO111" s="60">
        <f t="shared" si="90"/>
        <v>312.81310692672895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275.99999999999972</v>
      </c>
      <c r="BE111" s="14">
        <f>BD111*VLOOKUP('Données projet'!$B$11,Paramètres!$A$1:$I$89,3,0)*VLOOKUP('Données projet'!$B$11,Paramètres!$A$1:$I$89,5,0)</f>
        <v>249.72479999999973</v>
      </c>
      <c r="BF111" s="14">
        <f t="shared" si="91"/>
        <v>60.527007137298092</v>
      </c>
      <c r="BG111" s="22">
        <f t="shared" si="61"/>
        <v>540.35523076412699</v>
      </c>
      <c r="BH111" s="60">
        <f t="shared" si="62"/>
        <v>833.68856409746036</v>
      </c>
      <c r="BI111" s="60">
        <f ca="1">AVERAGE(OFFSET($BH$3,0,0,'Données projet'!$E$11+1,1))-AVERAGE(OFFSET($H$3,0,0,'Données projet'!$E$11+1,1))</f>
        <v>430.11660085503223</v>
      </c>
      <c r="BJ111" s="60">
        <f t="shared" si="92"/>
        <v>231.36959598460686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</v>
      </c>
      <c r="BY111" s="13">
        <f>IF('Données projet'!$A$114&gt;35,BY110+BX111-CG110,IF(A111&lt;'Données projet'!$A$114,$BV$205^A111,IF(A111='Données projet'!$A$114,'Données projet'!$B$114,BY110+BX111-CG110)))</f>
        <v>275.99999999999972</v>
      </c>
      <c r="BZ111" s="14">
        <f>BY111*VLOOKUP('Données projet'!$B$12,Paramètres!$A$1:$I$89,3,0)*VLOOKUP('Données projet'!$B$12,Paramètres!$A$1:$I$89,5,0)</f>
        <v>279.86399999999975</v>
      </c>
      <c r="CA111" s="14">
        <f t="shared" si="93"/>
        <v>66.938267358965007</v>
      </c>
      <c r="CB111" s="22">
        <f t="shared" si="64"/>
        <v>604.01394898353021</v>
      </c>
      <c r="CC111" s="60">
        <f t="shared" si="65"/>
        <v>897.34728231686358</v>
      </c>
      <c r="CD111" s="60">
        <f ca="1">AVERAGE(OFFSET($CC$3,0,0,'Données projet'!$E$12+1,1))-AVERAGE(OFFSET($H$3,0,0,'Données projet'!$E$12+1,1))</f>
        <v>476.8965664931755</v>
      </c>
      <c r="CE111" s="60">
        <f t="shared" si="94"/>
        <v>254.25036207346591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</v>
      </c>
      <c r="CT111" s="13">
        <f>IF('Données projet'!$A$140&gt;35,CT110+CS111-DB110,IF(A111&lt;'Données projet'!$A$140,$CQ$205^A111,IF(A111='Données projet'!$A$140,'Données projet'!$B$140,CT110+CS111-DB110)))</f>
        <v>275.99999999999972</v>
      </c>
      <c r="CU111" s="18">
        <f>CT111*VLOOKUP('Données projet'!$B$13,Paramètres!$A$1:$I$89,3,0)*VLOOKUP('Données projet'!$B$13,Paramètres!$A$1:$I$89,5,0)</f>
        <v>266.94719999999973</v>
      </c>
      <c r="CV111" s="14">
        <f t="shared" si="95"/>
        <v>64.200959938746323</v>
      </c>
      <c r="CW111" s="22">
        <f t="shared" si="67"/>
        <v>576.74971189331598</v>
      </c>
      <c r="CX111" s="60">
        <f t="shared" si="68"/>
        <v>870.08304522664935</v>
      </c>
      <c r="CY111" s="60">
        <f ca="1">AVERAGE(OFFSET($CX$3,0,0,'Données projet'!$E$13+1,1))-AVERAGE(OFFSET($H$3,0,0,'Données projet'!$E$13+1,1))</f>
        <v>456.86147223520601</v>
      </c>
      <c r="CZ111" s="60">
        <f t="shared" si="96"/>
        <v>244.45149244446094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2.62820512820513</v>
      </c>
      <c r="DO111" s="13">
        <f>IF('Données projet'!$A$166&gt;35,DO110+DN111-DW110,IF(A111&lt;'Données projet'!$A$166,$DL$205^A111,IF(A111='Données projet'!$A$166,'Données projet'!$B$166,DO110+DN111-DW110)))</f>
        <v>206.92307692307716</v>
      </c>
      <c r="DP111" s="18">
        <f>DO111*VLOOKUP('Données projet'!$B$14,Paramètres!$A$1:$I$89,3,0)*VLOOKUP('Données projet'!$B$14,Paramètres!$A$1:$I$89,5,0)</f>
        <v>196.90800000000021</v>
      </c>
      <c r="DQ111" s="14">
        <f t="shared" si="97"/>
        <v>49.064024743967735</v>
      </c>
      <c r="DR111" s="22">
        <f t="shared" si="70"/>
        <v>428.40127642907754</v>
      </c>
      <c r="DS111" s="60">
        <f t="shared" si="71"/>
        <v>721.73460976241086</v>
      </c>
      <c r="DT111" s="60">
        <f ca="1">AVERAGE(OFFSET($DS$3,0,0,'Données projet'!$E$14+1,1))-AVERAGE(OFFSET($H$3,0,0,'Données projet'!$E$14+1,1))</f>
        <v>300.36889324671682</v>
      </c>
      <c r="DU111" s="60">
        <f t="shared" si="98"/>
        <v>214.36051699039683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-4.9658410716801891E-14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202.46844517174412</v>
      </c>
      <c r="EP111" s="60">
        <f t="shared" si="100"/>
        <v>185.00219255324515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3.4615384615384643</v>
      </c>
      <c r="FE111" s="13">
        <f>IF('Données projet'!$A$218&gt;35,FE110+FD111-FM110,IF(A111&lt;'Données projet'!$A$218,$FB$205^A111,IF(A111='Données projet'!$A$218,'Données projet'!$B$218,FE110+FD111-FM110)))</f>
        <v>351.41025641025652</v>
      </c>
      <c r="FF111" s="18">
        <f>FE111*VLOOKUP('Données projet'!$B$16,Paramètres!$A$1:$I$89,3,0)*VLOOKUP('Données projet'!$B$16,Paramètres!$A$1:$I$89,5,0)</f>
        <v>235.72600000000008</v>
      </c>
      <c r="FG111" s="14">
        <f t="shared" si="101"/>
        <v>57.518999099813875</v>
      </c>
      <c r="FH111" s="22">
        <f t="shared" si="76"/>
        <v>510.7350400988426</v>
      </c>
      <c r="FI111" s="60">
        <f t="shared" si="77"/>
        <v>804.06837343217592</v>
      </c>
      <c r="FJ111" s="60">
        <f ca="1">AVERAGE(OFFSET($FI$3,0,0,'Données projet'!$E$16+1,1))-AVERAGE(OFFSET($H$3,0,0,'Données projet'!$E$16+1,1))</f>
        <v>344.87493856469382</v>
      </c>
      <c r="FK111" s="60">
        <f t="shared" si="102"/>
        <v>261.91036689641402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>
        <f>FZ111*VLOOKUP('Données projet'!$B$17,Paramètres!$A$1:$I$89,3,0)*VLOOKUP('Données projet'!$B$17,Paramètres!$A$1:$I$89,5,0)</f>
        <v>0</v>
      </c>
      <c r="GB111" s="14" t="e">
        <f t="shared" si="103"/>
        <v>#NUM!</v>
      </c>
      <c r="GC111" s="22" t="e">
        <f t="shared" si="79"/>
        <v>#NUM!</v>
      </c>
      <c r="GD111" s="60" t="e">
        <f t="shared" si="80"/>
        <v>#NUM!</v>
      </c>
      <c r="GE111" s="60">
        <f ca="1">AVERAGE(OFFSET($GD$3,0,0,'Données projet'!$E$17+1,1))-AVERAGE(OFFSET($H$3,0,0,'Données projet'!$E$17+1,1))</f>
        <v>268.19959446602911</v>
      </c>
      <c r="GF111" s="60">
        <f t="shared" si="104"/>
        <v>691.2533336811855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30.670167391413596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30.670167391413596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1.1368683772161603E-13</v>
      </c>
      <c r="GV111" s="18">
        <f>GU111*VLOOKUP('Données projet'!$B$18,Paramètres!$A$1:$I$89,3,0)*VLOOKUP('Données projet'!$B$18,Paramètres!$A$1:$I$89,5,0)</f>
        <v>8.8675733422860506E-14</v>
      </c>
      <c r="GW111" s="14">
        <f t="shared" si="105"/>
        <v>1.3509285393066301E-12</v>
      </c>
      <c r="GX111" s="22">
        <f t="shared" si="82"/>
        <v>2.5073107750038623E-12</v>
      </c>
      <c r="GY111" s="60">
        <f t="shared" si="83"/>
        <v>293.33333333333582</v>
      </c>
      <c r="GZ111" s="60">
        <f ca="1">AVERAGE(OFFSET($GY$3,0,0,'Données projet'!$E$18+1,1))-AVERAGE(OFFSET($H$3,0,0,'Données projet'!$E$18+1,1))</f>
        <v>292.57482726862594</v>
      </c>
      <c r="HA111" s="60">
        <f t="shared" si="106"/>
        <v>283.48738729114024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399.92909819003523</v>
      </c>
      <c r="T112" s="60">
        <f t="shared" si="88"/>
        <v>163.7053537268381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-5.6843418860808015E-13</v>
      </c>
      <c r="AJ112" s="14">
        <f>AI112*VLOOKUP('Données projet'!$B$10,Paramètres!$A$1:$I$89,3,0)*VLOOKUP('Données projet'!$B$10,Paramètres!$A$1:$I$89,5,0)</f>
        <v>-3.39923644787632E-13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455.43477166687273</v>
      </c>
      <c r="AO112" s="60">
        <f t="shared" si="90"/>
        <v>312.81310692672895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279.99999999999972</v>
      </c>
      <c r="BE112" s="14">
        <f>BD112*VLOOKUP('Données projet'!$B$11,Paramètres!$A$1:$I$89,3,0)*VLOOKUP('Données projet'!$B$11,Paramètres!$A$1:$I$89,5,0)</f>
        <v>253.34399999999974</v>
      </c>
      <c r="BF112" s="14">
        <f t="shared" si="91"/>
        <v>61.301453431926198</v>
      </c>
      <c r="BG112" s="22">
        <f t="shared" si="61"/>
        <v>548.00749806060423</v>
      </c>
      <c r="BH112" s="60">
        <f t="shared" si="62"/>
        <v>841.34083139393761</v>
      </c>
      <c r="BI112" s="60">
        <f ca="1">AVERAGE(OFFSET($BH$3,0,0,'Données projet'!$E$11+1,1))-AVERAGE(OFFSET($H$3,0,0,'Données projet'!$E$11+1,1))</f>
        <v>430.11660085503223</v>
      </c>
      <c r="BJ112" s="60">
        <f t="shared" si="92"/>
        <v>231.36959598460686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</v>
      </c>
      <c r="BY112" s="13">
        <f>IF('Données projet'!$A$114&gt;35,BY111+BX112-CG111,IF(A112&lt;'Données projet'!$A$114,$BV$205^A112,IF(A112='Données projet'!$A$114,'Données projet'!$B$114,BY111+BX112-CG111)))</f>
        <v>279.99999999999972</v>
      </c>
      <c r="BZ112" s="14">
        <f>BY112*VLOOKUP('Données projet'!$B$12,Paramètres!$A$1:$I$89,3,0)*VLOOKUP('Données projet'!$B$12,Paramètres!$A$1:$I$89,5,0)</f>
        <v>283.91999999999973</v>
      </c>
      <c r="CA112" s="14">
        <f t="shared" si="93"/>
        <v>67.794746071143578</v>
      </c>
      <c r="CB112" s="22">
        <f t="shared" si="64"/>
        <v>612.56984940724124</v>
      </c>
      <c r="CC112" s="60">
        <f t="shared" si="65"/>
        <v>905.90318274057449</v>
      </c>
      <c r="CD112" s="60">
        <f ca="1">AVERAGE(OFFSET($CC$3,0,0,'Données projet'!$E$12+1,1))-AVERAGE(OFFSET($H$3,0,0,'Données projet'!$E$12+1,1))</f>
        <v>476.8965664931755</v>
      </c>
      <c r="CE112" s="60">
        <f t="shared" si="94"/>
        <v>254.25036207346591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</v>
      </c>
      <c r="CT112" s="13">
        <f>IF('Données projet'!$A$140&gt;35,CT111+CS112-DB111,IF(A112&lt;'Données projet'!$A$140,$CQ$205^A112,IF(A112='Données projet'!$A$140,'Données projet'!$B$140,CT111+CS112-DB111)))</f>
        <v>279.99999999999972</v>
      </c>
      <c r="CU112" s="18">
        <f>CT112*VLOOKUP('Données projet'!$B$13,Paramètres!$A$1:$I$89,3,0)*VLOOKUP('Données projet'!$B$13,Paramètres!$A$1:$I$89,5,0)</f>
        <v>270.81599999999975</v>
      </c>
      <c r="CV112" s="14">
        <f t="shared" si="95"/>
        <v>65.022414656032254</v>
      </c>
      <c r="CW112" s="22">
        <f t="shared" si="67"/>
        <v>584.91857219258907</v>
      </c>
      <c r="CX112" s="60">
        <f t="shared" si="68"/>
        <v>878.25190552592244</v>
      </c>
      <c r="CY112" s="60">
        <f ca="1">AVERAGE(OFFSET($CX$3,0,0,'Données projet'!$E$13+1,1))-AVERAGE(OFFSET($H$3,0,0,'Données projet'!$E$13+1,1))</f>
        <v>456.86147223520601</v>
      </c>
      <c r="CZ112" s="60">
        <f t="shared" si="96"/>
        <v>244.45149244446094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2.62820512820513</v>
      </c>
      <c r="DO112" s="13">
        <f>IF('Données projet'!$A$166&gt;35,DO111+DN112-DW111,IF(A112&lt;'Données projet'!$A$166,$DL$205^A112,IF(A112='Données projet'!$A$166,'Données projet'!$B$166,DO111+DN112-DW111)))</f>
        <v>209.5512820512823</v>
      </c>
      <c r="DP112" s="18">
        <f>DO112*VLOOKUP('Données projet'!$B$14,Paramètres!$A$1:$I$89,3,0)*VLOOKUP('Données projet'!$B$14,Paramètres!$A$1:$I$89,5,0)</f>
        <v>199.40900000000025</v>
      </c>
      <c r="DQ112" s="14">
        <f t="shared" si="97"/>
        <v>49.614261451006719</v>
      </c>
      <c r="DR112" s="22">
        <f t="shared" si="70"/>
        <v>433.71551369383707</v>
      </c>
      <c r="DS112" s="60">
        <f t="shared" si="71"/>
        <v>727.04884702717038</v>
      </c>
      <c r="DT112" s="60">
        <f ca="1">AVERAGE(OFFSET($DS$3,0,0,'Données projet'!$E$14+1,1))-AVERAGE(OFFSET($H$3,0,0,'Données projet'!$E$14+1,1))</f>
        <v>300.36889324671682</v>
      </c>
      <c r="DU112" s="60">
        <f t="shared" si="98"/>
        <v>214.36051699039683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-4.9658410716801891E-14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202.46844517174412</v>
      </c>
      <c r="EP112" s="60">
        <f t="shared" si="100"/>
        <v>185.00219255324515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3.4615384615384643</v>
      </c>
      <c r="FE112" s="13">
        <f>IF('Données projet'!$A$218&gt;35,FE111+FD112-FM111,IF(A112&lt;'Données projet'!$A$218,$FB$205^A112,IF(A112='Données projet'!$A$218,'Données projet'!$B$218,FE111+FD112-FM111)))</f>
        <v>354.87179487179498</v>
      </c>
      <c r="FF112" s="18">
        <f>FE112*VLOOKUP('Données projet'!$B$16,Paramètres!$A$1:$I$89,3,0)*VLOOKUP('Données projet'!$B$16,Paramètres!$A$1:$I$89,5,0)</f>
        <v>238.04800000000006</v>
      </c>
      <c r="FG112" s="14">
        <f t="shared" si="101"/>
        <v>58.019348766115542</v>
      </c>
      <c r="FH112" s="22">
        <f t="shared" si="76"/>
        <v>515.65063243431803</v>
      </c>
      <c r="FI112" s="60">
        <f t="shared" si="77"/>
        <v>808.9839657676514</v>
      </c>
      <c r="FJ112" s="60">
        <f ca="1">AVERAGE(OFFSET($FI$3,0,0,'Données projet'!$E$16+1,1))-AVERAGE(OFFSET($H$3,0,0,'Données projet'!$E$16+1,1))</f>
        <v>344.87493856469382</v>
      </c>
      <c r="FK112" s="60">
        <f t="shared" si="102"/>
        <v>261.91036689641402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>
        <f>FZ112*VLOOKUP('Données projet'!$B$17,Paramètres!$A$1:$I$89,3,0)*VLOOKUP('Données projet'!$B$17,Paramètres!$A$1:$I$89,5,0)</f>
        <v>0</v>
      </c>
      <c r="GB112" s="14" t="e">
        <f t="shared" si="103"/>
        <v>#NUM!</v>
      </c>
      <c r="GC112" s="22" t="e">
        <f t="shared" si="79"/>
        <v>#NUM!</v>
      </c>
      <c r="GD112" s="60" t="e">
        <f t="shared" si="80"/>
        <v>#NUM!</v>
      </c>
      <c r="GE112" s="60">
        <f ca="1">AVERAGE(OFFSET($GD$3,0,0,'Données projet'!$E$17+1,1))-AVERAGE(OFFSET($H$3,0,0,'Données projet'!$E$17+1,1))</f>
        <v>268.19959446602911</v>
      </c>
      <c r="GF112" s="60">
        <f t="shared" si="104"/>
        <v>691.2533336811855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30.068744115822927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30.068744115822927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1.1368683772161603E-13</v>
      </c>
      <c r="GV112" s="18">
        <f>GU112*VLOOKUP('Données projet'!$B$18,Paramètres!$A$1:$I$89,3,0)*VLOOKUP('Données projet'!$B$18,Paramètres!$A$1:$I$89,5,0)</f>
        <v>8.8675733422860506E-14</v>
      </c>
      <c r="GW112" s="14">
        <f t="shared" si="105"/>
        <v>1.3509285393066301E-12</v>
      </c>
      <c r="GX112" s="22">
        <f t="shared" si="82"/>
        <v>2.5073107750038623E-12</v>
      </c>
      <c r="GY112" s="60">
        <f t="shared" si="83"/>
        <v>293.33333333333582</v>
      </c>
      <c r="GZ112" s="60">
        <f ca="1">AVERAGE(OFFSET($GY$3,0,0,'Données projet'!$E$18+1,1))-AVERAGE(OFFSET($H$3,0,0,'Données projet'!$E$18+1,1))</f>
        <v>292.57482726862594</v>
      </c>
      <c r="HA112" s="60">
        <f t="shared" si="106"/>
        <v>283.48738729114024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399.92909819003523</v>
      </c>
      <c r="T113" s="60">
        <f t="shared" si="88"/>
        <v>163.7053537268381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-5.6843418860808015E-13</v>
      </c>
      <c r="AJ113" s="14">
        <f>AI113*VLOOKUP('Données projet'!$B$10,Paramètres!$A$1:$I$89,3,0)*VLOOKUP('Données projet'!$B$10,Paramètres!$A$1:$I$89,5,0)</f>
        <v>-3.39923644787632E-13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455.43477166687273</v>
      </c>
      <c r="AO113" s="60">
        <f t="shared" si="90"/>
        <v>312.81310692672895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283.99999999999972</v>
      </c>
      <c r="BE113" s="14">
        <f>BD113*VLOOKUP('Données projet'!$B$11,Paramètres!$A$1:$I$89,3,0)*VLOOKUP('Données projet'!$B$11,Paramètres!$A$1:$I$89,5,0)</f>
        <v>256.96319999999974</v>
      </c>
      <c r="BF113" s="14">
        <f t="shared" si="91"/>
        <v>62.074612956837967</v>
      </c>
      <c r="BG113" s="22">
        <f t="shared" si="61"/>
        <v>555.65752423315905</v>
      </c>
      <c r="BH113" s="60">
        <f t="shared" si="62"/>
        <v>848.99085756649242</v>
      </c>
      <c r="BI113" s="60">
        <f ca="1">AVERAGE(OFFSET($BH$3,0,0,'Données projet'!$E$11+1,1))-AVERAGE(OFFSET($H$3,0,0,'Données projet'!$E$11+1,1))</f>
        <v>430.11660085503223</v>
      </c>
      <c r="BJ113" s="60">
        <f t="shared" si="92"/>
        <v>231.36959598460686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</v>
      </c>
      <c r="BY113" s="13">
        <f>IF('Données projet'!$A$114&gt;35,BY112+BX113-CG112,IF(A113&lt;'Données projet'!$A$114,$BV$205^A113,IF(A113='Données projet'!$A$114,'Données projet'!$B$114,BY112+BX113-CG112)))</f>
        <v>283.99999999999972</v>
      </c>
      <c r="BZ113" s="14">
        <f>BY113*VLOOKUP('Données projet'!$B$12,Paramètres!$A$1:$I$89,3,0)*VLOOKUP('Données projet'!$B$12,Paramètres!$A$1:$I$89,5,0)</f>
        <v>287.97599999999971</v>
      </c>
      <c r="CA113" s="14">
        <f t="shared" si="93"/>
        <v>68.649801713863084</v>
      </c>
      <c r="CB113" s="22">
        <f t="shared" si="64"/>
        <v>621.12327131831091</v>
      </c>
      <c r="CC113" s="60">
        <f t="shared" si="65"/>
        <v>914.45660465164428</v>
      </c>
      <c r="CD113" s="60">
        <f ca="1">AVERAGE(OFFSET($CC$3,0,0,'Données projet'!$E$12+1,1))-AVERAGE(OFFSET($H$3,0,0,'Données projet'!$E$12+1,1))</f>
        <v>476.8965664931755</v>
      </c>
      <c r="CE113" s="60">
        <f t="shared" si="94"/>
        <v>254.25036207346591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</v>
      </c>
      <c r="CT113" s="13">
        <f>IF('Données projet'!$A$140&gt;35,CT112+CS113-DB112,IF(A113&lt;'Données projet'!$A$140,$CQ$205^A113,IF(A113='Données projet'!$A$140,'Données projet'!$B$140,CT112+CS113-DB112)))</f>
        <v>283.99999999999972</v>
      </c>
      <c r="CU113" s="18">
        <f>CT113*VLOOKUP('Données projet'!$B$13,Paramètres!$A$1:$I$89,3,0)*VLOOKUP('Données projet'!$B$13,Paramètres!$A$1:$I$89,5,0)</f>
        <v>274.68479999999971</v>
      </c>
      <c r="CV113" s="14">
        <f t="shared" si="95"/>
        <v>65.842504497456602</v>
      </c>
      <c r="CW113" s="22">
        <f t="shared" si="67"/>
        <v>593.0850553330697</v>
      </c>
      <c r="CX113" s="60">
        <f t="shared" si="68"/>
        <v>886.41838866640296</v>
      </c>
      <c r="CY113" s="60">
        <f ca="1">AVERAGE(OFFSET($CX$3,0,0,'Données projet'!$E$13+1,1))-AVERAGE(OFFSET($H$3,0,0,'Données projet'!$E$13+1,1))</f>
        <v>456.86147223520601</v>
      </c>
      <c r="CZ113" s="60">
        <f t="shared" si="96"/>
        <v>244.45149244446094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212.17948717948718</v>
      </c>
      <c r="DM113" s="13">
        <f>VLOOKUP(A113,'Données projet'!$A$165:$I$185,9,0)</f>
        <v>2.62820512820513</v>
      </c>
      <c r="DN113" s="13">
        <f t="array" ref="DN113">INDEX(DM:DM,MIN(IF(ISNUMBER(DM113:DM309),ROW(DM113:DM309),"")))</f>
        <v>2.62820512820513</v>
      </c>
      <c r="DO113" s="13">
        <f>IF('Données projet'!$A$166&gt;35,DO112+DN113-DW112,IF(A113&lt;'Données projet'!$A$166,$DL$205^A113,IF(A113='Données projet'!$A$166,'Données projet'!$B$166,DO112+DN113-DW112)))</f>
        <v>212.17948717948744</v>
      </c>
      <c r="DP113" s="18">
        <f>DO113*VLOOKUP('Données projet'!$B$14,Paramètres!$A$1:$I$89,3,0)*VLOOKUP('Données projet'!$B$14,Paramètres!$A$1:$I$89,5,0)</f>
        <v>201.91000000000022</v>
      </c>
      <c r="DQ113" s="14">
        <f t="shared" si="97"/>
        <v>50.163695433500934</v>
      </c>
      <c r="DR113" s="22">
        <f t="shared" si="70"/>
        <v>439.02835288001444</v>
      </c>
      <c r="DS113" s="60">
        <f t="shared" si="71"/>
        <v>732.36168621334775</v>
      </c>
      <c r="DT113" s="60">
        <f ca="1">AVERAGE(OFFSET($DS$3,0,0,'Données projet'!$E$14+1,1))-AVERAGE(OFFSET($H$3,0,0,'Données projet'!$E$14+1,1))</f>
        <v>300.36889324671682</v>
      </c>
      <c r="DU113" s="60">
        <f t="shared" si="98"/>
        <v>214.36051699039683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19.23076923076923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-4.9658410716801891E-14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202.46844517174412</v>
      </c>
      <c r="EP113" s="60">
        <f t="shared" si="100"/>
        <v>185.00219255324515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358.33333333333331</v>
      </c>
      <c r="FC113" s="13">
        <f>VLOOKUP(A113,'Données projet'!$A$217:$I$237,9,0)</f>
        <v>3.4615384615384643</v>
      </c>
      <c r="FD113" s="13">
        <f t="array" ref="FD113">INDEX(FC:FC,MIN(IF(ISNUMBER(FC113:FC309),ROW(FC113:FC309),"")))</f>
        <v>3.4615384615384643</v>
      </c>
      <c r="FE113" s="13">
        <f>IF('Données projet'!$A$218&gt;35,FE112+FD113-FM112,IF(A113&lt;'Données projet'!$A$218,$FB$205^A113,IF(A113='Données projet'!$A$218,'Données projet'!$B$218,FE112+FD113-FM112)))</f>
        <v>358.33333333333343</v>
      </c>
      <c r="FF113" s="18">
        <f>FE113*VLOOKUP('Données projet'!$B$16,Paramètres!$A$1:$I$89,3,0)*VLOOKUP('Données projet'!$B$16,Paramètres!$A$1:$I$89,5,0)</f>
        <v>240.37000000000006</v>
      </c>
      <c r="FG113" s="14">
        <f t="shared" si="101"/>
        <v>58.51913064595886</v>
      </c>
      <c r="FH113" s="22">
        <f t="shared" si="76"/>
        <v>520.565235875045</v>
      </c>
      <c r="FI113" s="60">
        <f t="shared" si="77"/>
        <v>813.89856920837838</v>
      </c>
      <c r="FJ113" s="60">
        <f ca="1">AVERAGE(OFFSET($FI$3,0,0,'Données projet'!$E$16+1,1))-AVERAGE(OFFSET($H$3,0,0,'Données projet'!$E$16+1,1))</f>
        <v>344.87493856469382</v>
      </c>
      <c r="FK113" s="60">
        <f t="shared" si="102"/>
        <v>261.91036689641402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358.33333333333331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>
        <f>FZ113*VLOOKUP('Données projet'!$B$17,Paramètres!$A$1:$I$89,3,0)*VLOOKUP('Données projet'!$B$17,Paramètres!$A$1:$I$89,5,0)</f>
        <v>0</v>
      </c>
      <c r="GB113" s="14" t="e">
        <f t="shared" si="103"/>
        <v>#NUM!</v>
      </c>
      <c r="GC113" s="22" t="e">
        <f t="shared" si="79"/>
        <v>#NUM!</v>
      </c>
      <c r="GD113" s="60" t="e">
        <f t="shared" si="80"/>
        <v>#NUM!</v>
      </c>
      <c r="GE113" s="60">
        <f ca="1">AVERAGE(OFFSET($GD$3,0,0,'Données projet'!$E$17+1,1))-AVERAGE(OFFSET($H$3,0,0,'Données projet'!$E$17+1,1))</f>
        <v>268.19959446602911</v>
      </c>
      <c r="GF113" s="60">
        <f t="shared" si="104"/>
        <v>691.2533336811855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29.479114383834613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29.479114383834613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1.1368683772161603E-13</v>
      </c>
      <c r="GV113" s="18">
        <f>GU113*VLOOKUP('Données projet'!$B$18,Paramètres!$A$1:$I$89,3,0)*VLOOKUP('Données projet'!$B$18,Paramètres!$A$1:$I$89,5,0)</f>
        <v>8.8675733422860506E-14</v>
      </c>
      <c r="GW113" s="14">
        <f t="shared" si="105"/>
        <v>1.3509285393066301E-12</v>
      </c>
      <c r="GX113" s="22">
        <f t="shared" si="82"/>
        <v>2.5073107750038623E-12</v>
      </c>
      <c r="GY113" s="60">
        <f t="shared" si="83"/>
        <v>293.33333333333582</v>
      </c>
      <c r="GZ113" s="60">
        <f ca="1">AVERAGE(OFFSET($GY$3,0,0,'Données projet'!$E$18+1,1))-AVERAGE(OFFSET($H$3,0,0,'Données projet'!$E$18+1,1))</f>
        <v>292.57482726862594</v>
      </c>
      <c r="HA113" s="60">
        <f t="shared" si="106"/>
        <v>283.48738729114024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399.92909819003523</v>
      </c>
      <c r="T114" s="60">
        <f t="shared" si="88"/>
        <v>163.7053537268381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-5.6843418860808015E-13</v>
      </c>
      <c r="AJ114" s="14">
        <f>AI114*VLOOKUP('Données projet'!$B$10,Paramètres!$A$1:$I$89,3,0)*VLOOKUP('Données projet'!$B$10,Paramètres!$A$1:$I$89,5,0)</f>
        <v>-3.39923644787632E-13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455.43477166687273</v>
      </c>
      <c r="AO114" s="60">
        <f t="shared" si="90"/>
        <v>312.81310692672895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287.99999999999972</v>
      </c>
      <c r="BE114" s="14">
        <f>BD114*VLOOKUP('Données projet'!$B$11,Paramètres!$A$1:$I$89,3,0)*VLOOKUP('Données projet'!$B$11,Paramètres!$A$1:$I$89,5,0)</f>
        <v>260.58239999999972</v>
      </c>
      <c r="BF114" s="14">
        <f t="shared" si="91"/>
        <v>62.84650592989685</v>
      </c>
      <c r="BG114" s="22">
        <f t="shared" si="61"/>
        <v>563.30534449456991</v>
      </c>
      <c r="BH114" s="60">
        <f t="shared" si="62"/>
        <v>856.63867782790317</v>
      </c>
      <c r="BI114" s="60">
        <f ca="1">AVERAGE(OFFSET($BH$3,0,0,'Données projet'!$E$11+1,1))-AVERAGE(OFFSET($H$3,0,0,'Données projet'!$E$11+1,1))</f>
        <v>430.11660085503223</v>
      </c>
      <c r="BJ114" s="60">
        <f t="shared" si="92"/>
        <v>231.36959598460686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</v>
      </c>
      <c r="BY114" s="13">
        <f>IF('Données projet'!$A$114&gt;35,BY113+BX114-CG113,IF(A114&lt;'Données projet'!$A$114,$BV$205^A114,IF(A114='Données projet'!$A$114,'Données projet'!$B$114,BY113+BX114-CG113)))</f>
        <v>287.99999999999972</v>
      </c>
      <c r="BZ114" s="14">
        <f>BY114*VLOOKUP('Données projet'!$B$12,Paramètres!$A$1:$I$89,3,0)*VLOOKUP('Données projet'!$B$12,Paramètres!$A$1:$I$89,5,0)</f>
        <v>292.0319999999997</v>
      </c>
      <c r="CA114" s="14">
        <f t="shared" si="93"/>
        <v>69.503456646543242</v>
      </c>
      <c r="CB114" s="22">
        <f t="shared" si="64"/>
        <v>629.6742536593955</v>
      </c>
      <c r="CC114" s="60">
        <f t="shared" si="65"/>
        <v>923.00758699272887</v>
      </c>
      <c r="CD114" s="60">
        <f ca="1">AVERAGE(OFFSET($CC$3,0,0,'Données projet'!$E$12+1,1))-AVERAGE(OFFSET($H$3,0,0,'Données projet'!$E$12+1,1))</f>
        <v>476.8965664931755</v>
      </c>
      <c r="CE114" s="60">
        <f t="shared" si="94"/>
        <v>254.25036207346591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</v>
      </c>
      <c r="CT114" s="13">
        <f>IF('Données projet'!$A$140&gt;35,CT113+CS114-DB113,IF(A114&lt;'Données projet'!$A$140,$CQ$205^A114,IF(A114='Données projet'!$A$140,'Données projet'!$B$140,CT113+CS114-DB113)))</f>
        <v>287.99999999999972</v>
      </c>
      <c r="CU114" s="18">
        <f>CT114*VLOOKUP('Données projet'!$B$13,Paramètres!$A$1:$I$89,3,0)*VLOOKUP('Données projet'!$B$13,Paramètres!$A$1:$I$89,5,0)</f>
        <v>278.55359999999973</v>
      </c>
      <c r="CV114" s="14">
        <f t="shared" si="95"/>
        <v>66.661250908095099</v>
      </c>
      <c r="CW114" s="22">
        <f t="shared" si="67"/>
        <v>601.24919866493178</v>
      </c>
      <c r="CX114" s="60">
        <f t="shared" si="68"/>
        <v>894.58253199826504</v>
      </c>
      <c r="CY114" s="60">
        <f ca="1">AVERAGE(OFFSET($CX$3,0,0,'Données projet'!$E$13+1,1))-AVERAGE(OFFSET($H$3,0,0,'Données projet'!$E$13+1,1))</f>
        <v>456.86147223520601</v>
      </c>
      <c r="CZ114" s="60">
        <f t="shared" si="96"/>
        <v>244.45149244446094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2.5</v>
      </c>
      <c r="DO114" s="13">
        <f>IF('Données projet'!$A$166&gt;35,DO113+DN114-DW113,IF(A114&lt;'Données projet'!$A$166,$DL$205^A114,IF(A114='Données projet'!$A$166,'Données projet'!$B$166,DO113+DN114-DW113)))</f>
        <v>195.44871794871821</v>
      </c>
      <c r="DP114" s="18">
        <f>DO114*VLOOKUP('Données projet'!$B$14,Paramètres!$A$1:$I$89,3,0)*VLOOKUP('Données projet'!$B$14,Paramètres!$A$1:$I$89,5,0)</f>
        <v>185.98900000000026</v>
      </c>
      <c r="DQ114" s="14">
        <f t="shared" si="97"/>
        <v>46.652079523297502</v>
      </c>
      <c r="DR114" s="22">
        <f t="shared" si="70"/>
        <v>405.18321350307696</v>
      </c>
      <c r="DS114" s="60">
        <f t="shared" si="71"/>
        <v>698.51654683641027</v>
      </c>
      <c r="DT114" s="60">
        <f ca="1">AVERAGE(OFFSET($DS$3,0,0,'Données projet'!$E$14+1,1))-AVERAGE(OFFSET($H$3,0,0,'Données projet'!$E$14+1,1))</f>
        <v>300.36889324671682</v>
      </c>
      <c r="DU114" s="60">
        <f t="shared" si="98"/>
        <v>214.36051699039683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-4.9658410716801891E-14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202.46844517174412</v>
      </c>
      <c r="EP114" s="60">
        <f t="shared" si="100"/>
        <v>185.00219255324515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7.626113074366004E-14</v>
      </c>
      <c r="FG114" s="14">
        <f t="shared" si="101"/>
        <v>1.1823749172251317E-12</v>
      </c>
      <c r="FH114" s="22">
        <f t="shared" si="76"/>
        <v>2.1921244502123119E-12</v>
      </c>
      <c r="FI114" s="60">
        <f t="shared" si="77"/>
        <v>293.33333333333553</v>
      </c>
      <c r="FJ114" s="60">
        <f ca="1">AVERAGE(OFFSET($FI$3,0,0,'Données projet'!$E$16+1,1))-AVERAGE(OFFSET($H$3,0,0,'Données projet'!$E$16+1,1))</f>
        <v>344.87493856469382</v>
      </c>
      <c r="FK114" s="60">
        <f t="shared" si="102"/>
        <v>261.91036689641402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0" t="e">
        <f t="shared" si="80"/>
        <v>#NUM!</v>
      </c>
      <c r="GE114" s="60">
        <f ca="1">AVERAGE(OFFSET($GD$3,0,0,'Données projet'!$E$17+1,1))-AVERAGE(OFFSET($H$3,0,0,'Données projet'!$E$17+1,1))</f>
        <v>268.19959446602911</v>
      </c>
      <c r="GF114" s="60">
        <f t="shared" si="104"/>
        <v>691.2533336811855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28.901046931251965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28.901046931251965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1.1368683772161603E-13</v>
      </c>
      <c r="GV114" s="18">
        <f>GU114*VLOOKUP('Données projet'!$B$18,Paramètres!$A$1:$I$89,3,0)*VLOOKUP('Données projet'!$B$18,Paramètres!$A$1:$I$89,5,0)</f>
        <v>8.8675733422860506E-14</v>
      </c>
      <c r="GW114" s="14">
        <f t="shared" si="105"/>
        <v>1.3509285393066301E-12</v>
      </c>
      <c r="GX114" s="22">
        <f t="shared" si="82"/>
        <v>2.5073107750038623E-12</v>
      </c>
      <c r="GY114" s="60">
        <f t="shared" si="83"/>
        <v>293.33333333333582</v>
      </c>
      <c r="GZ114" s="60">
        <f ca="1">AVERAGE(OFFSET($GY$3,0,0,'Données projet'!$E$18+1,1))-AVERAGE(OFFSET($H$3,0,0,'Données projet'!$E$18+1,1))</f>
        <v>292.57482726862594</v>
      </c>
      <c r="HA114" s="60">
        <f t="shared" si="106"/>
        <v>283.48738729114024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399.92909819003523</v>
      </c>
      <c r="T115" s="60">
        <f t="shared" si="88"/>
        <v>163.7053537268381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-5.6843418860808015E-13</v>
      </c>
      <c r="AJ115" s="14">
        <f>AI115*VLOOKUP('Données projet'!$B$10,Paramètres!$A$1:$I$89,3,0)*VLOOKUP('Données projet'!$B$10,Paramètres!$A$1:$I$89,5,0)</f>
        <v>-3.39923644787632E-13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455.43477166687273</v>
      </c>
      <c r="AO115" s="60">
        <f t="shared" si="90"/>
        <v>312.81310692672895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291.99999999999972</v>
      </c>
      <c r="BE115" s="14">
        <f>BD115*VLOOKUP('Données projet'!$B$11,Paramètres!$A$1:$I$89,3,0)*VLOOKUP('Données projet'!$B$11,Paramètres!$A$1:$I$89,5,0)</f>
        <v>264.2015999999997</v>
      </c>
      <c r="BF115" s="14">
        <f t="shared" si="91"/>
        <v>63.617151975096711</v>
      </c>
      <c r="BG115" s="22">
        <f t="shared" si="61"/>
        <v>570.95099302329288</v>
      </c>
      <c r="BH115" s="60">
        <f t="shared" si="62"/>
        <v>864.28432635662625</v>
      </c>
      <c r="BI115" s="60">
        <f ca="1">AVERAGE(OFFSET($BH$3,0,0,'Données projet'!$E$11+1,1))-AVERAGE(OFFSET($H$3,0,0,'Données projet'!$E$11+1,1))</f>
        <v>430.11660085503223</v>
      </c>
      <c r="BJ115" s="60">
        <f t="shared" si="92"/>
        <v>231.36959598460686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</v>
      </c>
      <c r="BY115" s="13">
        <f>IF('Données projet'!$A$114&gt;35,BY114+BX115-CG114,IF(A115&lt;'Données projet'!$A$114,$BV$205^A115,IF(A115='Données projet'!$A$114,'Données projet'!$B$114,BY114+BX115-CG114)))</f>
        <v>291.99999999999972</v>
      </c>
      <c r="BZ115" s="14">
        <f>BY115*VLOOKUP('Données projet'!$B$12,Paramètres!$A$1:$I$89,3,0)*VLOOKUP('Données projet'!$B$12,Paramètres!$A$1:$I$89,5,0)</f>
        <v>296.08799999999974</v>
      </c>
      <c r="CA115" s="14">
        <f t="shared" si="93"/>
        <v>70.35573257182898</v>
      </c>
      <c r="CB115" s="22">
        <f t="shared" si="64"/>
        <v>638.2228342292683</v>
      </c>
      <c r="CC115" s="60">
        <f t="shared" si="65"/>
        <v>931.55616756260156</v>
      </c>
      <c r="CD115" s="60">
        <f ca="1">AVERAGE(OFFSET($CC$3,0,0,'Données projet'!$E$12+1,1))-AVERAGE(OFFSET($H$3,0,0,'Données projet'!$E$12+1,1))</f>
        <v>476.8965664931755</v>
      </c>
      <c r="CE115" s="60">
        <f t="shared" si="94"/>
        <v>254.25036207346591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</v>
      </c>
      <c r="CT115" s="13">
        <f>IF('Données projet'!$A$140&gt;35,CT114+CS115-DB114,IF(A115&lt;'Données projet'!$A$140,$CQ$205^A115,IF(A115='Données projet'!$A$140,'Données projet'!$B$140,CT114+CS115-DB114)))</f>
        <v>291.99999999999972</v>
      </c>
      <c r="CU115" s="18">
        <f>CT115*VLOOKUP('Données projet'!$B$13,Paramètres!$A$1:$I$89,3,0)*VLOOKUP('Données projet'!$B$13,Paramètres!$A$1:$I$89,5,0)</f>
        <v>282.42239999999975</v>
      </c>
      <c r="CV115" s="14">
        <f t="shared" si="95"/>
        <v>67.478674703106122</v>
      </c>
      <c r="CW115" s="22">
        <f t="shared" si="67"/>
        <v>609.41103844124279</v>
      </c>
      <c r="CX115" s="60">
        <f t="shared" si="68"/>
        <v>902.74437177457617</v>
      </c>
      <c r="CY115" s="60">
        <f ca="1">AVERAGE(OFFSET($CX$3,0,0,'Données projet'!$E$13+1,1))-AVERAGE(OFFSET($H$3,0,0,'Données projet'!$E$13+1,1))</f>
        <v>456.86147223520601</v>
      </c>
      <c r="CZ115" s="60">
        <f t="shared" si="96"/>
        <v>244.45149244446094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2.5</v>
      </c>
      <c r="DO115" s="13">
        <f>IF('Données projet'!$A$166&gt;35,DO114+DN115-DW114,IF(A115&lt;'Données projet'!$A$166,$DL$205^A115,IF(A115='Données projet'!$A$166,'Données projet'!$B$166,DO114+DN115-DW114)))</f>
        <v>197.94871794871821</v>
      </c>
      <c r="DP115" s="18">
        <f>DO115*VLOOKUP('Données projet'!$B$14,Paramètres!$A$1:$I$89,3,0)*VLOOKUP('Données projet'!$B$14,Paramètres!$A$1:$I$89,5,0)</f>
        <v>188.36800000000025</v>
      </c>
      <c r="DQ115" s="14">
        <f t="shared" si="97"/>
        <v>47.178959870939018</v>
      </c>
      <c r="DR115" s="22">
        <f t="shared" si="70"/>
        <v>410.24428844188589</v>
      </c>
      <c r="DS115" s="60">
        <f t="shared" si="71"/>
        <v>703.5776217752192</v>
      </c>
      <c r="DT115" s="60">
        <f ca="1">AVERAGE(OFFSET($DS$3,0,0,'Données projet'!$E$14+1,1))-AVERAGE(OFFSET($H$3,0,0,'Données projet'!$E$14+1,1))</f>
        <v>300.36889324671682</v>
      </c>
      <c r="DU115" s="60">
        <f t="shared" si="98"/>
        <v>214.36051699039683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-4.9658410716801891E-14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202.46844517174412</v>
      </c>
      <c r="EP115" s="60">
        <f t="shared" si="100"/>
        <v>185.00219255324515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7.626113074366004E-14</v>
      </c>
      <c r="FG115" s="14">
        <f t="shared" si="101"/>
        <v>1.1823749172251317E-12</v>
      </c>
      <c r="FH115" s="22">
        <f t="shared" si="76"/>
        <v>2.1921244502123119E-12</v>
      </c>
      <c r="FI115" s="60">
        <f t="shared" si="77"/>
        <v>293.33333333333553</v>
      </c>
      <c r="FJ115" s="60">
        <f ca="1">AVERAGE(OFFSET($FI$3,0,0,'Données projet'!$E$16+1,1))-AVERAGE(OFFSET($H$3,0,0,'Données projet'!$E$16+1,1))</f>
        <v>344.87493856469382</v>
      </c>
      <c r="FK115" s="60">
        <f t="shared" si="102"/>
        <v>261.91036689641402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0" t="e">
        <f t="shared" si="80"/>
        <v>#NUM!</v>
      </c>
      <c r="GE115" s="60">
        <f ca="1">AVERAGE(OFFSET($GD$3,0,0,'Données projet'!$E$17+1,1))-AVERAGE(OFFSET($H$3,0,0,'Données projet'!$E$17+1,1))</f>
        <v>268.19959446602911</v>
      </c>
      <c r="GF115" s="60">
        <f t="shared" si="104"/>
        <v>691.2533336811855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28.334315028828133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28.334315028828133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1.1368683772161603E-13</v>
      </c>
      <c r="GV115" s="18">
        <f>GU115*VLOOKUP('Données projet'!$B$18,Paramètres!$A$1:$I$89,3,0)*VLOOKUP('Données projet'!$B$18,Paramètres!$A$1:$I$89,5,0)</f>
        <v>8.8675733422860506E-14</v>
      </c>
      <c r="GW115" s="14">
        <f t="shared" si="105"/>
        <v>1.3509285393066301E-12</v>
      </c>
      <c r="GX115" s="22">
        <f t="shared" si="82"/>
        <v>2.5073107750038623E-12</v>
      </c>
      <c r="GY115" s="60">
        <f t="shared" si="83"/>
        <v>293.33333333333582</v>
      </c>
      <c r="GZ115" s="60">
        <f ca="1">AVERAGE(OFFSET($GY$3,0,0,'Données projet'!$E$18+1,1))-AVERAGE(OFFSET($H$3,0,0,'Données projet'!$E$18+1,1))</f>
        <v>292.57482726862594</v>
      </c>
      <c r="HA115" s="60">
        <f t="shared" si="106"/>
        <v>283.48738729114024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399.92909819003523</v>
      </c>
      <c r="T116" s="60">
        <f t="shared" si="88"/>
        <v>163.7053537268381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-5.6843418860808015E-13</v>
      </c>
      <c r="AJ116" s="14">
        <f>AI116*VLOOKUP('Données projet'!$B$10,Paramètres!$A$1:$I$89,3,0)*VLOOKUP('Données projet'!$B$10,Paramètres!$A$1:$I$89,5,0)</f>
        <v>-3.39923644787632E-13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455.43477166687273</v>
      </c>
      <c r="AO116" s="60">
        <f t="shared" si="90"/>
        <v>312.81310692672895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295.99999999999972</v>
      </c>
      <c r="BE116" s="14">
        <f>BD116*VLOOKUP('Données projet'!$B$11,Paramètres!$A$1:$I$89,3,0)*VLOOKUP('Données projet'!$B$11,Paramètres!$A$1:$I$89,5,0)</f>
        <v>267.82079999999974</v>
      </c>
      <c r="BF116" s="14">
        <f t="shared" si="91"/>
        <v>64.386570147897245</v>
      </c>
      <c r="BG116" s="22">
        <f t="shared" si="61"/>
        <v>578.59450300758726</v>
      </c>
      <c r="BH116" s="60">
        <f t="shared" si="62"/>
        <v>871.92783634092052</v>
      </c>
      <c r="BI116" s="60">
        <f ca="1">AVERAGE(OFFSET($BH$3,0,0,'Données projet'!$E$11+1,1))-AVERAGE(OFFSET($H$3,0,0,'Données projet'!$E$11+1,1))</f>
        <v>430.11660085503223</v>
      </c>
      <c r="BJ116" s="60">
        <f t="shared" si="92"/>
        <v>231.36959598460686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</v>
      </c>
      <c r="BY116" s="13">
        <f>IF('Données projet'!$A$114&gt;35,BY115+BX116-CG115,IF(A116&lt;'Données projet'!$A$114,$BV$205^A116,IF(A116='Données projet'!$A$114,'Données projet'!$B$114,BY115+BX116-CG115)))</f>
        <v>295.99999999999972</v>
      </c>
      <c r="BZ116" s="14">
        <f>BY116*VLOOKUP('Données projet'!$B$12,Paramètres!$A$1:$I$89,3,0)*VLOOKUP('Données projet'!$B$12,Paramètres!$A$1:$I$89,5,0)</f>
        <v>300.14399999999978</v>
      </c>
      <c r="CA116" s="14">
        <f t="shared" si="93"/>
        <v>71.206650563609855</v>
      </c>
      <c r="CB116" s="22">
        <f t="shared" si="64"/>
        <v>646.76904973162016</v>
      </c>
      <c r="CC116" s="60">
        <f t="shared" si="65"/>
        <v>940.10238306495353</v>
      </c>
      <c r="CD116" s="60">
        <f ca="1">AVERAGE(OFFSET($CC$3,0,0,'Données projet'!$E$12+1,1))-AVERAGE(OFFSET($H$3,0,0,'Données projet'!$E$12+1,1))</f>
        <v>476.8965664931755</v>
      </c>
      <c r="CE116" s="60">
        <f t="shared" si="94"/>
        <v>254.25036207346591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</v>
      </c>
      <c r="CT116" s="13">
        <f>IF('Données projet'!$A$140&gt;35,CT115+CS116-DB115,IF(A116&lt;'Données projet'!$A$140,$CQ$205^A116,IF(A116='Données projet'!$A$140,'Données projet'!$B$140,CT115+CS116-DB115)))</f>
        <v>295.99999999999972</v>
      </c>
      <c r="CU116" s="18">
        <f>CT116*VLOOKUP('Données projet'!$B$13,Paramètres!$A$1:$I$89,3,0)*VLOOKUP('Données projet'!$B$13,Paramètres!$A$1:$I$89,5,0)</f>
        <v>286.29119999999972</v>
      </c>
      <c r="CV116" s="14">
        <f t="shared" si="95"/>
        <v>68.294796094604337</v>
      </c>
      <c r="CW116" s="22">
        <f t="shared" si="67"/>
        <v>617.5706098647687</v>
      </c>
      <c r="CX116" s="60">
        <f t="shared" si="68"/>
        <v>910.90394319810207</v>
      </c>
      <c r="CY116" s="60">
        <f ca="1">AVERAGE(OFFSET($CX$3,0,0,'Données projet'!$E$13+1,1))-AVERAGE(OFFSET($H$3,0,0,'Données projet'!$E$13+1,1))</f>
        <v>456.86147223520601</v>
      </c>
      <c r="CZ116" s="60">
        <f t="shared" si="96"/>
        <v>244.45149244446094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2.5</v>
      </c>
      <c r="DO116" s="13">
        <f>IF('Données projet'!$A$166&gt;35,DO115+DN116-DW115,IF(A116&lt;'Données projet'!$A$166,$DL$205^A116,IF(A116='Données projet'!$A$166,'Données projet'!$B$166,DO115+DN116-DW115)))</f>
        <v>200.44871794871821</v>
      </c>
      <c r="DP116" s="18">
        <f>DO116*VLOOKUP('Données projet'!$B$14,Paramètres!$A$1:$I$89,3,0)*VLOOKUP('Données projet'!$B$14,Paramètres!$A$1:$I$89,5,0)</f>
        <v>190.74700000000024</v>
      </c>
      <c r="DQ116" s="14">
        <f t="shared" si="97"/>
        <v>47.705066210810664</v>
      </c>
      <c r="DR116" s="22">
        <f t="shared" si="70"/>
        <v>415.30401531716234</v>
      </c>
      <c r="DS116" s="60">
        <f t="shared" si="71"/>
        <v>708.6373486504956</v>
      </c>
      <c r="DT116" s="60">
        <f ca="1">AVERAGE(OFFSET($DS$3,0,0,'Données projet'!$E$14+1,1))-AVERAGE(OFFSET($H$3,0,0,'Données projet'!$E$14+1,1))</f>
        <v>300.36889324671682</v>
      </c>
      <c r="DU116" s="60">
        <f t="shared" si="98"/>
        <v>214.36051699039683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-4.9658410716801891E-14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202.46844517174412</v>
      </c>
      <c r="EP116" s="60">
        <f t="shared" si="100"/>
        <v>185.00219255324515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7.626113074366004E-14</v>
      </c>
      <c r="FG116" s="14">
        <f t="shared" si="101"/>
        <v>1.1823749172251317E-12</v>
      </c>
      <c r="FH116" s="22">
        <f t="shared" si="76"/>
        <v>2.1921244502123119E-12</v>
      </c>
      <c r="FI116" s="60">
        <f t="shared" si="77"/>
        <v>293.33333333333553</v>
      </c>
      <c r="FJ116" s="60">
        <f ca="1">AVERAGE(OFFSET($FI$3,0,0,'Données projet'!$E$16+1,1))-AVERAGE(OFFSET($H$3,0,0,'Données projet'!$E$16+1,1))</f>
        <v>344.87493856469382</v>
      </c>
      <c r="FK116" s="60">
        <f t="shared" si="102"/>
        <v>261.91036689641402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0" t="e">
        <f t="shared" si="80"/>
        <v>#NUM!</v>
      </c>
      <c r="GE116" s="60">
        <f ca="1">AVERAGE(OFFSET($GD$3,0,0,'Données projet'!$E$17+1,1))-AVERAGE(OFFSET($H$3,0,0,'Données projet'!$E$17+1,1))</f>
        <v>268.19959446602911</v>
      </c>
      <c r="GF116" s="60">
        <f t="shared" si="104"/>
        <v>691.2533336811855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27.778696393338503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27.778696393338503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1.1368683772161603E-13</v>
      </c>
      <c r="GV116" s="18">
        <f>GU116*VLOOKUP('Données projet'!$B$18,Paramètres!$A$1:$I$89,3,0)*VLOOKUP('Données projet'!$B$18,Paramètres!$A$1:$I$89,5,0)</f>
        <v>8.8675733422860506E-14</v>
      </c>
      <c r="GW116" s="14">
        <f t="shared" si="105"/>
        <v>1.3509285393066301E-12</v>
      </c>
      <c r="GX116" s="22">
        <f t="shared" si="82"/>
        <v>2.5073107750038623E-12</v>
      </c>
      <c r="GY116" s="60">
        <f t="shared" si="83"/>
        <v>293.33333333333582</v>
      </c>
      <c r="GZ116" s="60">
        <f ca="1">AVERAGE(OFFSET($GY$3,0,0,'Données projet'!$E$18+1,1))-AVERAGE(OFFSET($H$3,0,0,'Données projet'!$E$18+1,1))</f>
        <v>292.57482726862594</v>
      </c>
      <c r="HA116" s="60">
        <f t="shared" si="106"/>
        <v>283.48738729114024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399.92909819003523</v>
      </c>
      <c r="T117" s="60">
        <f t="shared" si="88"/>
        <v>163.7053537268381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-5.6843418860808015E-13</v>
      </c>
      <c r="AJ117" s="14">
        <f>AI117*VLOOKUP('Données projet'!$B$10,Paramètres!$A$1:$I$89,3,0)*VLOOKUP('Données projet'!$B$10,Paramètres!$A$1:$I$89,5,0)</f>
        <v>-3.39923644787632E-13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455.43477166687273</v>
      </c>
      <c r="AO117" s="60">
        <f t="shared" si="90"/>
        <v>312.81310692672895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299.99999999999972</v>
      </c>
      <c r="BE117" s="14">
        <f>BD117*VLOOKUP('Données projet'!$B$11,Paramètres!$A$1:$I$89,3,0)*VLOOKUP('Données projet'!$B$11,Paramètres!$A$1:$I$89,5,0)</f>
        <v>271.43999999999977</v>
      </c>
      <c r="BF117" s="14">
        <f t="shared" si="91"/>
        <v>65.154778959151116</v>
      </c>
      <c r="BG117" s="22">
        <f t="shared" si="61"/>
        <v>586.23590668718782</v>
      </c>
      <c r="BH117" s="60">
        <f t="shared" si="62"/>
        <v>879.56924002052119</v>
      </c>
      <c r="BI117" s="60">
        <f ca="1">AVERAGE(OFFSET($BH$3,0,0,'Données projet'!$E$11+1,1))-AVERAGE(OFFSET($H$3,0,0,'Données projet'!$E$11+1,1))</f>
        <v>430.11660085503223</v>
      </c>
      <c r="BJ117" s="60">
        <f t="shared" si="92"/>
        <v>231.36959598460686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</v>
      </c>
      <c r="BY117" s="13">
        <f>IF('Données projet'!$A$114&gt;35,BY116+BX117-CG116,IF(A117&lt;'Données projet'!$A$114,$BV$205^A117,IF(A117='Données projet'!$A$114,'Données projet'!$B$114,BY116+BX117-CG116)))</f>
        <v>299.99999999999972</v>
      </c>
      <c r="BZ117" s="14">
        <f>BY117*VLOOKUP('Données projet'!$B$12,Paramètres!$A$1:$I$89,3,0)*VLOOKUP('Données projet'!$B$12,Paramètres!$A$1:$I$89,5,0)</f>
        <v>304.19999999999976</v>
      </c>
      <c r="CA117" s="14">
        <f t="shared" si="93"/>
        <v>72.056231093481074</v>
      </c>
      <c r="CB117" s="22">
        <f t="shared" si="64"/>
        <v>655.31293582114574</v>
      </c>
      <c r="CC117" s="60">
        <f t="shared" si="65"/>
        <v>948.64626915447911</v>
      </c>
      <c r="CD117" s="60">
        <f ca="1">AVERAGE(OFFSET($CC$3,0,0,'Données projet'!$E$12+1,1))-AVERAGE(OFFSET($H$3,0,0,'Données projet'!$E$12+1,1))</f>
        <v>476.8965664931755</v>
      </c>
      <c r="CE117" s="60">
        <f t="shared" si="94"/>
        <v>254.25036207346591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</v>
      </c>
      <c r="CT117" s="13">
        <f>IF('Données projet'!$A$140&gt;35,CT116+CS117-DB116,IF(A117&lt;'Données projet'!$A$140,$CQ$205^A117,IF(A117='Données projet'!$A$140,'Données projet'!$B$140,CT116+CS117-DB116)))</f>
        <v>299.99999999999972</v>
      </c>
      <c r="CU117" s="18">
        <f>CT117*VLOOKUP('Données projet'!$B$13,Paramètres!$A$1:$I$89,3,0)*VLOOKUP('Données projet'!$B$13,Paramètres!$A$1:$I$89,5,0)</f>
        <v>290.15999999999974</v>
      </c>
      <c r="CV117" s="14">
        <f t="shared" si="95"/>
        <v>69.109634717039867</v>
      </c>
      <c r="CW117" s="22">
        <f t="shared" si="67"/>
        <v>625.72794713217729</v>
      </c>
      <c r="CX117" s="60">
        <f t="shared" si="68"/>
        <v>919.06128046551066</v>
      </c>
      <c r="CY117" s="60">
        <f ca="1">AVERAGE(OFFSET($CX$3,0,0,'Données projet'!$E$13+1,1))-AVERAGE(OFFSET($H$3,0,0,'Données projet'!$E$13+1,1))</f>
        <v>456.86147223520601</v>
      </c>
      <c r="CZ117" s="60">
        <f t="shared" si="96"/>
        <v>244.45149244446094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2.5</v>
      </c>
      <c r="DO117" s="13">
        <f>IF('Données projet'!$A$166&gt;35,DO116+DN117-DW116,IF(A117&lt;'Données projet'!$A$166,$DL$205^A117,IF(A117='Données projet'!$A$166,'Données projet'!$B$166,DO116+DN117-DW116)))</f>
        <v>202.94871794871821</v>
      </c>
      <c r="DP117" s="18">
        <f>DO117*VLOOKUP('Données projet'!$B$14,Paramètres!$A$1:$I$89,3,0)*VLOOKUP('Données projet'!$B$14,Paramètres!$A$1:$I$89,5,0)</f>
        <v>193.12600000000026</v>
      </c>
      <c r="DQ117" s="14">
        <f t="shared" si="97"/>
        <v>48.230409312754084</v>
      </c>
      <c r="DR117" s="22">
        <f t="shared" si="70"/>
        <v>420.36241288638047</v>
      </c>
      <c r="DS117" s="60">
        <f t="shared" si="71"/>
        <v>713.69574621971378</v>
      </c>
      <c r="DT117" s="60">
        <f ca="1">AVERAGE(OFFSET($DS$3,0,0,'Données projet'!$E$14+1,1))-AVERAGE(OFFSET($H$3,0,0,'Données projet'!$E$14+1,1))</f>
        <v>300.36889324671682</v>
      </c>
      <c r="DU117" s="60">
        <f t="shared" si="98"/>
        <v>214.36051699039683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-4.9658410716801891E-14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202.46844517174412</v>
      </c>
      <c r="EP117" s="60">
        <f t="shared" si="100"/>
        <v>185.00219255324515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7.626113074366004E-14</v>
      </c>
      <c r="FG117" s="14">
        <f t="shared" si="101"/>
        <v>1.1823749172251317E-12</v>
      </c>
      <c r="FH117" s="22">
        <f t="shared" si="76"/>
        <v>2.1921244502123119E-12</v>
      </c>
      <c r="FI117" s="60">
        <f t="shared" si="77"/>
        <v>293.33333333333553</v>
      </c>
      <c r="FJ117" s="60">
        <f ca="1">AVERAGE(OFFSET($FI$3,0,0,'Données projet'!$E$16+1,1))-AVERAGE(OFFSET($H$3,0,0,'Données projet'!$E$16+1,1))</f>
        <v>344.87493856469382</v>
      </c>
      <c r="FK117" s="60">
        <f t="shared" si="102"/>
        <v>261.91036689641402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0" t="e">
        <f t="shared" si="80"/>
        <v>#NUM!</v>
      </c>
      <c r="GE117" s="60">
        <f ca="1">AVERAGE(OFFSET($GD$3,0,0,'Données projet'!$E$17+1,1))-AVERAGE(OFFSET($H$3,0,0,'Données projet'!$E$17+1,1))</f>
        <v>268.19959446602911</v>
      </c>
      <c r="GF117" s="60">
        <f t="shared" si="104"/>
        <v>691.2533336811855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27.23397310039692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27.23397310039692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1.1368683772161603E-13</v>
      </c>
      <c r="GV117" s="18">
        <f>GU117*VLOOKUP('Données projet'!$B$18,Paramètres!$A$1:$I$89,3,0)*VLOOKUP('Données projet'!$B$18,Paramètres!$A$1:$I$89,5,0)</f>
        <v>8.8675733422860506E-14</v>
      </c>
      <c r="GW117" s="14">
        <f t="shared" si="105"/>
        <v>1.3509285393066301E-12</v>
      </c>
      <c r="GX117" s="22">
        <f t="shared" si="82"/>
        <v>2.5073107750038623E-12</v>
      </c>
      <c r="GY117" s="60">
        <f t="shared" si="83"/>
        <v>293.33333333333582</v>
      </c>
      <c r="GZ117" s="60">
        <f ca="1">AVERAGE(OFFSET($GY$3,0,0,'Données projet'!$E$18+1,1))-AVERAGE(OFFSET($H$3,0,0,'Données projet'!$E$18+1,1))</f>
        <v>292.57482726862594</v>
      </c>
      <c r="HA117" s="60">
        <f t="shared" si="106"/>
        <v>283.48738729114024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399.92909819003523</v>
      </c>
      <c r="T118" s="60">
        <f t="shared" si="88"/>
        <v>163.7053537268381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-5.6843418860808015E-13</v>
      </c>
      <c r="AJ118" s="14">
        <f>AI118*VLOOKUP('Données projet'!$B$10,Paramètres!$A$1:$I$89,3,0)*VLOOKUP('Données projet'!$B$10,Paramètres!$A$1:$I$89,5,0)</f>
        <v>-3.39923644787632E-13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455.43477166687273</v>
      </c>
      <c r="AO118" s="60">
        <f t="shared" si="90"/>
        <v>312.81310692672895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303.99999999999972</v>
      </c>
      <c r="BE118" s="14">
        <f>BD118*VLOOKUP('Données projet'!$B$11,Paramètres!$A$1:$I$89,3,0)*VLOOKUP('Données projet'!$B$11,Paramètres!$A$1:$I$89,5,0)</f>
        <v>275.05919999999975</v>
      </c>
      <c r="BF118" s="14">
        <f t="shared" si="91"/>
        <v>65.921796397718325</v>
      </c>
      <c r="BG118" s="22">
        <f t="shared" si="61"/>
        <v>593.87523539269228</v>
      </c>
      <c r="BH118" s="60">
        <f t="shared" si="62"/>
        <v>887.20856872602553</v>
      </c>
      <c r="BI118" s="60">
        <f ca="1">AVERAGE(OFFSET($BH$3,0,0,'Données projet'!$E$11+1,1))-AVERAGE(OFFSET($H$3,0,0,'Données projet'!$E$11+1,1))</f>
        <v>430.11660085503223</v>
      </c>
      <c r="BJ118" s="60">
        <f t="shared" si="92"/>
        <v>231.36959598460686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304</v>
      </c>
      <c r="BW118" s="13">
        <f>VLOOKUP(A118,'Données projet'!$A$113:$I$133,9,0)</f>
        <v>4</v>
      </c>
      <c r="BX118" s="13">
        <f t="array" ref="BX118">INDEX(BW:BW,MIN(IF(ISNUMBER(BW118:BW314),ROW(BW118:BW314),"")))</f>
        <v>4</v>
      </c>
      <c r="BY118" s="13">
        <f>IF('Données projet'!$A$114&gt;35,BY117+BX118-CG117,IF(A118&lt;'Données projet'!$A$114,$BV$205^A118,IF(A118='Données projet'!$A$114,'Données projet'!$B$114,BY117+BX118-CG117)))</f>
        <v>303.99999999999972</v>
      </c>
      <c r="BZ118" s="14">
        <f>BY118*VLOOKUP('Données projet'!$B$12,Paramètres!$A$1:$I$89,3,0)*VLOOKUP('Données projet'!$B$12,Paramètres!$A$1:$I$89,5,0)</f>
        <v>308.25599999999974</v>
      </c>
      <c r="CA118" s="14">
        <f t="shared" si="93"/>
        <v>72.904494055753887</v>
      </c>
      <c r="CB118" s="22">
        <f t="shared" si="64"/>
        <v>663.85452714710425</v>
      </c>
      <c r="CC118" s="60">
        <f t="shared" si="65"/>
        <v>957.18786048043762</v>
      </c>
      <c r="CD118" s="60">
        <f ca="1">AVERAGE(OFFSET($CC$3,0,0,'Données projet'!$E$12+1,1))-AVERAGE(OFFSET($H$3,0,0,'Données projet'!$E$12+1,1))</f>
        <v>476.8965664931755</v>
      </c>
      <c r="CE118" s="60">
        <f t="shared" si="94"/>
        <v>254.25036207346591</v>
      </c>
      <c r="CF118" s="16">
        <f>IF(ISNA(VLOOKUP(A118,'Données projet'!$A$113:$I$133,3,0)),0,VLOOKUP(A118,'Données projet'!$A$113:$I$133,3,0))</f>
        <v>10</v>
      </c>
      <c r="CG118" s="16">
        <f>IF(ISNA(VLOOKUP(A118,'Données projet'!$A$113:$I$133,4,0)),0,VLOOKUP(A118,'Données projet'!$A$113:$I$133,4,0))</f>
        <v>37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304</v>
      </c>
      <c r="CR118" s="13">
        <f>VLOOKUP(A118,'Données projet'!$A$139:$I$159,9,0)</f>
        <v>4</v>
      </c>
      <c r="CS118" s="13">
        <f t="array" ref="CS118">INDEX(CR:CR,MIN(IF(ISNUMBER(CR118:CR314),ROW(CR118:CR314),"")))</f>
        <v>4</v>
      </c>
      <c r="CT118" s="13">
        <f>IF('Données projet'!$A$140&gt;35,CT117+CS118-DB117,IF(A118&lt;'Données projet'!$A$140,$CQ$205^A118,IF(A118='Données projet'!$A$140,'Données projet'!$B$140,CT117+CS118-DB117)))</f>
        <v>303.99999999999972</v>
      </c>
      <c r="CU118" s="18">
        <f>CT118*VLOOKUP('Données projet'!$B$13,Paramètres!$A$1:$I$89,3,0)*VLOOKUP('Données projet'!$B$13,Paramètres!$A$1:$I$89,5,0)</f>
        <v>294.02879999999971</v>
      </c>
      <c r="CV118" s="14">
        <f t="shared" si="95"/>
        <v>69.923209651185601</v>
      </c>
      <c r="CW118" s="22">
        <f t="shared" si="67"/>
        <v>633.88308347581449</v>
      </c>
      <c r="CX118" s="60">
        <f t="shared" si="68"/>
        <v>927.21641680914786</v>
      </c>
      <c r="CY118" s="60">
        <f ca="1">AVERAGE(OFFSET($CX$3,0,0,'Données projet'!$E$13+1,1))-AVERAGE(OFFSET($H$3,0,0,'Données projet'!$E$13+1,1))</f>
        <v>456.86147223520601</v>
      </c>
      <c r="CZ118" s="60">
        <f t="shared" si="96"/>
        <v>244.45149244446094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37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2.5</v>
      </c>
      <c r="DO118" s="13">
        <f>IF('Données projet'!$A$166&gt;35,DO117+DN118-DW117,IF(A118&lt;'Données projet'!$A$166,$DL$205^A118,IF(A118='Données projet'!$A$166,'Données projet'!$B$166,DO117+DN118-DW117)))</f>
        <v>205.44871794871821</v>
      </c>
      <c r="DP118" s="18">
        <f>DO118*VLOOKUP('Données projet'!$B$14,Paramètres!$A$1:$I$89,3,0)*VLOOKUP('Données projet'!$B$14,Paramètres!$A$1:$I$89,5,0)</f>
        <v>195.50500000000025</v>
      </c>
      <c r="DQ118" s="14">
        <f t="shared" si="97"/>
        <v>48.754999666014392</v>
      </c>
      <c r="DR118" s="22">
        <f t="shared" si="70"/>
        <v>425.41949941830882</v>
      </c>
      <c r="DS118" s="60">
        <f t="shared" si="71"/>
        <v>718.75283275164213</v>
      </c>
      <c r="DT118" s="60">
        <f ca="1">AVERAGE(OFFSET($DS$3,0,0,'Données projet'!$E$14+1,1))-AVERAGE(OFFSET($H$3,0,0,'Données projet'!$E$14+1,1))</f>
        <v>300.36889324671682</v>
      </c>
      <c r="DU118" s="60">
        <f t="shared" si="98"/>
        <v>214.36051699039683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-4.9658410716801891E-14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202.46844517174412</v>
      </c>
      <c r="EP118" s="60">
        <f t="shared" si="100"/>
        <v>185.00219255324515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7.626113074366004E-14</v>
      </c>
      <c r="FG118" s="14">
        <f t="shared" si="101"/>
        <v>1.1823749172251317E-12</v>
      </c>
      <c r="FH118" s="22">
        <f t="shared" si="76"/>
        <v>2.1921244502123119E-12</v>
      </c>
      <c r="FI118" s="60">
        <f t="shared" si="77"/>
        <v>293.33333333333553</v>
      </c>
      <c r="FJ118" s="60">
        <f ca="1">AVERAGE(OFFSET($FI$3,0,0,'Données projet'!$E$16+1,1))-AVERAGE(OFFSET($H$3,0,0,'Données projet'!$E$16+1,1))</f>
        <v>344.87493856469382</v>
      </c>
      <c r="FK118" s="60">
        <f t="shared" si="102"/>
        <v>261.91036689641402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0" t="e">
        <f t="shared" si="80"/>
        <v>#NUM!</v>
      </c>
      <c r="GE118" s="60">
        <f ca="1">AVERAGE(OFFSET($GD$3,0,0,'Données projet'!$E$17+1,1))-AVERAGE(OFFSET($H$3,0,0,'Données projet'!$E$17+1,1))</f>
        <v>268.19959446602911</v>
      </c>
      <c r="GF118" s="60">
        <f t="shared" si="104"/>
        <v>691.2533336811855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26.69993149898152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26.69993149898152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1.1368683772161603E-13</v>
      </c>
      <c r="GV118" s="18">
        <f>GU118*VLOOKUP('Données projet'!$B$18,Paramètres!$A$1:$I$89,3,0)*VLOOKUP('Données projet'!$B$18,Paramètres!$A$1:$I$89,5,0)</f>
        <v>8.8675733422860506E-14</v>
      </c>
      <c r="GW118" s="14">
        <f t="shared" si="105"/>
        <v>1.3509285393066301E-12</v>
      </c>
      <c r="GX118" s="22">
        <f t="shared" si="82"/>
        <v>2.5073107750038623E-12</v>
      </c>
      <c r="GY118" s="60">
        <f t="shared" si="83"/>
        <v>293.33333333333582</v>
      </c>
      <c r="GZ118" s="60">
        <f ca="1">AVERAGE(OFFSET($GY$3,0,0,'Données projet'!$E$18+1,1))-AVERAGE(OFFSET($H$3,0,0,'Données projet'!$E$18+1,1))</f>
        <v>292.57482726862594</v>
      </c>
      <c r="HA118" s="60">
        <f t="shared" si="106"/>
        <v>283.48738729114024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399.92909819003523</v>
      </c>
      <c r="T119" s="60">
        <f t="shared" si="88"/>
        <v>163.7053537268381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-5.6843418860808015E-13</v>
      </c>
      <c r="AJ119" s="14">
        <f>AI119*VLOOKUP('Données projet'!$B$10,Paramètres!$A$1:$I$89,3,0)*VLOOKUP('Données projet'!$B$10,Paramètres!$A$1:$I$89,5,0)</f>
        <v>-3.39923644787632E-13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455.43477166687273</v>
      </c>
      <c r="AO119" s="60">
        <f t="shared" si="90"/>
        <v>312.81310692672895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270.39999999999969</v>
      </c>
      <c r="BE119" s="14">
        <f>BD119*VLOOKUP('Données projet'!$B$11,Paramètres!$A$1:$I$89,3,0)*VLOOKUP('Données projet'!$B$11,Paramètres!$A$1:$I$89,5,0)</f>
        <v>244.65791999999973</v>
      </c>
      <c r="BF119" s="14">
        <f t="shared" si="91"/>
        <v>59.44058075210863</v>
      </c>
      <c r="BG119" s="22">
        <f t="shared" si="61"/>
        <v>529.63822214325535</v>
      </c>
      <c r="BH119" s="60">
        <f t="shared" si="62"/>
        <v>822.97155547658872</v>
      </c>
      <c r="BI119" s="60">
        <f ca="1">AVERAGE(OFFSET($BH$3,0,0,'Données projet'!$E$11+1,1))-AVERAGE(OFFSET($H$3,0,0,'Données projet'!$E$11+1,1))</f>
        <v>430.11660085503223</v>
      </c>
      <c r="BJ119" s="60">
        <f t="shared" si="92"/>
        <v>231.36959598460686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3.4</v>
      </c>
      <c r="BY119" s="13">
        <f>IF('Données projet'!$A$114&gt;35,BY118+BX119-CG118,IF(A119&lt;'Données projet'!$A$114,$BV$205^A119,IF(A119='Données projet'!$A$114,'Données projet'!$B$114,BY118+BX119-CG118)))</f>
        <v>270.39999999999969</v>
      </c>
      <c r="BZ119" s="14">
        <f>BY119*VLOOKUP('Données projet'!$B$12,Paramètres!$A$1:$I$89,3,0)*VLOOKUP('Données projet'!$B$12,Paramètres!$A$1:$I$89,5,0)</f>
        <v>274.18559999999974</v>
      </c>
      <c r="CA119" s="14">
        <f t="shared" si="93"/>
        <v>65.736762389907383</v>
      </c>
      <c r="CB119" s="22">
        <f t="shared" si="64"/>
        <v>592.03144782908828</v>
      </c>
      <c r="CC119" s="60">
        <f t="shared" si="65"/>
        <v>885.36478116242165</v>
      </c>
      <c r="CD119" s="60">
        <f ca="1">AVERAGE(OFFSET($CC$3,0,0,'Données projet'!$E$12+1,1))-AVERAGE(OFFSET($H$3,0,0,'Données projet'!$E$12+1,1))</f>
        <v>476.8965664931755</v>
      </c>
      <c r="CE119" s="60">
        <f t="shared" si="94"/>
        <v>254.25036207346591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</v>
      </c>
      <c r="CT119" s="13">
        <f>IF('Données projet'!$A$140&gt;35,CT118+CS119-DB118,IF(A119&lt;'Données projet'!$A$140,$CQ$205^A119,IF(A119='Données projet'!$A$140,'Données projet'!$B$140,CT118+CS119-DB118)))</f>
        <v>270.39999999999969</v>
      </c>
      <c r="CU119" s="18">
        <f>CT119*VLOOKUP('Données projet'!$B$13,Paramètres!$A$1:$I$89,3,0)*VLOOKUP('Données projet'!$B$13,Paramètres!$A$1:$I$89,5,0)</f>
        <v>261.53087999999968</v>
      </c>
      <c r="CV119" s="14">
        <f t="shared" si="95"/>
        <v>63.048588127701258</v>
      </c>
      <c r="CW119" s="22">
        <f t="shared" si="67"/>
        <v>565.30924032241239</v>
      </c>
      <c r="CX119" s="60">
        <f t="shared" si="68"/>
        <v>858.64257365574576</v>
      </c>
      <c r="CY119" s="60">
        <f ca="1">AVERAGE(OFFSET($CX$3,0,0,'Données projet'!$E$13+1,1))-AVERAGE(OFFSET($H$3,0,0,'Données projet'!$E$13+1,1))</f>
        <v>456.86147223520601</v>
      </c>
      <c r="CZ119" s="60">
        <f t="shared" si="96"/>
        <v>244.45149244446094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2.5</v>
      </c>
      <c r="DO119" s="13">
        <f>IF('Données projet'!$A$166&gt;35,DO118+DN119-DW118,IF(A119&lt;'Données projet'!$A$166,$DL$205^A119,IF(A119='Données projet'!$A$166,'Données projet'!$B$166,DO118+DN119-DW118)))</f>
        <v>207.94871794871821</v>
      </c>
      <c r="DP119" s="18">
        <f>DO119*VLOOKUP('Données projet'!$B$14,Paramètres!$A$1:$I$89,3,0)*VLOOKUP('Données projet'!$B$14,Paramètres!$A$1:$I$89,5,0)</f>
        <v>197.88400000000024</v>
      </c>
      <c r="DQ119" s="14">
        <f t="shared" si="97"/>
        <v>49.278847489874579</v>
      </c>
      <c r="DR119" s="22">
        <f t="shared" si="70"/>
        <v>430.47529271153195</v>
      </c>
      <c r="DS119" s="60">
        <f t="shared" si="71"/>
        <v>723.80862604486526</v>
      </c>
      <c r="DT119" s="60">
        <f ca="1">AVERAGE(OFFSET($DS$3,0,0,'Données projet'!$E$14+1,1))-AVERAGE(OFFSET($H$3,0,0,'Données projet'!$E$14+1,1))</f>
        <v>300.36889324671682</v>
      </c>
      <c r="DU119" s="60">
        <f t="shared" si="98"/>
        <v>214.36051699039683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-4.9658410716801891E-14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202.46844517174412</v>
      </c>
      <c r="EP119" s="60">
        <f t="shared" si="100"/>
        <v>185.00219255324515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7.626113074366004E-14</v>
      </c>
      <c r="FG119" s="14">
        <f t="shared" si="101"/>
        <v>1.1823749172251317E-12</v>
      </c>
      <c r="FH119" s="22">
        <f t="shared" si="76"/>
        <v>2.1921244502123119E-12</v>
      </c>
      <c r="FI119" s="60">
        <f t="shared" si="77"/>
        <v>293.33333333333553</v>
      </c>
      <c r="FJ119" s="60">
        <f ca="1">AVERAGE(OFFSET($FI$3,0,0,'Données projet'!$E$16+1,1))-AVERAGE(OFFSET($H$3,0,0,'Données projet'!$E$16+1,1))</f>
        <v>344.87493856469382</v>
      </c>
      <c r="FK119" s="60">
        <f t="shared" si="102"/>
        <v>261.91036689641402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0" t="e">
        <f t="shared" si="80"/>
        <v>#NUM!</v>
      </c>
      <c r="GE119" s="60">
        <f ca="1">AVERAGE(OFFSET($GD$3,0,0,'Données projet'!$E$17+1,1))-AVERAGE(OFFSET($H$3,0,0,'Données projet'!$E$17+1,1))</f>
        <v>268.19959446602911</v>
      </c>
      <c r="GF119" s="60">
        <f t="shared" si="104"/>
        <v>691.2533336811855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26.176362127636661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26.176362127636661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1.1368683772161603E-13</v>
      </c>
      <c r="GV119" s="18">
        <f>GU119*VLOOKUP('Données projet'!$B$18,Paramètres!$A$1:$I$89,3,0)*VLOOKUP('Données projet'!$B$18,Paramètres!$A$1:$I$89,5,0)</f>
        <v>8.8675733422860506E-14</v>
      </c>
      <c r="GW119" s="14">
        <f t="shared" si="105"/>
        <v>1.3509285393066301E-12</v>
      </c>
      <c r="GX119" s="22">
        <f t="shared" si="82"/>
        <v>2.5073107750038623E-12</v>
      </c>
      <c r="GY119" s="60">
        <f t="shared" si="83"/>
        <v>293.33333333333582</v>
      </c>
      <c r="GZ119" s="60">
        <f ca="1">AVERAGE(OFFSET($GY$3,0,0,'Données projet'!$E$18+1,1))-AVERAGE(OFFSET($H$3,0,0,'Données projet'!$E$18+1,1))</f>
        <v>292.57482726862594</v>
      </c>
      <c r="HA119" s="60">
        <f t="shared" si="106"/>
        <v>283.48738729114024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399.92909819003523</v>
      </c>
      <c r="T120" s="60">
        <f t="shared" si="88"/>
        <v>163.7053537268381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-5.6843418860808015E-13</v>
      </c>
      <c r="AJ120" s="14">
        <f>AI120*VLOOKUP('Données projet'!$B$10,Paramètres!$A$1:$I$89,3,0)*VLOOKUP('Données projet'!$B$10,Paramètres!$A$1:$I$89,5,0)</f>
        <v>-3.39923644787632E-13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455.43477166687273</v>
      </c>
      <c r="AO120" s="60">
        <f t="shared" si="90"/>
        <v>312.81310692672895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273.79999999999967</v>
      </c>
      <c r="BE120" s="14">
        <f>BD120*VLOOKUP('Données projet'!$B$11,Paramètres!$A$1:$I$89,3,0)*VLOOKUP('Données projet'!$B$11,Paramètres!$A$1:$I$89,5,0)</f>
        <v>247.73423999999969</v>
      </c>
      <c r="BF120" s="14">
        <f t="shared" si="91"/>
        <v>60.10050566569506</v>
      </c>
      <c r="BG120" s="22">
        <f t="shared" si="61"/>
        <v>536.14551536775173</v>
      </c>
      <c r="BH120" s="60">
        <f t="shared" si="62"/>
        <v>829.4788487010851</v>
      </c>
      <c r="BI120" s="60">
        <f ca="1">AVERAGE(OFFSET($BH$3,0,0,'Données projet'!$E$11+1,1))-AVERAGE(OFFSET($H$3,0,0,'Données projet'!$E$11+1,1))</f>
        <v>430.11660085503223</v>
      </c>
      <c r="BJ120" s="60">
        <f t="shared" si="92"/>
        <v>231.36959598460686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3.4</v>
      </c>
      <c r="BY120" s="13">
        <f>IF('Données projet'!$A$114&gt;35,BY119+BX120-CG119,IF(A120&lt;'Données projet'!$A$114,$BV$205^A120,IF(A120='Données projet'!$A$114,'Données projet'!$B$114,BY119+BX120-CG119)))</f>
        <v>273.79999999999967</v>
      </c>
      <c r="BZ120" s="14">
        <f>BY120*VLOOKUP('Données projet'!$B$12,Paramètres!$A$1:$I$89,3,0)*VLOOKUP('Données projet'!$B$12,Paramètres!$A$1:$I$89,5,0)</f>
        <v>277.6331999999997</v>
      </c>
      <c r="CA120" s="14">
        <f t="shared" si="93"/>
        <v>66.466589162975581</v>
      </c>
      <c r="CB120" s="22">
        <f t="shared" si="64"/>
        <v>599.30713279218196</v>
      </c>
      <c r="CC120" s="60">
        <f t="shared" si="65"/>
        <v>892.64046612551533</v>
      </c>
      <c r="CD120" s="60">
        <f ca="1">AVERAGE(OFFSET($CC$3,0,0,'Données projet'!$E$12+1,1))-AVERAGE(OFFSET($H$3,0,0,'Données projet'!$E$12+1,1))</f>
        <v>476.8965664931755</v>
      </c>
      <c r="CE120" s="60">
        <f t="shared" si="94"/>
        <v>254.25036207346591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</v>
      </c>
      <c r="CT120" s="13">
        <f>IF('Données projet'!$A$140&gt;35,CT119+CS120-DB119,IF(A120&lt;'Données projet'!$A$140,$CQ$205^A120,IF(A120='Données projet'!$A$140,'Données projet'!$B$140,CT119+CS120-DB119)))</f>
        <v>273.79999999999967</v>
      </c>
      <c r="CU120" s="18">
        <f>CT120*VLOOKUP('Données projet'!$B$13,Paramètres!$A$1:$I$89,3,0)*VLOOKUP('Données projet'!$B$13,Paramètres!$A$1:$I$89,5,0)</f>
        <v>264.81935999999968</v>
      </c>
      <c r="CV120" s="14">
        <f t="shared" si="95"/>
        <v>63.748570085237006</v>
      </c>
      <c r="CW120" s="22">
        <f t="shared" si="67"/>
        <v>572.25581156512055</v>
      </c>
      <c r="CX120" s="60">
        <f t="shared" si="68"/>
        <v>865.58914489845392</v>
      </c>
      <c r="CY120" s="60">
        <f ca="1">AVERAGE(OFFSET($CX$3,0,0,'Données projet'!$E$13+1,1))-AVERAGE(OFFSET($H$3,0,0,'Données projet'!$E$13+1,1))</f>
        <v>456.86147223520601</v>
      </c>
      <c r="CZ120" s="60">
        <f t="shared" si="96"/>
        <v>244.45149244446094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2.5</v>
      </c>
      <c r="DO120" s="13">
        <f>IF('Données projet'!$A$166&gt;35,DO119+DN120-DW119,IF(A120&lt;'Données projet'!$A$166,$DL$205^A120,IF(A120='Données projet'!$A$166,'Données projet'!$B$166,DO119+DN120-DW119)))</f>
        <v>210.44871794871821</v>
      </c>
      <c r="DP120" s="18">
        <f>DO120*VLOOKUP('Données projet'!$B$14,Paramètres!$A$1:$I$89,3,0)*VLOOKUP('Données projet'!$B$14,Paramètres!$A$1:$I$89,5,0)</f>
        <v>200.26300000000026</v>
      </c>
      <c r="DQ120" s="14">
        <f t="shared" si="97"/>
        <v>49.801962743763724</v>
      </c>
      <c r="DR120" s="22">
        <f t="shared" si="70"/>
        <v>435.5298101120556</v>
      </c>
      <c r="DS120" s="60">
        <f t="shared" si="71"/>
        <v>728.86314344538891</v>
      </c>
      <c r="DT120" s="60">
        <f ca="1">AVERAGE(OFFSET($DS$3,0,0,'Données projet'!$E$14+1,1))-AVERAGE(OFFSET($H$3,0,0,'Données projet'!$E$14+1,1))</f>
        <v>300.36889324671682</v>
      </c>
      <c r="DU120" s="60">
        <f t="shared" si="98"/>
        <v>214.36051699039683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-4.9658410716801891E-14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202.46844517174412</v>
      </c>
      <c r="EP120" s="60">
        <f t="shared" si="100"/>
        <v>185.00219255324515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7.626113074366004E-14</v>
      </c>
      <c r="FG120" s="14">
        <f t="shared" si="101"/>
        <v>1.1823749172251317E-12</v>
      </c>
      <c r="FH120" s="22">
        <f t="shared" si="76"/>
        <v>2.1921244502123119E-12</v>
      </c>
      <c r="FI120" s="60">
        <f t="shared" si="77"/>
        <v>293.33333333333553</v>
      </c>
      <c r="FJ120" s="60">
        <f ca="1">AVERAGE(OFFSET($FI$3,0,0,'Données projet'!$E$16+1,1))-AVERAGE(OFFSET($H$3,0,0,'Données projet'!$E$16+1,1))</f>
        <v>344.87493856469382</v>
      </c>
      <c r="FK120" s="60">
        <f t="shared" si="102"/>
        <v>261.91036689641402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0" t="e">
        <f t="shared" si="80"/>
        <v>#NUM!</v>
      </c>
      <c r="GE120" s="60">
        <f ca="1">AVERAGE(OFFSET($GD$3,0,0,'Données projet'!$E$17+1,1))-AVERAGE(OFFSET($H$3,0,0,'Données projet'!$E$17+1,1))</f>
        <v>268.19959446602911</v>
      </c>
      <c r="GF120" s="60">
        <f t="shared" si="104"/>
        <v>691.2533336811855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25.663059632318092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25.663059632318092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1.1368683772161603E-13</v>
      </c>
      <c r="GV120" s="18">
        <f>GU120*VLOOKUP('Données projet'!$B$18,Paramètres!$A$1:$I$89,3,0)*VLOOKUP('Données projet'!$B$18,Paramètres!$A$1:$I$89,5,0)</f>
        <v>8.8675733422860506E-14</v>
      </c>
      <c r="GW120" s="14">
        <f t="shared" si="105"/>
        <v>1.3509285393066301E-12</v>
      </c>
      <c r="GX120" s="22">
        <f t="shared" si="82"/>
        <v>2.5073107750038623E-12</v>
      </c>
      <c r="GY120" s="60">
        <f t="shared" si="83"/>
        <v>293.33333333333582</v>
      </c>
      <c r="GZ120" s="60">
        <f ca="1">AVERAGE(OFFSET($GY$3,0,0,'Données projet'!$E$18+1,1))-AVERAGE(OFFSET($H$3,0,0,'Données projet'!$E$18+1,1))</f>
        <v>292.57482726862594</v>
      </c>
      <c r="HA120" s="60">
        <f t="shared" si="106"/>
        <v>283.48738729114024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399.92909819003523</v>
      </c>
      <c r="T121" s="60">
        <f t="shared" si="88"/>
        <v>163.7053537268381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-5.6843418860808015E-13</v>
      </c>
      <c r="AJ121" s="14">
        <f>AI121*VLOOKUP('Données projet'!$B$10,Paramètres!$A$1:$I$89,3,0)*VLOOKUP('Données projet'!$B$10,Paramètres!$A$1:$I$89,5,0)</f>
        <v>-3.39923644787632E-13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455.43477166687273</v>
      </c>
      <c r="AO121" s="60">
        <f t="shared" si="90"/>
        <v>312.81310692672895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277.19999999999965</v>
      </c>
      <c r="BE121" s="14">
        <f>BD121*VLOOKUP('Données projet'!$B$11,Paramètres!$A$1:$I$89,3,0)*VLOOKUP('Données projet'!$B$11,Paramètres!$A$1:$I$89,5,0)</f>
        <v>250.81055999999967</v>
      </c>
      <c r="BF121" s="14">
        <f t="shared" si="91"/>
        <v>60.759477364108633</v>
      </c>
      <c r="BG121" s="22">
        <f t="shared" si="61"/>
        <v>542.65114840915533</v>
      </c>
      <c r="BH121" s="60">
        <f t="shared" si="62"/>
        <v>835.9844817424887</v>
      </c>
      <c r="BI121" s="60">
        <f ca="1">AVERAGE(OFFSET($BH$3,0,0,'Données projet'!$E$11+1,1))-AVERAGE(OFFSET($H$3,0,0,'Données projet'!$E$11+1,1))</f>
        <v>430.11660085503223</v>
      </c>
      <c r="BJ121" s="60">
        <f t="shared" si="92"/>
        <v>231.36959598460686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3.4</v>
      </c>
      <c r="BY121" s="13">
        <f>IF('Données projet'!$A$114&gt;35,BY120+BX121-CG120,IF(A121&lt;'Données projet'!$A$114,$BV$205^A121,IF(A121='Données projet'!$A$114,'Données projet'!$B$114,BY120+BX121-CG120)))</f>
        <v>277.19999999999965</v>
      </c>
      <c r="BZ121" s="14">
        <f>BY121*VLOOKUP('Données projet'!$B$12,Paramètres!$A$1:$I$89,3,0)*VLOOKUP('Données projet'!$B$12,Paramètres!$A$1:$I$89,5,0)</f>
        <v>281.08079999999967</v>
      </c>
      <c r="CA121" s="14">
        <f t="shared" si="93"/>
        <v>67.195361752546063</v>
      </c>
      <c r="CB121" s="22">
        <f t="shared" si="64"/>
        <v>606.58098171901713</v>
      </c>
      <c r="CC121" s="60">
        <f t="shared" si="65"/>
        <v>899.9143150523505</v>
      </c>
      <c r="CD121" s="60">
        <f ca="1">AVERAGE(OFFSET($CC$3,0,0,'Données projet'!$E$12+1,1))-AVERAGE(OFFSET($H$3,0,0,'Données projet'!$E$12+1,1))</f>
        <v>476.8965664931755</v>
      </c>
      <c r="CE121" s="60">
        <f t="shared" si="94"/>
        <v>254.25036207346591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</v>
      </c>
      <c r="CT121" s="13">
        <f>IF('Données projet'!$A$140&gt;35,CT120+CS121-DB120,IF(A121&lt;'Données projet'!$A$140,$CQ$205^A121,IF(A121='Données projet'!$A$140,'Données projet'!$B$140,CT120+CS121-DB120)))</f>
        <v>277.19999999999965</v>
      </c>
      <c r="CU121" s="18">
        <f>CT121*VLOOKUP('Données projet'!$B$13,Paramètres!$A$1:$I$89,3,0)*VLOOKUP('Données projet'!$B$13,Paramètres!$A$1:$I$89,5,0)</f>
        <v>268.10783999999967</v>
      </c>
      <c r="CV121" s="14">
        <f t="shared" si="95"/>
        <v>64.447540968014124</v>
      </c>
      <c r="CW121" s="22">
        <f t="shared" si="67"/>
        <v>579.20062185262395</v>
      </c>
      <c r="CX121" s="60">
        <f t="shared" si="68"/>
        <v>872.53395518595721</v>
      </c>
      <c r="CY121" s="60">
        <f ca="1">AVERAGE(OFFSET($CX$3,0,0,'Données projet'!$E$13+1,1))-AVERAGE(OFFSET($H$3,0,0,'Données projet'!$E$13+1,1))</f>
        <v>456.86147223520601</v>
      </c>
      <c r="CZ121" s="60">
        <f t="shared" si="96"/>
        <v>244.45149244446094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2.5</v>
      </c>
      <c r="DO121" s="13">
        <f>IF('Données projet'!$A$166&gt;35,DO120+DN121-DW120,IF(A121&lt;'Données projet'!$A$166,$DL$205^A121,IF(A121='Données projet'!$A$166,'Données projet'!$B$166,DO120+DN121-DW120)))</f>
        <v>212.94871794871821</v>
      </c>
      <c r="DP121" s="18">
        <f>DO121*VLOOKUP('Données projet'!$B$14,Paramètres!$A$1:$I$89,3,0)*VLOOKUP('Données projet'!$B$14,Paramètres!$A$1:$I$89,5,0)</f>
        <v>202.64200000000028</v>
      </c>
      <c r="DQ121" s="14">
        <f t="shared" si="97"/>
        <v>50.324355136871311</v>
      </c>
      <c r="DR121" s="22">
        <f t="shared" si="70"/>
        <v>440.58306853005132</v>
      </c>
      <c r="DS121" s="60">
        <f t="shared" si="71"/>
        <v>733.91640186338464</v>
      </c>
      <c r="DT121" s="60">
        <f ca="1">AVERAGE(OFFSET($DS$3,0,0,'Données projet'!$E$14+1,1))-AVERAGE(OFFSET($H$3,0,0,'Données projet'!$E$14+1,1))</f>
        <v>300.36889324671682</v>
      </c>
      <c r="DU121" s="60">
        <f t="shared" si="98"/>
        <v>214.36051699039683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-4.9658410716801891E-14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202.46844517174412</v>
      </c>
      <c r="EP121" s="60">
        <f t="shared" si="100"/>
        <v>185.00219255324515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7.626113074366004E-14</v>
      </c>
      <c r="FG121" s="14">
        <f t="shared" si="101"/>
        <v>1.1823749172251317E-12</v>
      </c>
      <c r="FH121" s="22">
        <f t="shared" si="76"/>
        <v>2.1921244502123119E-12</v>
      </c>
      <c r="FI121" s="60">
        <f t="shared" si="77"/>
        <v>293.33333333333553</v>
      </c>
      <c r="FJ121" s="60">
        <f ca="1">AVERAGE(OFFSET($FI$3,0,0,'Données projet'!$E$16+1,1))-AVERAGE(OFFSET($H$3,0,0,'Données projet'!$E$16+1,1))</f>
        <v>344.87493856469382</v>
      </c>
      <c r="FK121" s="60">
        <f t="shared" si="102"/>
        <v>261.91036689641402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0" t="e">
        <f t="shared" si="80"/>
        <v>#NUM!</v>
      </c>
      <c r="GE121" s="60">
        <f ca="1">AVERAGE(OFFSET($GD$3,0,0,'Données projet'!$E$17+1,1))-AVERAGE(OFFSET($H$3,0,0,'Données projet'!$E$17+1,1))</f>
        <v>268.19959446602911</v>
      </c>
      <c r="GF121" s="60">
        <f t="shared" si="104"/>
        <v>691.2533336811855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25.159822685849111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25.159822685849111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1.1368683772161603E-13</v>
      </c>
      <c r="GV121" s="18">
        <f>GU121*VLOOKUP('Données projet'!$B$18,Paramètres!$A$1:$I$89,3,0)*VLOOKUP('Données projet'!$B$18,Paramètres!$A$1:$I$89,5,0)</f>
        <v>8.8675733422860506E-14</v>
      </c>
      <c r="GW121" s="14">
        <f t="shared" si="105"/>
        <v>1.3509285393066301E-12</v>
      </c>
      <c r="GX121" s="22">
        <f t="shared" si="82"/>
        <v>2.5073107750038623E-12</v>
      </c>
      <c r="GY121" s="60">
        <f t="shared" si="83"/>
        <v>293.33333333333582</v>
      </c>
      <c r="GZ121" s="60">
        <f ca="1">AVERAGE(OFFSET($GY$3,0,0,'Données projet'!$E$18+1,1))-AVERAGE(OFFSET($H$3,0,0,'Données projet'!$E$18+1,1))</f>
        <v>292.57482726862594</v>
      </c>
      <c r="HA121" s="60">
        <f t="shared" si="106"/>
        <v>283.48738729114024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399.92909819003523</v>
      </c>
      <c r="T122" s="60">
        <f t="shared" si="88"/>
        <v>163.7053537268381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-5.6843418860808015E-13</v>
      </c>
      <c r="AJ122" s="14">
        <f>AI122*VLOOKUP('Données projet'!$B$10,Paramètres!$A$1:$I$89,3,0)*VLOOKUP('Données projet'!$B$10,Paramètres!$A$1:$I$89,5,0)</f>
        <v>-3.39923644787632E-13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455.43477166687273</v>
      </c>
      <c r="AO122" s="60">
        <f t="shared" si="90"/>
        <v>312.81310692672895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280.59999999999962</v>
      </c>
      <c r="BE122" s="14">
        <f>BD122*VLOOKUP('Données projet'!$B$11,Paramètres!$A$1:$I$89,3,0)*VLOOKUP('Données projet'!$B$11,Paramètres!$A$1:$I$89,5,0)</f>
        <v>253.88687999999965</v>
      </c>
      <c r="BF122" s="14">
        <f t="shared" si="91"/>
        <v>61.417508891276917</v>
      </c>
      <c r="BG122" s="22">
        <f t="shared" si="61"/>
        <v>549.15514398563994</v>
      </c>
      <c r="BH122" s="60">
        <f t="shared" si="62"/>
        <v>842.48847731897331</v>
      </c>
      <c r="BI122" s="60">
        <f ca="1">AVERAGE(OFFSET($BH$3,0,0,'Données projet'!$E$11+1,1))-AVERAGE(OFFSET($H$3,0,0,'Données projet'!$E$11+1,1))</f>
        <v>430.11660085503223</v>
      </c>
      <c r="BJ122" s="60">
        <f t="shared" si="92"/>
        <v>231.36959598460686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3.4</v>
      </c>
      <c r="BY122" s="13">
        <f>IF('Données projet'!$A$114&gt;35,BY121+BX122-CG121,IF(A122&lt;'Données projet'!$A$114,$BV$205^A122,IF(A122='Données projet'!$A$114,'Données projet'!$B$114,BY121+BX122-CG121)))</f>
        <v>280.59999999999962</v>
      </c>
      <c r="BZ122" s="14">
        <f>BY122*VLOOKUP('Données projet'!$B$12,Paramètres!$A$1:$I$89,3,0)*VLOOKUP('Données projet'!$B$12,Paramètres!$A$1:$I$89,5,0)</f>
        <v>284.52839999999964</v>
      </c>
      <c r="CA122" s="14">
        <f t="shared" si="93"/>
        <v>67.923094584210816</v>
      </c>
      <c r="CB122" s="22">
        <f t="shared" si="64"/>
        <v>613.85301973416642</v>
      </c>
      <c r="CC122" s="60">
        <f t="shared" si="65"/>
        <v>907.18635306749979</v>
      </c>
      <c r="CD122" s="60">
        <f ca="1">AVERAGE(OFFSET($CC$3,0,0,'Données projet'!$E$12+1,1))-AVERAGE(OFFSET($H$3,0,0,'Données projet'!$E$12+1,1))</f>
        <v>476.8965664931755</v>
      </c>
      <c r="CE122" s="60">
        <f t="shared" si="94"/>
        <v>254.25036207346591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</v>
      </c>
      <c r="CT122" s="13">
        <f>IF('Données projet'!$A$140&gt;35,CT121+CS122-DB121,IF(A122&lt;'Données projet'!$A$140,$CQ$205^A122,IF(A122='Données projet'!$A$140,'Données projet'!$B$140,CT121+CS122-DB121)))</f>
        <v>280.59999999999962</v>
      </c>
      <c r="CU122" s="18">
        <f>CT122*VLOOKUP('Données projet'!$B$13,Paramètres!$A$1:$I$89,3,0)*VLOOKUP('Données projet'!$B$13,Paramètres!$A$1:$I$89,5,0)</f>
        <v>271.3963199999996</v>
      </c>
      <c r="CV122" s="14">
        <f t="shared" si="95"/>
        <v>65.145514611718866</v>
      </c>
      <c r="CW122" s="22">
        <f t="shared" si="67"/>
        <v>586.14369528207624</v>
      </c>
      <c r="CX122" s="60">
        <f t="shared" si="68"/>
        <v>879.47702861540961</v>
      </c>
      <c r="CY122" s="60">
        <f ca="1">AVERAGE(OFFSET($CX$3,0,0,'Données projet'!$E$13+1,1))-AVERAGE(OFFSET($H$3,0,0,'Données projet'!$E$13+1,1))</f>
        <v>456.86147223520601</v>
      </c>
      <c r="CZ122" s="60">
        <f t="shared" si="96"/>
        <v>244.45149244446094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2.5</v>
      </c>
      <c r="DO122" s="13">
        <f>IF('Données projet'!$A$166&gt;35,DO121+DN122-DW121,IF(A122&lt;'Données projet'!$A$166,$DL$205^A122,IF(A122='Données projet'!$A$166,'Données projet'!$B$166,DO121+DN122-DW121)))</f>
        <v>215.44871794871821</v>
      </c>
      <c r="DP122" s="18">
        <f>DO122*VLOOKUP('Données projet'!$B$14,Paramètres!$A$1:$I$89,3,0)*VLOOKUP('Données projet'!$B$14,Paramètres!$A$1:$I$89,5,0)</f>
        <v>205.02100000000024</v>
      </c>
      <c r="DQ122" s="14">
        <f t="shared" si="97"/>
        <v>50.846034137297018</v>
      </c>
      <c r="DR122" s="22">
        <f t="shared" si="70"/>
        <v>445.63508445579265</v>
      </c>
      <c r="DS122" s="60">
        <f t="shared" si="71"/>
        <v>738.96841778912597</v>
      </c>
      <c r="DT122" s="60">
        <f ca="1">AVERAGE(OFFSET($DS$3,0,0,'Données projet'!$E$14+1,1))-AVERAGE(OFFSET($H$3,0,0,'Données projet'!$E$14+1,1))</f>
        <v>300.36889324671682</v>
      </c>
      <c r="DU122" s="60">
        <f t="shared" si="98"/>
        <v>214.36051699039683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-4.9658410716801891E-14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202.46844517174412</v>
      </c>
      <c r="EP122" s="60">
        <f t="shared" si="100"/>
        <v>185.00219255324515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7.626113074366004E-14</v>
      </c>
      <c r="FG122" s="14">
        <f t="shared" si="101"/>
        <v>1.1823749172251317E-12</v>
      </c>
      <c r="FH122" s="22">
        <f t="shared" si="76"/>
        <v>2.1921244502123119E-12</v>
      </c>
      <c r="FI122" s="60">
        <f t="shared" si="77"/>
        <v>293.33333333333553</v>
      </c>
      <c r="FJ122" s="60">
        <f ca="1">AVERAGE(OFFSET($FI$3,0,0,'Données projet'!$E$16+1,1))-AVERAGE(OFFSET($H$3,0,0,'Données projet'!$E$16+1,1))</f>
        <v>344.87493856469382</v>
      </c>
      <c r="FK122" s="60">
        <f t="shared" si="102"/>
        <v>261.91036689641402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0" t="e">
        <f t="shared" si="80"/>
        <v>#NUM!</v>
      </c>
      <c r="GE122" s="60">
        <f ca="1">AVERAGE(OFFSET($GD$3,0,0,'Données projet'!$E$17+1,1))-AVERAGE(OFFSET($H$3,0,0,'Données projet'!$E$17+1,1))</f>
        <v>268.19959446602911</v>
      </c>
      <c r="GF122" s="60">
        <f t="shared" si="104"/>
        <v>691.2533336811855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24.666453908956157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24.666453908956157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1.1368683772161603E-13</v>
      </c>
      <c r="GV122" s="18">
        <f>GU122*VLOOKUP('Données projet'!$B$18,Paramètres!$A$1:$I$89,3,0)*VLOOKUP('Données projet'!$B$18,Paramètres!$A$1:$I$89,5,0)</f>
        <v>8.8675733422860506E-14</v>
      </c>
      <c r="GW122" s="14">
        <f t="shared" si="105"/>
        <v>1.3509285393066301E-12</v>
      </c>
      <c r="GX122" s="22">
        <f t="shared" si="82"/>
        <v>2.5073107750038623E-12</v>
      </c>
      <c r="GY122" s="60">
        <f t="shared" si="83"/>
        <v>293.33333333333582</v>
      </c>
      <c r="GZ122" s="60">
        <f ca="1">AVERAGE(OFFSET($GY$3,0,0,'Données projet'!$E$18+1,1))-AVERAGE(OFFSET($H$3,0,0,'Données projet'!$E$18+1,1))</f>
        <v>292.57482726862594</v>
      </c>
      <c r="HA122" s="60">
        <f t="shared" si="106"/>
        <v>283.48738729114024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399.92909819003523</v>
      </c>
      <c r="T123" s="60">
        <f t="shared" si="88"/>
        <v>163.7053537268381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-5.6843418860808015E-13</v>
      </c>
      <c r="AJ123" s="14">
        <f>AI123*VLOOKUP('Données projet'!$B$10,Paramètres!$A$1:$I$89,3,0)*VLOOKUP('Données projet'!$B$10,Paramètres!$A$1:$I$89,5,0)</f>
        <v>-3.39923644787632E-13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455.43477166687273</v>
      </c>
      <c r="AO123" s="60">
        <f t="shared" si="90"/>
        <v>312.81310692672895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283.9999999999996</v>
      </c>
      <c r="BE123" s="14">
        <f>BD123*VLOOKUP('Données projet'!$B$11,Paramètres!$A$1:$I$89,3,0)*VLOOKUP('Données projet'!$B$11,Paramètres!$A$1:$I$89,5,0)</f>
        <v>256.96319999999963</v>
      </c>
      <c r="BF123" s="14">
        <f t="shared" si="91"/>
        <v>62.07461295683791</v>
      </c>
      <c r="BG123" s="22">
        <f t="shared" si="61"/>
        <v>555.65752423315882</v>
      </c>
      <c r="BH123" s="60">
        <f t="shared" si="62"/>
        <v>848.9908575664922</v>
      </c>
      <c r="BI123" s="60">
        <f ca="1">AVERAGE(OFFSET($BH$3,0,0,'Données projet'!$E$11+1,1))-AVERAGE(OFFSET($H$3,0,0,'Données projet'!$E$11+1,1))</f>
        <v>430.11660085503223</v>
      </c>
      <c r="BJ123" s="60">
        <f t="shared" si="92"/>
        <v>231.36959598460686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3.4</v>
      </c>
      <c r="BY123" s="13">
        <f>IF('Données projet'!$A$114&gt;35,BY122+BX123-CG122,IF(A123&lt;'Données projet'!$A$114,$BV$205^A123,IF(A123='Données projet'!$A$114,'Données projet'!$B$114,BY122+BX123-CG122)))</f>
        <v>283.9999999999996</v>
      </c>
      <c r="BZ123" s="14">
        <f>BY123*VLOOKUP('Données projet'!$B$12,Paramètres!$A$1:$I$89,3,0)*VLOOKUP('Données projet'!$B$12,Paramètres!$A$1:$I$89,5,0)</f>
        <v>287.9759999999996</v>
      </c>
      <c r="CA123" s="14">
        <f t="shared" si="93"/>
        <v>68.649801713863027</v>
      </c>
      <c r="CB123" s="22">
        <f t="shared" si="64"/>
        <v>621.1232713183108</v>
      </c>
      <c r="CC123" s="60">
        <f t="shared" si="65"/>
        <v>914.45660465164406</v>
      </c>
      <c r="CD123" s="60">
        <f ca="1">AVERAGE(OFFSET($CC$3,0,0,'Données projet'!$E$12+1,1))-AVERAGE(OFFSET($H$3,0,0,'Données projet'!$E$12+1,1))</f>
        <v>476.8965664931755</v>
      </c>
      <c r="CE123" s="60">
        <f t="shared" si="94"/>
        <v>254.25036207346591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3.4</v>
      </c>
      <c r="CT123" s="13">
        <f>IF('Données projet'!$A$140&gt;35,CT122+CS123-DB122,IF(A123&lt;'Données projet'!$A$140,$CQ$205^A123,IF(A123='Données projet'!$A$140,'Données projet'!$B$140,CT122+CS123-DB122)))</f>
        <v>283.9999999999996</v>
      </c>
      <c r="CU123" s="18">
        <f>CT123*VLOOKUP('Données projet'!$B$13,Paramètres!$A$1:$I$89,3,0)*VLOOKUP('Données projet'!$B$13,Paramètres!$A$1:$I$89,5,0)</f>
        <v>274.68479999999965</v>
      </c>
      <c r="CV123" s="14">
        <f t="shared" si="95"/>
        <v>65.842504497456602</v>
      </c>
      <c r="CW123" s="22">
        <f t="shared" si="67"/>
        <v>593.08505533306959</v>
      </c>
      <c r="CX123" s="60">
        <f t="shared" si="68"/>
        <v>886.41838866640296</v>
      </c>
      <c r="CY123" s="60">
        <f ca="1">AVERAGE(OFFSET($CX$3,0,0,'Données projet'!$E$13+1,1))-AVERAGE(OFFSET($H$3,0,0,'Données projet'!$E$13+1,1))</f>
        <v>456.86147223520601</v>
      </c>
      <c r="CZ123" s="60">
        <f t="shared" si="96"/>
        <v>244.45149244446094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217.94871794871796</v>
      </c>
      <c r="DM123" s="13">
        <f>VLOOKUP(A123,'Données projet'!$A$165:$I$185,9,0)</f>
        <v>2.5</v>
      </c>
      <c r="DN123" s="13">
        <f t="array" ref="DN123">INDEX(DM:DM,MIN(IF(ISNUMBER(DM123:DM319),ROW(DM123:DM319),"")))</f>
        <v>2.5</v>
      </c>
      <c r="DO123" s="13">
        <f>IF('Données projet'!$A$166&gt;35,DO122+DN123-DW122,IF(A123&lt;'Données projet'!$A$166,$DL$205^A123,IF(A123='Données projet'!$A$166,'Données projet'!$B$166,DO122+DN123-DW122)))</f>
        <v>217.94871794871821</v>
      </c>
      <c r="DP123" s="18">
        <f>DO123*VLOOKUP('Données projet'!$B$14,Paramètres!$A$1:$I$89,3,0)*VLOOKUP('Données projet'!$B$14,Paramètres!$A$1:$I$89,5,0)</f>
        <v>207.40000000000023</v>
      </c>
      <c r="DQ123" s="14">
        <f t="shared" si="97"/>
        <v>51.367008980763991</v>
      </c>
      <c r="DR123" s="22">
        <f t="shared" si="70"/>
        <v>450.68587397483105</v>
      </c>
      <c r="DS123" s="60">
        <f t="shared" si="71"/>
        <v>744.01920730816437</v>
      </c>
      <c r="DT123" s="60">
        <f ca="1">AVERAGE(OFFSET($DS$3,0,0,'Données projet'!$E$14+1,1))-AVERAGE(OFFSET($H$3,0,0,'Données projet'!$E$14+1,1))</f>
        <v>300.36889324671682</v>
      </c>
      <c r="DU123" s="60">
        <f t="shared" si="98"/>
        <v>214.36051699039683</v>
      </c>
      <c r="DV123" s="16">
        <f>IF(ISNA(VLOOKUP(A123,'Données projet'!$A$165:$I$185,3,0)),0,VLOOKUP(A123,'Données projet'!$A$165:$I$185,3,0))</f>
        <v>11</v>
      </c>
      <c r="DW123" s="16">
        <f>IF(ISNA(VLOOKUP(A123,'Données projet'!$A$165:$I$185,4,0)),0,VLOOKUP(A123,'Données projet'!$A$165:$I$185,4,0))</f>
        <v>217.94871794871796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-4.9658410716801891E-14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202.46844517174412</v>
      </c>
      <c r="EP123" s="60">
        <f t="shared" si="100"/>
        <v>185.00219255324515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7.626113074366004E-14</v>
      </c>
      <c r="FG123" s="14">
        <f t="shared" si="101"/>
        <v>1.1823749172251317E-12</v>
      </c>
      <c r="FH123" s="22">
        <f t="shared" si="76"/>
        <v>2.1921244502123119E-12</v>
      </c>
      <c r="FI123" s="60">
        <f t="shared" si="77"/>
        <v>293.33333333333553</v>
      </c>
      <c r="FJ123" s="60">
        <f ca="1">AVERAGE(OFFSET($FI$3,0,0,'Données projet'!$E$16+1,1))-AVERAGE(OFFSET($H$3,0,0,'Données projet'!$E$16+1,1))</f>
        <v>344.87493856469382</v>
      </c>
      <c r="FK123" s="60">
        <f t="shared" si="102"/>
        <v>261.91036689641402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0" t="e">
        <f t="shared" si="80"/>
        <v>#NUM!</v>
      </c>
      <c r="GE123" s="60">
        <f ca="1">AVERAGE(OFFSET($GD$3,0,0,'Données projet'!$E$17+1,1))-AVERAGE(OFFSET($H$3,0,0,'Données projet'!$E$17+1,1))</f>
        <v>268.19959446602911</v>
      </c>
      <c r="GF123" s="60">
        <f t="shared" si="104"/>
        <v>691.2533336811855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24.182759792852835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24.182759792852835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1.1368683772161603E-13</v>
      </c>
      <c r="GV123" s="18">
        <f>GU123*VLOOKUP('Données projet'!$B$18,Paramètres!$A$1:$I$89,3,0)*VLOOKUP('Données projet'!$B$18,Paramètres!$A$1:$I$89,5,0)</f>
        <v>8.8675733422860506E-14</v>
      </c>
      <c r="GW123" s="14">
        <f t="shared" si="105"/>
        <v>1.3509285393066301E-12</v>
      </c>
      <c r="GX123" s="22">
        <f t="shared" si="82"/>
        <v>2.5073107750038623E-12</v>
      </c>
      <c r="GY123" s="60">
        <f t="shared" si="83"/>
        <v>293.33333333333582</v>
      </c>
      <c r="GZ123" s="60">
        <f ca="1">AVERAGE(OFFSET($GY$3,0,0,'Données projet'!$E$18+1,1))-AVERAGE(OFFSET($H$3,0,0,'Données projet'!$E$18+1,1))</f>
        <v>292.57482726862594</v>
      </c>
      <c r="HA123" s="60">
        <f t="shared" si="106"/>
        <v>283.48738729114024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399.92909819003523</v>
      </c>
      <c r="T124" s="60">
        <f t="shared" si="88"/>
        <v>163.7053537268381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-5.6843418860808015E-13</v>
      </c>
      <c r="AJ124" s="14">
        <f>AI124*VLOOKUP('Données projet'!$B$10,Paramètres!$A$1:$I$89,3,0)*VLOOKUP('Données projet'!$B$10,Paramètres!$A$1:$I$89,5,0)</f>
        <v>-3.39923644787632E-13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455.43477166687273</v>
      </c>
      <c r="AO124" s="60">
        <f t="shared" si="90"/>
        <v>312.81310692672895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287.39999999999958</v>
      </c>
      <c r="BE124" s="14">
        <f>BD124*VLOOKUP('Données projet'!$B$11,Paramètres!$A$1:$I$89,3,0)*VLOOKUP('Données projet'!$B$11,Paramètres!$A$1:$I$89,5,0)</f>
        <v>260.03951999999964</v>
      </c>
      <c r="BF124" s="14">
        <f t="shared" si="91"/>
        <v>62.730801948604821</v>
      </c>
      <c r="BG124" s="22">
        <f t="shared" si="61"/>
        <v>562.15831072715275</v>
      </c>
      <c r="BH124" s="60">
        <f t="shared" si="62"/>
        <v>855.49164406048612</v>
      </c>
      <c r="BI124" s="60">
        <f ca="1">AVERAGE(OFFSET($BH$3,0,0,'Données projet'!$E$11+1,1))-AVERAGE(OFFSET($H$3,0,0,'Données projet'!$E$11+1,1))</f>
        <v>430.11660085503223</v>
      </c>
      <c r="BJ124" s="60">
        <f t="shared" si="92"/>
        <v>231.36959598460686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3.4</v>
      </c>
      <c r="BY124" s="13">
        <f>IF('Données projet'!$A$114&gt;35,BY123+BX124-CG123,IF(A124&lt;'Données projet'!$A$114,$BV$205^A124,IF(A124='Données projet'!$A$114,'Données projet'!$B$114,BY123+BX124-CG123)))</f>
        <v>287.39999999999958</v>
      </c>
      <c r="BZ124" s="14">
        <f>BY124*VLOOKUP('Données projet'!$B$12,Paramètres!$A$1:$I$89,3,0)*VLOOKUP('Données projet'!$B$12,Paramètres!$A$1:$I$89,5,0)</f>
        <v>291.42359999999962</v>
      </c>
      <c r="CA124" s="14">
        <f t="shared" si="93"/>
        <v>69.375496841482104</v>
      </c>
      <c r="CB124" s="22">
        <f t="shared" si="64"/>
        <v>628.39176033224737</v>
      </c>
      <c r="CC124" s="60">
        <f t="shared" si="65"/>
        <v>921.72509366558074</v>
      </c>
      <c r="CD124" s="60">
        <f ca="1">AVERAGE(OFFSET($CC$3,0,0,'Données projet'!$E$12+1,1))-AVERAGE(OFFSET($H$3,0,0,'Données projet'!$E$12+1,1))</f>
        <v>476.8965664931755</v>
      </c>
      <c r="CE124" s="60">
        <f t="shared" si="94"/>
        <v>254.25036207346591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3.4</v>
      </c>
      <c r="CT124" s="13">
        <f>IF('Données projet'!$A$140&gt;35,CT123+CS124-DB123,IF(A124&lt;'Données projet'!$A$140,$CQ$205^A124,IF(A124='Données projet'!$A$140,'Données projet'!$B$140,CT123+CS124-DB123)))</f>
        <v>287.39999999999958</v>
      </c>
      <c r="CU124" s="18">
        <f>CT124*VLOOKUP('Données projet'!$B$13,Paramètres!$A$1:$I$89,3,0)*VLOOKUP('Données projet'!$B$13,Paramètres!$A$1:$I$89,5,0)</f>
        <v>277.97327999999959</v>
      </c>
      <c r="CV124" s="14">
        <f t="shared" si="95"/>
        <v>66.538523764973078</v>
      </c>
      <c r="CW124" s="22">
        <f t="shared" si="67"/>
        <v>600.02472489066076</v>
      </c>
      <c r="CX124" s="60">
        <f t="shared" si="68"/>
        <v>893.35805822399402</v>
      </c>
      <c r="CY124" s="60">
        <f ca="1">AVERAGE(OFFSET($CX$3,0,0,'Données projet'!$E$13+1,1))-AVERAGE(OFFSET($H$3,0,0,'Données projet'!$E$13+1,1))</f>
        <v>456.86147223520601</v>
      </c>
      <c r="CZ124" s="60">
        <f t="shared" si="96"/>
        <v>244.45149244446094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2.5579538487363607E-13</v>
      </c>
      <c r="DP124" s="18">
        <f>DO124*VLOOKUP('Données projet'!$B$14,Paramètres!$A$1:$I$89,3,0)*VLOOKUP('Données projet'!$B$14,Paramètres!$A$1:$I$89,5,0)</f>
        <v>2.4341488824575211E-13</v>
      </c>
      <c r="DQ124" s="14">
        <f t="shared" si="97"/>
        <v>3.2970717324875541E-12</v>
      </c>
      <c r="DR124" s="22">
        <f t="shared" si="70"/>
        <v>6.1663475311105072E-12</v>
      </c>
      <c r="DS124" s="60">
        <f t="shared" si="71"/>
        <v>293.33333333333945</v>
      </c>
      <c r="DT124" s="60">
        <f ca="1">AVERAGE(OFFSET($DS$3,0,0,'Données projet'!$E$14+1,1))-AVERAGE(OFFSET($H$3,0,0,'Données projet'!$E$14+1,1))</f>
        <v>300.36889324671682</v>
      </c>
      <c r="DU124" s="60">
        <f t="shared" si="98"/>
        <v>214.36051699039683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-4.9658410716801891E-14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202.46844517174412</v>
      </c>
      <c r="EP124" s="60">
        <f t="shared" si="100"/>
        <v>185.00219255324515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7.626113074366004E-14</v>
      </c>
      <c r="FG124" s="14">
        <f t="shared" si="101"/>
        <v>1.1823749172251317E-12</v>
      </c>
      <c r="FH124" s="22">
        <f t="shared" si="76"/>
        <v>2.1921244502123119E-12</v>
      </c>
      <c r="FI124" s="60">
        <f t="shared" si="77"/>
        <v>293.33333333333553</v>
      </c>
      <c r="FJ124" s="60">
        <f ca="1">AVERAGE(OFFSET($FI$3,0,0,'Données projet'!$E$16+1,1))-AVERAGE(OFFSET($H$3,0,0,'Données projet'!$E$16+1,1))</f>
        <v>344.87493856469382</v>
      </c>
      <c r="FK124" s="60">
        <f t="shared" si="102"/>
        <v>261.91036689641402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268.19959446602911</v>
      </c>
      <c r="GF124" s="60">
        <f t="shared" si="104"/>
        <v>691.2533336811855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23.70855062334202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23.70855062334202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1.1368683772161603E-13</v>
      </c>
      <c r="GV124" s="18">
        <f>GU124*VLOOKUP('Données projet'!$B$18,Paramètres!$A$1:$I$89,3,0)*VLOOKUP('Données projet'!$B$18,Paramètres!$A$1:$I$89,5,0)</f>
        <v>8.8675733422860506E-14</v>
      </c>
      <c r="GW124" s="14">
        <f t="shared" si="105"/>
        <v>1.3509285393066301E-12</v>
      </c>
      <c r="GX124" s="22">
        <f t="shared" si="82"/>
        <v>2.5073107750038623E-12</v>
      </c>
      <c r="GY124" s="60">
        <f t="shared" si="83"/>
        <v>293.33333333333582</v>
      </c>
      <c r="GZ124" s="60">
        <f ca="1">AVERAGE(OFFSET($GY$3,0,0,'Données projet'!$E$18+1,1))-AVERAGE(OFFSET($H$3,0,0,'Données projet'!$E$18+1,1))</f>
        <v>292.57482726862594</v>
      </c>
      <c r="HA124" s="60">
        <f t="shared" si="106"/>
        <v>283.48738729114024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399.92909819003523</v>
      </c>
      <c r="T125" s="60">
        <f t="shared" si="88"/>
        <v>163.7053537268381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-5.6843418860808015E-13</v>
      </c>
      <c r="AJ125" s="14">
        <f>AI125*VLOOKUP('Données projet'!$B$10,Paramètres!$A$1:$I$89,3,0)*VLOOKUP('Données projet'!$B$10,Paramètres!$A$1:$I$89,5,0)</f>
        <v>-3.39923644787632E-13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455.43477166687273</v>
      </c>
      <c r="AO125" s="60">
        <f t="shared" si="90"/>
        <v>312.81310692672895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290.79999999999956</v>
      </c>
      <c r="BE125" s="14">
        <f>BD125*VLOOKUP('Données projet'!$B$11,Paramètres!$A$1:$I$89,3,0)*VLOOKUP('Données projet'!$B$11,Paramètres!$A$1:$I$89,5,0)</f>
        <v>263.11583999999959</v>
      </c>
      <c r="BF125" s="14">
        <f t="shared" si="91"/>
        <v>63.38608794442333</v>
      </c>
      <c r="BG125" s="22">
        <f t="shared" si="61"/>
        <v>568.65752450320326</v>
      </c>
      <c r="BH125" s="60">
        <f t="shared" si="62"/>
        <v>861.99085783653663</v>
      </c>
      <c r="BI125" s="60">
        <f ca="1">AVERAGE(OFFSET($BH$3,0,0,'Données projet'!$E$11+1,1))-AVERAGE(OFFSET($H$3,0,0,'Données projet'!$E$11+1,1))</f>
        <v>430.11660085503223</v>
      </c>
      <c r="BJ125" s="60">
        <f t="shared" si="92"/>
        <v>231.36959598460686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3.4</v>
      </c>
      <c r="BY125" s="13">
        <f>IF('Données projet'!$A$114&gt;35,BY124+BX125-CG124,IF(A125&lt;'Données projet'!$A$114,$BV$205^A125,IF(A125='Données projet'!$A$114,'Données projet'!$B$114,BY124+BX125-CG124)))</f>
        <v>290.79999999999956</v>
      </c>
      <c r="BZ125" s="14">
        <f>BY125*VLOOKUP('Données projet'!$B$12,Paramètres!$A$1:$I$89,3,0)*VLOOKUP('Données projet'!$B$12,Paramètres!$A$1:$I$89,5,0)</f>
        <v>294.87119999999959</v>
      </c>
      <c r="CA125" s="14">
        <f t="shared" si="93"/>
        <v>70.100193324247002</v>
      </c>
      <c r="CB125" s="22">
        <f t="shared" si="64"/>
        <v>635.65851003972955</v>
      </c>
      <c r="CC125" s="60">
        <f t="shared" si="65"/>
        <v>928.99184337306292</v>
      </c>
      <c r="CD125" s="60">
        <f ca="1">AVERAGE(OFFSET($CC$3,0,0,'Données projet'!$E$12+1,1))-AVERAGE(OFFSET($H$3,0,0,'Données projet'!$E$12+1,1))</f>
        <v>476.8965664931755</v>
      </c>
      <c r="CE125" s="60">
        <f t="shared" si="94"/>
        <v>254.25036207346591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3.4</v>
      </c>
      <c r="CT125" s="13">
        <f>IF('Données projet'!$A$140&gt;35,CT124+CS125-DB124,IF(A125&lt;'Données projet'!$A$140,$CQ$205^A125,IF(A125='Données projet'!$A$140,'Données projet'!$B$140,CT124+CS125-DB124)))</f>
        <v>290.79999999999956</v>
      </c>
      <c r="CU125" s="18">
        <f>CT125*VLOOKUP('Données projet'!$B$13,Paramètres!$A$1:$I$89,3,0)*VLOOKUP('Données projet'!$B$13,Paramètres!$A$1:$I$89,5,0)</f>
        <v>281.26175999999958</v>
      </c>
      <c r="CV125" s="14">
        <f t="shared" si="95"/>
        <v>67.233585225232218</v>
      </c>
      <c r="CW125" s="22">
        <f t="shared" si="67"/>
        <v>606.96272626727875</v>
      </c>
      <c r="CX125" s="60">
        <f t="shared" si="68"/>
        <v>900.29605960061212</v>
      </c>
      <c r="CY125" s="60">
        <f ca="1">AVERAGE(OFFSET($CX$3,0,0,'Données projet'!$E$13+1,1))-AVERAGE(OFFSET($H$3,0,0,'Données projet'!$E$13+1,1))</f>
        <v>456.86147223520601</v>
      </c>
      <c r="CZ125" s="60">
        <f t="shared" si="96"/>
        <v>244.45149244446094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2.5579538487363607E-13</v>
      </c>
      <c r="DP125" s="18">
        <f>DO125*VLOOKUP('Données projet'!$B$14,Paramètres!$A$1:$I$89,3,0)*VLOOKUP('Données projet'!$B$14,Paramètres!$A$1:$I$89,5,0)</f>
        <v>2.4341488824575211E-13</v>
      </c>
      <c r="DQ125" s="14">
        <f t="shared" si="97"/>
        <v>3.2970717324875541E-12</v>
      </c>
      <c r="DR125" s="22">
        <f t="shared" si="70"/>
        <v>6.1663475311105072E-12</v>
      </c>
      <c r="DS125" s="60">
        <f t="shared" si="71"/>
        <v>293.33333333333945</v>
      </c>
      <c r="DT125" s="60">
        <f ca="1">AVERAGE(OFFSET($DS$3,0,0,'Données projet'!$E$14+1,1))-AVERAGE(OFFSET($H$3,0,0,'Données projet'!$E$14+1,1))</f>
        <v>300.36889324671682</v>
      </c>
      <c r="DU125" s="60">
        <f t="shared" si="98"/>
        <v>214.36051699039683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-4.9658410716801891E-14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202.46844517174412</v>
      </c>
      <c r="EP125" s="60">
        <f t="shared" si="100"/>
        <v>185.00219255324515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7.626113074366004E-14</v>
      </c>
      <c r="FG125" s="14">
        <f t="shared" si="101"/>
        <v>1.1823749172251317E-12</v>
      </c>
      <c r="FH125" s="22">
        <f t="shared" si="76"/>
        <v>2.1921244502123119E-12</v>
      </c>
      <c r="FI125" s="60">
        <f t="shared" si="77"/>
        <v>293.33333333333553</v>
      </c>
      <c r="FJ125" s="60">
        <f ca="1">AVERAGE(OFFSET($FI$3,0,0,'Données projet'!$E$16+1,1))-AVERAGE(OFFSET($H$3,0,0,'Données projet'!$E$16+1,1))</f>
        <v>344.87493856469382</v>
      </c>
      <c r="FK125" s="60">
        <f t="shared" si="102"/>
        <v>261.91036689641402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268.19959446602911</v>
      </c>
      <c r="GF125" s="60">
        <f t="shared" si="104"/>
        <v>691.2533336811855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23.243640406406278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23.243640406406278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1.1368683772161603E-13</v>
      </c>
      <c r="GV125" s="18">
        <f>GU125*VLOOKUP('Données projet'!$B$18,Paramètres!$A$1:$I$89,3,0)*VLOOKUP('Données projet'!$B$18,Paramètres!$A$1:$I$89,5,0)</f>
        <v>8.8675733422860506E-14</v>
      </c>
      <c r="GW125" s="14">
        <f t="shared" si="105"/>
        <v>1.3509285393066301E-12</v>
      </c>
      <c r="GX125" s="22">
        <f t="shared" si="82"/>
        <v>2.5073107750038623E-12</v>
      </c>
      <c r="GY125" s="60">
        <f t="shared" si="83"/>
        <v>293.33333333333582</v>
      </c>
      <c r="GZ125" s="60">
        <f ca="1">AVERAGE(OFFSET($GY$3,0,0,'Données projet'!$E$18+1,1))-AVERAGE(OFFSET($H$3,0,0,'Données projet'!$E$18+1,1))</f>
        <v>292.57482726862594</v>
      </c>
      <c r="HA125" s="60">
        <f t="shared" si="106"/>
        <v>283.48738729114024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399.92909819003523</v>
      </c>
      <c r="T126" s="60">
        <f t="shared" si="88"/>
        <v>163.7053537268381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-5.6843418860808015E-13</v>
      </c>
      <c r="AJ126" s="14">
        <f>AI126*VLOOKUP('Données projet'!$B$10,Paramètres!$A$1:$I$89,3,0)*VLOOKUP('Données projet'!$B$10,Paramètres!$A$1:$I$89,5,0)</f>
        <v>-3.39923644787632E-13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455.43477166687273</v>
      </c>
      <c r="AO126" s="60">
        <f t="shared" si="90"/>
        <v>312.81310692672895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294.19999999999953</v>
      </c>
      <c r="BE126" s="14">
        <f>BD126*VLOOKUP('Données projet'!$B$11,Paramètres!$A$1:$I$89,3,0)*VLOOKUP('Données projet'!$B$11,Paramètres!$A$1:$I$89,5,0)</f>
        <v>266.19215999999955</v>
      </c>
      <c r="BF126" s="14">
        <f t="shared" si="91"/>
        <v>64.040482723459647</v>
      </c>
      <c r="BG126" s="22">
        <f t="shared" si="61"/>
        <v>575.15518607669139</v>
      </c>
      <c r="BH126" s="60">
        <f t="shared" si="62"/>
        <v>868.48851941002476</v>
      </c>
      <c r="BI126" s="60">
        <f ca="1">AVERAGE(OFFSET($BH$3,0,0,'Données projet'!$E$11+1,1))-AVERAGE(OFFSET($H$3,0,0,'Données projet'!$E$11+1,1))</f>
        <v>430.11660085503223</v>
      </c>
      <c r="BJ126" s="60">
        <f t="shared" si="92"/>
        <v>231.36959598460686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3.4</v>
      </c>
      <c r="BY126" s="13">
        <f>IF('Données projet'!$A$114&gt;35,BY125+BX126-CG125,IF(A126&lt;'Données projet'!$A$114,$BV$205^A126,IF(A126='Données projet'!$A$114,'Données projet'!$B$114,BY125+BX126-CG125)))</f>
        <v>294.19999999999953</v>
      </c>
      <c r="BZ126" s="14">
        <f>BY126*VLOOKUP('Données projet'!$B$12,Paramètres!$A$1:$I$89,3,0)*VLOOKUP('Données projet'!$B$12,Paramètres!$A$1:$I$89,5,0)</f>
        <v>298.31879999999956</v>
      </c>
      <c r="CA126" s="14">
        <f t="shared" si="93"/>
        <v>70.823904189019785</v>
      </c>
      <c r="CB126" s="22">
        <f t="shared" si="64"/>
        <v>642.92354312920872</v>
      </c>
      <c r="CC126" s="60">
        <f t="shared" si="65"/>
        <v>936.2568764625421</v>
      </c>
      <c r="CD126" s="60">
        <f ca="1">AVERAGE(OFFSET($CC$3,0,0,'Données projet'!$E$12+1,1))-AVERAGE(OFFSET($H$3,0,0,'Données projet'!$E$12+1,1))</f>
        <v>476.8965664931755</v>
      </c>
      <c r="CE126" s="60">
        <f t="shared" si="94"/>
        <v>254.25036207346591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3.4</v>
      </c>
      <c r="CT126" s="13">
        <f>IF('Données projet'!$A$140&gt;35,CT125+CS126-DB125,IF(A126&lt;'Données projet'!$A$140,$CQ$205^A126,IF(A126='Données projet'!$A$140,'Données projet'!$B$140,CT125+CS126-DB125)))</f>
        <v>294.19999999999953</v>
      </c>
      <c r="CU126" s="18">
        <f>CT126*VLOOKUP('Données projet'!$B$13,Paramètres!$A$1:$I$89,3,0)*VLOOKUP('Données projet'!$B$13,Paramètres!$A$1:$I$89,5,0)</f>
        <v>284.55023999999958</v>
      </c>
      <c r="CV126" s="14">
        <f t="shared" si="95"/>
        <v>67.927701372388498</v>
      </c>
      <c r="CW126" s="22">
        <f t="shared" si="67"/>
        <v>613.89908122357576</v>
      </c>
      <c r="CX126" s="60">
        <f t="shared" si="68"/>
        <v>907.23241455690913</v>
      </c>
      <c r="CY126" s="60">
        <f ca="1">AVERAGE(OFFSET($CX$3,0,0,'Données projet'!$E$13+1,1))-AVERAGE(OFFSET($H$3,0,0,'Données projet'!$E$13+1,1))</f>
        <v>456.86147223520601</v>
      </c>
      <c r="CZ126" s="60">
        <f t="shared" si="96"/>
        <v>244.45149244446094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2.5579538487363607E-13</v>
      </c>
      <c r="DP126" s="18">
        <f>DO126*VLOOKUP('Données projet'!$B$14,Paramètres!$A$1:$I$89,3,0)*VLOOKUP('Données projet'!$B$14,Paramètres!$A$1:$I$89,5,0)</f>
        <v>2.4341488824575211E-13</v>
      </c>
      <c r="DQ126" s="14">
        <f t="shared" si="97"/>
        <v>3.2970717324875541E-12</v>
      </c>
      <c r="DR126" s="22">
        <f t="shared" si="70"/>
        <v>6.1663475311105072E-12</v>
      </c>
      <c r="DS126" s="60">
        <f t="shared" si="71"/>
        <v>293.33333333333945</v>
      </c>
      <c r="DT126" s="60">
        <f ca="1">AVERAGE(OFFSET($DS$3,0,0,'Données projet'!$E$14+1,1))-AVERAGE(OFFSET($H$3,0,0,'Données projet'!$E$14+1,1))</f>
        <v>300.36889324671682</v>
      </c>
      <c r="DU126" s="60">
        <f t="shared" si="98"/>
        <v>214.36051699039683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-4.9658410716801891E-14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202.46844517174412</v>
      </c>
      <c r="EP126" s="60">
        <f t="shared" si="100"/>
        <v>185.00219255324515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7.626113074366004E-14</v>
      </c>
      <c r="FG126" s="14">
        <f t="shared" si="101"/>
        <v>1.1823749172251317E-12</v>
      </c>
      <c r="FH126" s="22">
        <f t="shared" si="76"/>
        <v>2.1921244502123119E-12</v>
      </c>
      <c r="FI126" s="60">
        <f t="shared" si="77"/>
        <v>293.33333333333553</v>
      </c>
      <c r="FJ126" s="60">
        <f ca="1">AVERAGE(OFFSET($FI$3,0,0,'Données projet'!$E$16+1,1))-AVERAGE(OFFSET($H$3,0,0,'Données projet'!$E$16+1,1))</f>
        <v>344.87493856469382</v>
      </c>
      <c r="FK126" s="60">
        <f t="shared" si="102"/>
        <v>261.91036689641402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268.19959446602911</v>
      </c>
      <c r="GF126" s="60">
        <f t="shared" si="104"/>
        <v>691.2533336811855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22.787846795257416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22.787846795257416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1.1368683772161603E-13</v>
      </c>
      <c r="GV126" s="18">
        <f>GU126*VLOOKUP('Données projet'!$B$18,Paramètres!$A$1:$I$89,3,0)*VLOOKUP('Données projet'!$B$18,Paramètres!$A$1:$I$89,5,0)</f>
        <v>8.8675733422860506E-14</v>
      </c>
      <c r="GW126" s="14">
        <f t="shared" si="105"/>
        <v>1.3509285393066301E-12</v>
      </c>
      <c r="GX126" s="22">
        <f t="shared" si="82"/>
        <v>2.5073107750038623E-12</v>
      </c>
      <c r="GY126" s="60">
        <f t="shared" si="83"/>
        <v>293.33333333333582</v>
      </c>
      <c r="GZ126" s="60">
        <f ca="1">AVERAGE(OFFSET($GY$3,0,0,'Données projet'!$E$18+1,1))-AVERAGE(OFFSET($H$3,0,0,'Données projet'!$E$18+1,1))</f>
        <v>292.57482726862594</v>
      </c>
      <c r="HA126" s="60">
        <f t="shared" si="106"/>
        <v>283.48738729114024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399.92909819003523</v>
      </c>
      <c r="T127" s="60">
        <f t="shared" si="88"/>
        <v>163.7053537268381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-5.6843418860808015E-13</v>
      </c>
      <c r="AJ127" s="14">
        <f>AI127*VLOOKUP('Données projet'!$B$10,Paramètres!$A$1:$I$89,3,0)*VLOOKUP('Données projet'!$B$10,Paramètres!$A$1:$I$89,5,0)</f>
        <v>-3.39923644787632E-13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455.43477166687273</v>
      </c>
      <c r="AO127" s="60">
        <f t="shared" si="90"/>
        <v>312.81310692672895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297.59999999999951</v>
      </c>
      <c r="BE127" s="14">
        <f>BD127*VLOOKUP('Données projet'!$B$11,Paramètres!$A$1:$I$89,3,0)*VLOOKUP('Données projet'!$B$11,Paramètres!$A$1:$I$89,5,0)</f>
        <v>269.26847999999956</v>
      </c>
      <c r="BF127" s="14">
        <f t="shared" si="91"/>
        <v>64.693997776951122</v>
      </c>
      <c r="BG127" s="22">
        <f t="shared" si="61"/>
        <v>581.65131546152236</v>
      </c>
      <c r="BH127" s="60">
        <f t="shared" si="62"/>
        <v>874.98464879485573</v>
      </c>
      <c r="BI127" s="60">
        <f ca="1">AVERAGE(OFFSET($BH$3,0,0,'Données projet'!$E$11+1,1))-AVERAGE(OFFSET($H$3,0,0,'Données projet'!$E$11+1,1))</f>
        <v>430.11660085503223</v>
      </c>
      <c r="BJ127" s="60">
        <f t="shared" si="92"/>
        <v>231.36959598460686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3.4</v>
      </c>
      <c r="BY127" s="13">
        <f>IF('Données projet'!$A$114&gt;35,BY126+BX127-CG126,IF(A127&lt;'Données projet'!$A$114,$BV$205^A127,IF(A127='Données projet'!$A$114,'Données projet'!$B$114,BY126+BX127-CG126)))</f>
        <v>297.59999999999951</v>
      </c>
      <c r="BZ127" s="14">
        <f>BY127*VLOOKUP('Données projet'!$B$12,Paramètres!$A$1:$I$89,3,0)*VLOOKUP('Données projet'!$B$12,Paramètres!$A$1:$I$89,5,0)</f>
        <v>301.76639999999952</v>
      </c>
      <c r="CA127" s="14">
        <f t="shared" si="93"/>
        <v>71.546642144235236</v>
      </c>
      <c r="CB127" s="22">
        <f t="shared" si="64"/>
        <v>650.18688173454223</v>
      </c>
      <c r="CC127" s="60">
        <f t="shared" si="65"/>
        <v>943.5202150678756</v>
      </c>
      <c r="CD127" s="60">
        <f ca="1">AVERAGE(OFFSET($CC$3,0,0,'Données projet'!$E$12+1,1))-AVERAGE(OFFSET($H$3,0,0,'Données projet'!$E$12+1,1))</f>
        <v>476.8965664931755</v>
      </c>
      <c r="CE127" s="60">
        <f t="shared" si="94"/>
        <v>254.25036207346591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3.4</v>
      </c>
      <c r="CT127" s="13">
        <f>IF('Données projet'!$A$140&gt;35,CT126+CS127-DB126,IF(A127&lt;'Données projet'!$A$140,$CQ$205^A127,IF(A127='Données projet'!$A$140,'Données projet'!$B$140,CT126+CS127-DB126)))</f>
        <v>297.59999999999951</v>
      </c>
      <c r="CU127" s="18">
        <f>CT127*VLOOKUP('Données projet'!$B$13,Paramètres!$A$1:$I$89,3,0)*VLOOKUP('Données projet'!$B$13,Paramètres!$A$1:$I$89,5,0)</f>
        <v>287.83871999999951</v>
      </c>
      <c r="CV127" s="14">
        <f t="shared" si="95"/>
        <v>68.620884395190174</v>
      </c>
      <c r="CW127" s="22">
        <f t="shared" si="67"/>
        <v>620.83381098828875</v>
      </c>
      <c r="CX127" s="60">
        <f t="shared" si="68"/>
        <v>914.16714432162212</v>
      </c>
      <c r="CY127" s="60">
        <f ca="1">AVERAGE(OFFSET($CX$3,0,0,'Données projet'!$E$13+1,1))-AVERAGE(OFFSET($H$3,0,0,'Données projet'!$E$13+1,1))</f>
        <v>456.86147223520601</v>
      </c>
      <c r="CZ127" s="60">
        <f t="shared" si="96"/>
        <v>244.45149244446094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2.5579538487363607E-13</v>
      </c>
      <c r="DP127" s="18">
        <f>DO127*VLOOKUP('Données projet'!$B$14,Paramètres!$A$1:$I$89,3,0)*VLOOKUP('Données projet'!$B$14,Paramètres!$A$1:$I$89,5,0)</f>
        <v>2.4341488824575211E-13</v>
      </c>
      <c r="DQ127" s="14">
        <f t="shared" si="97"/>
        <v>3.2970717324875541E-12</v>
      </c>
      <c r="DR127" s="22">
        <f t="shared" si="70"/>
        <v>6.1663475311105072E-12</v>
      </c>
      <c r="DS127" s="60">
        <f t="shared" si="71"/>
        <v>293.33333333333945</v>
      </c>
      <c r="DT127" s="60">
        <f ca="1">AVERAGE(OFFSET($DS$3,0,0,'Données projet'!$E$14+1,1))-AVERAGE(OFFSET($H$3,0,0,'Données projet'!$E$14+1,1))</f>
        <v>300.36889324671682</v>
      </c>
      <c r="DU127" s="60">
        <f t="shared" si="98"/>
        <v>214.36051699039683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-4.9658410716801891E-14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202.46844517174412</v>
      </c>
      <c r="EP127" s="60">
        <f t="shared" si="100"/>
        <v>185.00219255324515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7.626113074366004E-14</v>
      </c>
      <c r="FG127" s="14">
        <f t="shared" si="101"/>
        <v>1.1823749172251317E-12</v>
      </c>
      <c r="FH127" s="22">
        <f t="shared" si="76"/>
        <v>2.1921244502123119E-12</v>
      </c>
      <c r="FI127" s="60">
        <f t="shared" si="77"/>
        <v>293.33333333333553</v>
      </c>
      <c r="FJ127" s="60">
        <f ca="1">AVERAGE(OFFSET($FI$3,0,0,'Données projet'!$E$16+1,1))-AVERAGE(OFFSET($H$3,0,0,'Données projet'!$E$16+1,1))</f>
        <v>344.87493856469382</v>
      </c>
      <c r="FK127" s="60">
        <f t="shared" si="102"/>
        <v>261.91036689641402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268.19959446602911</v>
      </c>
      <c r="GF127" s="60">
        <f t="shared" si="104"/>
        <v>691.2533336811855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22.340991018816528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22.340991018816528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1.1368683772161603E-13</v>
      </c>
      <c r="GV127" s="18">
        <f>GU127*VLOOKUP('Données projet'!$B$18,Paramètres!$A$1:$I$89,3,0)*VLOOKUP('Données projet'!$B$18,Paramètres!$A$1:$I$89,5,0)</f>
        <v>8.8675733422860506E-14</v>
      </c>
      <c r="GW127" s="14">
        <f t="shared" si="105"/>
        <v>1.3509285393066301E-12</v>
      </c>
      <c r="GX127" s="22">
        <f t="shared" si="82"/>
        <v>2.5073107750038623E-12</v>
      </c>
      <c r="GY127" s="60">
        <f t="shared" si="83"/>
        <v>293.33333333333582</v>
      </c>
      <c r="GZ127" s="60">
        <f ca="1">AVERAGE(OFFSET($GY$3,0,0,'Données projet'!$E$18+1,1))-AVERAGE(OFFSET($H$3,0,0,'Données projet'!$E$18+1,1))</f>
        <v>292.57482726862594</v>
      </c>
      <c r="HA127" s="60">
        <f t="shared" si="106"/>
        <v>283.48738729114024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399.92909819003523</v>
      </c>
      <c r="T128" s="60">
        <f t="shared" si="88"/>
        <v>163.7053537268381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-5.6843418860808015E-13</v>
      </c>
      <c r="AJ128" s="14">
        <f>AI128*VLOOKUP('Données projet'!$B$10,Paramètres!$A$1:$I$89,3,0)*VLOOKUP('Données projet'!$B$10,Paramètres!$A$1:$I$89,5,0)</f>
        <v>-3.39923644787632E-13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455.43477166687273</v>
      </c>
      <c r="AO128" s="60">
        <f t="shared" si="90"/>
        <v>312.81310692672895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300.99999999999949</v>
      </c>
      <c r="BE128" s="14">
        <f>BD128*VLOOKUP('Données projet'!$B$11,Paramètres!$A$1:$I$89,3,0)*VLOOKUP('Données projet'!$B$11,Paramètres!$A$1:$I$89,5,0)</f>
        <v>272.34479999999957</v>
      </c>
      <c r="BF128" s="14">
        <f t="shared" si="91"/>
        <v>65.346644318451652</v>
      </c>
      <c r="BG128" s="22">
        <f t="shared" si="61"/>
        <v>588.14593218796915</v>
      </c>
      <c r="BH128" s="60">
        <f t="shared" si="62"/>
        <v>881.47926552130252</v>
      </c>
      <c r="BI128" s="60">
        <f ca="1">AVERAGE(OFFSET($BH$3,0,0,'Données projet'!$E$11+1,1))-AVERAGE(OFFSET($H$3,0,0,'Données projet'!$E$11+1,1))</f>
        <v>430.11660085503223</v>
      </c>
      <c r="BJ128" s="60">
        <f t="shared" si="92"/>
        <v>231.36959598460686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301</v>
      </c>
      <c r="BW128" s="13">
        <f>VLOOKUP(A128,'Données projet'!$A$113:$I$133,9,0)</f>
        <v>3.4</v>
      </c>
      <c r="BX128" s="13">
        <f t="array" ref="BX128">INDEX(BW:BW,MIN(IF(ISNUMBER(BW128:BW324),ROW(BW128:BW324),"")))</f>
        <v>3.4</v>
      </c>
      <c r="BY128" s="13">
        <f>IF('Données projet'!$A$114&gt;35,BY127+BX128-CG127,IF(A128&lt;'Données projet'!$A$114,$BV$205^A128,IF(A128='Données projet'!$A$114,'Données projet'!$B$114,BY127+BX128-CG127)))</f>
        <v>300.99999999999949</v>
      </c>
      <c r="BZ128" s="14">
        <f>BY128*VLOOKUP('Données projet'!$B$12,Paramètres!$A$1:$I$89,3,0)*VLOOKUP('Données projet'!$B$12,Paramètres!$A$1:$I$89,5,0)</f>
        <v>305.21399999999949</v>
      </c>
      <c r="CA128" s="14">
        <f t="shared" si="93"/>
        <v>72.268419591231208</v>
      </c>
      <c r="CB128" s="22">
        <f t="shared" si="64"/>
        <v>657.44854745472685</v>
      </c>
      <c r="CC128" s="60">
        <f t="shared" si="65"/>
        <v>950.78188078806011</v>
      </c>
      <c r="CD128" s="60">
        <f ca="1">AVERAGE(OFFSET($CC$3,0,0,'Données projet'!$E$12+1,1))-AVERAGE(OFFSET($H$3,0,0,'Données projet'!$E$12+1,1))</f>
        <v>476.8965664931755</v>
      </c>
      <c r="CE128" s="60">
        <f t="shared" si="94"/>
        <v>254.25036207346591</v>
      </c>
      <c r="CF128" s="16">
        <f>IF(ISNA(VLOOKUP(A128,'Données projet'!$A$113:$I$133,3,0)),0,VLOOKUP(A128,'Données projet'!$A$113:$I$133,3,0))</f>
        <v>11</v>
      </c>
      <c r="CG128" s="16">
        <f>IF(ISNA(VLOOKUP(A128,'Données projet'!$A$113:$I$133,4,0)),0,VLOOKUP(A128,'Données projet'!$A$113:$I$133,4,0))</f>
        <v>33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301</v>
      </c>
      <c r="CR128" s="13">
        <f>VLOOKUP(A128,'Données projet'!$A$139:$I$159,9,0)</f>
        <v>3.4</v>
      </c>
      <c r="CS128" s="13">
        <f t="array" ref="CS128">INDEX(CR:CR,MIN(IF(ISNUMBER(CR128:CR324),ROW(CR128:CR324),"")))</f>
        <v>3.4</v>
      </c>
      <c r="CT128" s="13">
        <f>IF('Données projet'!$A$140&gt;35,CT127+CS128-DB127,IF(A128&lt;'Données projet'!$A$140,$CQ$205^A128,IF(A128='Données projet'!$A$140,'Données projet'!$B$140,CT127+CS128-DB127)))</f>
        <v>300.99999999999949</v>
      </c>
      <c r="CU128" s="18">
        <f>CT128*VLOOKUP('Données projet'!$B$13,Paramètres!$A$1:$I$89,3,0)*VLOOKUP('Données projet'!$B$13,Paramètres!$A$1:$I$89,5,0)</f>
        <v>291.1271999999995</v>
      </c>
      <c r="CV128" s="14">
        <f t="shared" si="95"/>
        <v>69.313146187847238</v>
      </c>
      <c r="CW128" s="22">
        <f t="shared" si="67"/>
        <v>627.76693627716634</v>
      </c>
      <c r="CX128" s="60">
        <f t="shared" si="68"/>
        <v>921.10026961049971</v>
      </c>
      <c r="CY128" s="60">
        <f ca="1">AVERAGE(OFFSET($CX$3,0,0,'Données projet'!$E$13+1,1))-AVERAGE(OFFSET($H$3,0,0,'Données projet'!$E$13+1,1))</f>
        <v>456.86147223520601</v>
      </c>
      <c r="CZ128" s="60">
        <f t="shared" si="96"/>
        <v>244.45149244446094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33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2.5579538487363607E-13</v>
      </c>
      <c r="DP128" s="18">
        <f>DO128*VLOOKUP('Données projet'!$B$14,Paramètres!$A$1:$I$89,3,0)*VLOOKUP('Données projet'!$B$14,Paramètres!$A$1:$I$89,5,0)</f>
        <v>2.4341488824575211E-13</v>
      </c>
      <c r="DQ128" s="14">
        <f t="shared" si="97"/>
        <v>3.2970717324875541E-12</v>
      </c>
      <c r="DR128" s="22">
        <f t="shared" si="70"/>
        <v>6.1663475311105072E-12</v>
      </c>
      <c r="DS128" s="60">
        <f t="shared" si="71"/>
        <v>293.33333333333945</v>
      </c>
      <c r="DT128" s="60">
        <f ca="1">AVERAGE(OFFSET($DS$3,0,0,'Données projet'!$E$14+1,1))-AVERAGE(OFFSET($H$3,0,0,'Données projet'!$E$14+1,1))</f>
        <v>300.36889324671682</v>
      </c>
      <c r="DU128" s="60">
        <f t="shared" si="98"/>
        <v>214.36051699039683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-4.9658410716801891E-14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202.46844517174412</v>
      </c>
      <c r="EP128" s="60">
        <f t="shared" si="100"/>
        <v>185.00219255324515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7.626113074366004E-14</v>
      </c>
      <c r="FG128" s="14">
        <f t="shared" si="101"/>
        <v>1.1823749172251317E-12</v>
      </c>
      <c r="FH128" s="22">
        <f t="shared" si="76"/>
        <v>2.1921244502123119E-12</v>
      </c>
      <c r="FI128" s="60">
        <f t="shared" si="77"/>
        <v>293.33333333333553</v>
      </c>
      <c r="FJ128" s="60">
        <f ca="1">AVERAGE(OFFSET($FI$3,0,0,'Données projet'!$E$16+1,1))-AVERAGE(OFFSET($H$3,0,0,'Données projet'!$E$16+1,1))</f>
        <v>344.87493856469382</v>
      </c>
      <c r="FK128" s="60">
        <f t="shared" si="102"/>
        <v>261.91036689641402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268.19959446602911</v>
      </c>
      <c r="GF128" s="60">
        <f t="shared" si="104"/>
        <v>691.2533336811855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21.902897811596535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21.902897811596535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1.1368683772161603E-13</v>
      </c>
      <c r="GV128" s="18">
        <f>GU128*VLOOKUP('Données projet'!$B$18,Paramètres!$A$1:$I$89,3,0)*VLOOKUP('Données projet'!$B$18,Paramètres!$A$1:$I$89,5,0)</f>
        <v>8.8675733422860506E-14</v>
      </c>
      <c r="GW128" s="14">
        <f t="shared" si="105"/>
        <v>1.3509285393066301E-12</v>
      </c>
      <c r="GX128" s="22">
        <f t="shared" si="82"/>
        <v>2.5073107750038623E-12</v>
      </c>
      <c r="GY128" s="60">
        <f t="shared" si="83"/>
        <v>293.33333333333582</v>
      </c>
      <c r="GZ128" s="60">
        <f ca="1">AVERAGE(OFFSET($GY$3,0,0,'Données projet'!$E$18+1,1))-AVERAGE(OFFSET($H$3,0,0,'Données projet'!$E$18+1,1))</f>
        <v>292.57482726862594</v>
      </c>
      <c r="HA128" s="60">
        <f t="shared" si="106"/>
        <v>283.48738729114024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399.92909819003523</v>
      </c>
      <c r="T129" s="60">
        <f t="shared" si="88"/>
        <v>163.7053537268381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-5.6843418860808015E-13</v>
      </c>
      <c r="AJ129" s="14">
        <f>AI129*VLOOKUP('Données projet'!$B$10,Paramètres!$A$1:$I$89,3,0)*VLOOKUP('Données projet'!$B$10,Paramètres!$A$1:$I$89,5,0)</f>
        <v>-3.39923644787632E-13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455.43477166687273</v>
      </c>
      <c r="AO129" s="60">
        <f t="shared" si="90"/>
        <v>312.81310692672895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270.99999999999949</v>
      </c>
      <c r="BE129" s="14">
        <f>BD129*VLOOKUP('Données projet'!$B$11,Paramètres!$A$1:$I$89,3,0)*VLOOKUP('Données projet'!$B$11,Paramètres!$A$1:$I$89,5,0)</f>
        <v>245.20079999999953</v>
      </c>
      <c r="BF129" s="14">
        <f t="shared" si="91"/>
        <v>59.557107941433628</v>
      </c>
      <c r="BG129" s="22">
        <f t="shared" si="61"/>
        <v>530.78668966466273</v>
      </c>
      <c r="BH129" s="60">
        <f t="shared" si="62"/>
        <v>824.1200229979961</v>
      </c>
      <c r="BI129" s="60">
        <f ca="1">AVERAGE(OFFSET($BH$3,0,0,'Données projet'!$E$11+1,1))-AVERAGE(OFFSET($H$3,0,0,'Données projet'!$E$11+1,1))</f>
        <v>430.11660085503223</v>
      </c>
      <c r="BJ129" s="60">
        <f t="shared" si="92"/>
        <v>231.36959598460686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</v>
      </c>
      <c r="BY129" s="13">
        <f>IF('Données projet'!$A$114&gt;35,BY128+BX129-CG128,IF(A129&lt;'Données projet'!$A$114,$BV$205^A129,IF(A129='Données projet'!$A$114,'Données projet'!$B$114,BY128+BX129-CG128)))</f>
        <v>270.99999999999949</v>
      </c>
      <c r="BZ129" s="14">
        <f>BY129*VLOOKUP('Données projet'!$B$12,Paramètres!$A$1:$I$89,3,0)*VLOOKUP('Données projet'!$B$12,Paramètres!$A$1:$I$89,5,0)</f>
        <v>274.79399999999947</v>
      </c>
      <c r="CA129" s="14">
        <f t="shared" si="93"/>
        <v>65.865632600455413</v>
      </c>
      <c r="CB129" s="22">
        <f t="shared" si="64"/>
        <v>593.31552677912566</v>
      </c>
      <c r="CC129" s="60">
        <f t="shared" si="65"/>
        <v>886.64886011245903</v>
      </c>
      <c r="CD129" s="60">
        <f ca="1">AVERAGE(OFFSET($CC$3,0,0,'Données projet'!$E$12+1,1))-AVERAGE(OFFSET($H$3,0,0,'Données projet'!$E$12+1,1))</f>
        <v>476.8965664931755</v>
      </c>
      <c r="CE129" s="60">
        <f t="shared" si="94"/>
        <v>254.25036207346591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</v>
      </c>
      <c r="CT129" s="13">
        <f>IF('Données projet'!$A$140&gt;35,CT128+CS129-DB128,IF(A129&lt;'Données projet'!$A$140,$CQ$205^A129,IF(A129='Données projet'!$A$140,'Données projet'!$B$140,CT128+CS129-DB128)))</f>
        <v>270.99999999999949</v>
      </c>
      <c r="CU129" s="18">
        <f>CT129*VLOOKUP('Données projet'!$B$13,Paramètres!$A$1:$I$89,3,0)*VLOOKUP('Données projet'!$B$13,Paramètres!$A$1:$I$89,5,0)</f>
        <v>262.11119999999949</v>
      </c>
      <c r="CV129" s="14">
        <f t="shared" si="95"/>
        <v>63.172188447086931</v>
      </c>
      <c r="CW129" s="22">
        <f t="shared" si="67"/>
        <v>566.53523487867551</v>
      </c>
      <c r="CX129" s="60">
        <f t="shared" si="68"/>
        <v>859.86856821200877</v>
      </c>
      <c r="CY129" s="60">
        <f ca="1">AVERAGE(OFFSET($CX$3,0,0,'Données projet'!$E$13+1,1))-AVERAGE(OFFSET($H$3,0,0,'Données projet'!$E$13+1,1))</f>
        <v>456.86147223520601</v>
      </c>
      <c r="CZ129" s="60">
        <f t="shared" si="96"/>
        <v>244.45149244446094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2.5579538487363607E-13</v>
      </c>
      <c r="DP129" s="18">
        <f>DO129*VLOOKUP('Données projet'!$B$14,Paramètres!$A$1:$I$89,3,0)*VLOOKUP('Données projet'!$B$14,Paramètres!$A$1:$I$89,5,0)</f>
        <v>2.4341488824575211E-13</v>
      </c>
      <c r="DQ129" s="14">
        <f t="shared" si="97"/>
        <v>3.2970717324875541E-12</v>
      </c>
      <c r="DR129" s="22">
        <f t="shared" si="70"/>
        <v>6.1663475311105072E-12</v>
      </c>
      <c r="DS129" s="60">
        <f t="shared" si="71"/>
        <v>293.33333333333945</v>
      </c>
      <c r="DT129" s="60">
        <f ca="1">AVERAGE(OFFSET($DS$3,0,0,'Données projet'!$E$14+1,1))-AVERAGE(OFFSET($H$3,0,0,'Données projet'!$E$14+1,1))</f>
        <v>300.36889324671682</v>
      </c>
      <c r="DU129" s="60">
        <f t="shared" si="98"/>
        <v>214.36051699039683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-4.9658410716801891E-14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202.46844517174412</v>
      </c>
      <c r="EP129" s="60">
        <f t="shared" si="100"/>
        <v>185.00219255324515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7.626113074366004E-14</v>
      </c>
      <c r="FG129" s="14">
        <f t="shared" si="101"/>
        <v>1.1823749172251317E-12</v>
      </c>
      <c r="FH129" s="22">
        <f t="shared" si="76"/>
        <v>2.1921244502123119E-12</v>
      </c>
      <c r="FI129" s="60">
        <f t="shared" si="77"/>
        <v>293.33333333333553</v>
      </c>
      <c r="FJ129" s="60">
        <f ca="1">AVERAGE(OFFSET($FI$3,0,0,'Données projet'!$E$16+1,1))-AVERAGE(OFFSET($H$3,0,0,'Données projet'!$E$16+1,1))</f>
        <v>344.87493856469382</v>
      </c>
      <c r="FK129" s="60">
        <f t="shared" si="102"/>
        <v>261.91036689641402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268.19959446602911</v>
      </c>
      <c r="GF129" s="60">
        <f t="shared" si="104"/>
        <v>691.2533336811855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21.473395344959656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21.473395344959656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1.1368683772161603E-13</v>
      </c>
      <c r="GV129" s="18">
        <f>GU129*VLOOKUP('Données projet'!$B$18,Paramètres!$A$1:$I$89,3,0)*VLOOKUP('Données projet'!$B$18,Paramètres!$A$1:$I$89,5,0)</f>
        <v>8.8675733422860506E-14</v>
      </c>
      <c r="GW129" s="14">
        <f t="shared" si="105"/>
        <v>1.3509285393066301E-12</v>
      </c>
      <c r="GX129" s="22">
        <f t="shared" si="82"/>
        <v>2.5073107750038623E-12</v>
      </c>
      <c r="GY129" s="60">
        <f t="shared" si="83"/>
        <v>293.33333333333582</v>
      </c>
      <c r="GZ129" s="60">
        <f ca="1">AVERAGE(OFFSET($GY$3,0,0,'Données projet'!$E$18+1,1))-AVERAGE(OFFSET($H$3,0,0,'Données projet'!$E$18+1,1))</f>
        <v>292.57482726862594</v>
      </c>
      <c r="HA129" s="60">
        <f t="shared" si="106"/>
        <v>283.48738729114024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399.92909819003523</v>
      </c>
      <c r="T130" s="60">
        <f t="shared" si="88"/>
        <v>163.7053537268381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-5.6843418860808015E-13</v>
      </c>
      <c r="AJ130" s="14">
        <f>AI130*VLOOKUP('Données projet'!$B$10,Paramètres!$A$1:$I$89,3,0)*VLOOKUP('Données projet'!$B$10,Paramètres!$A$1:$I$89,5,0)</f>
        <v>-3.39923644787632E-13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455.43477166687273</v>
      </c>
      <c r="AO130" s="60">
        <f t="shared" si="90"/>
        <v>312.81310692672895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273.99999999999949</v>
      </c>
      <c r="BE130" s="14">
        <f>BD130*VLOOKUP('Données projet'!$B$11,Paramètres!$A$1:$I$89,3,0)*VLOOKUP('Données projet'!$B$11,Paramètres!$A$1:$I$89,5,0)</f>
        <v>247.91519999999954</v>
      </c>
      <c r="BF130" s="14">
        <f t="shared" si="91"/>
        <v>60.139294964297356</v>
      </c>
      <c r="BG130" s="22">
        <f t="shared" si="61"/>
        <v>536.52824539615051</v>
      </c>
      <c r="BH130" s="60">
        <f t="shared" si="62"/>
        <v>829.86157872948388</v>
      </c>
      <c r="BI130" s="60">
        <f ca="1">AVERAGE(OFFSET($BH$3,0,0,'Données projet'!$E$11+1,1))-AVERAGE(OFFSET($H$3,0,0,'Données projet'!$E$11+1,1))</f>
        <v>430.11660085503223</v>
      </c>
      <c r="BJ130" s="60">
        <f t="shared" si="92"/>
        <v>231.36959598460686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</v>
      </c>
      <c r="BY130" s="13">
        <f>IF('Données projet'!$A$114&gt;35,BY129+BX130-CG129,IF(A130&lt;'Données projet'!$A$114,$BV$205^A130,IF(A130='Données projet'!$A$114,'Données projet'!$B$114,BY129+BX130-CG129)))</f>
        <v>273.99999999999949</v>
      </c>
      <c r="BZ130" s="14">
        <f>BY130*VLOOKUP('Données projet'!$B$12,Paramètres!$A$1:$I$89,3,0)*VLOOKUP('Données projet'!$B$12,Paramètres!$A$1:$I$89,5,0)</f>
        <v>277.8359999999995</v>
      </c>
      <c r="CA130" s="14">
        <f t="shared" si="93"/>
        <v>66.509487177652204</v>
      </c>
      <c r="CB130" s="22">
        <f t="shared" si="64"/>
        <v>599.73505683440999</v>
      </c>
      <c r="CC130" s="60">
        <f t="shared" si="65"/>
        <v>893.06839016774325</v>
      </c>
      <c r="CD130" s="60">
        <f ca="1">AVERAGE(OFFSET($CC$3,0,0,'Données projet'!$E$12+1,1))-AVERAGE(OFFSET($H$3,0,0,'Données projet'!$E$12+1,1))</f>
        <v>476.8965664931755</v>
      </c>
      <c r="CE130" s="60">
        <f t="shared" si="94"/>
        <v>254.25036207346591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</v>
      </c>
      <c r="CT130" s="13">
        <f>IF('Données projet'!$A$140&gt;35,CT129+CS130-DB129,IF(A130&lt;'Données projet'!$A$140,$CQ$205^A130,IF(A130='Données projet'!$A$140,'Données projet'!$B$140,CT129+CS130-DB129)))</f>
        <v>273.99999999999949</v>
      </c>
      <c r="CU130" s="18">
        <f>CT130*VLOOKUP('Données projet'!$B$13,Paramètres!$A$1:$I$89,3,0)*VLOOKUP('Données projet'!$B$13,Paramètres!$A$1:$I$89,5,0)</f>
        <v>265.01279999999952</v>
      </c>
      <c r="CV130" s="14">
        <f t="shared" si="95"/>
        <v>63.789713870852616</v>
      </c>
      <c r="CW130" s="22">
        <f t="shared" si="67"/>
        <v>572.66437832506745</v>
      </c>
      <c r="CX130" s="60">
        <f t="shared" si="68"/>
        <v>865.9977116584007</v>
      </c>
      <c r="CY130" s="60">
        <f ca="1">AVERAGE(OFFSET($CX$3,0,0,'Données projet'!$E$13+1,1))-AVERAGE(OFFSET($H$3,0,0,'Données projet'!$E$13+1,1))</f>
        <v>456.86147223520601</v>
      </c>
      <c r="CZ130" s="60">
        <f t="shared" si="96"/>
        <v>244.45149244446094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2.5579538487363607E-13</v>
      </c>
      <c r="DP130" s="18">
        <f>DO130*VLOOKUP('Données projet'!$B$14,Paramètres!$A$1:$I$89,3,0)*VLOOKUP('Données projet'!$B$14,Paramètres!$A$1:$I$89,5,0)</f>
        <v>2.4341488824575211E-13</v>
      </c>
      <c r="DQ130" s="14">
        <f t="shared" si="97"/>
        <v>3.2970717324875541E-12</v>
      </c>
      <c r="DR130" s="22">
        <f t="shared" si="70"/>
        <v>6.1663475311105072E-12</v>
      </c>
      <c r="DS130" s="60">
        <f t="shared" si="71"/>
        <v>293.33333333333945</v>
      </c>
      <c r="DT130" s="60">
        <f ca="1">AVERAGE(OFFSET($DS$3,0,0,'Données projet'!$E$14+1,1))-AVERAGE(OFFSET($H$3,0,0,'Données projet'!$E$14+1,1))</f>
        <v>300.36889324671682</v>
      </c>
      <c r="DU130" s="60">
        <f t="shared" si="98"/>
        <v>214.36051699039683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-4.9658410716801891E-14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202.46844517174412</v>
      </c>
      <c r="EP130" s="60">
        <f t="shared" si="100"/>
        <v>185.00219255324515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7.626113074366004E-14</v>
      </c>
      <c r="FG130" s="14">
        <f t="shared" si="101"/>
        <v>1.1823749172251317E-12</v>
      </c>
      <c r="FH130" s="22">
        <f t="shared" si="76"/>
        <v>2.1921244502123119E-12</v>
      </c>
      <c r="FI130" s="60">
        <f t="shared" si="77"/>
        <v>293.33333333333553</v>
      </c>
      <c r="FJ130" s="60">
        <f ca="1">AVERAGE(OFFSET($FI$3,0,0,'Données projet'!$E$16+1,1))-AVERAGE(OFFSET($H$3,0,0,'Données projet'!$E$16+1,1))</f>
        <v>344.87493856469382</v>
      </c>
      <c r="FK130" s="60">
        <f t="shared" si="102"/>
        <v>261.91036689641402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268.19959446602911</v>
      </c>
      <c r="GF130" s="60">
        <f t="shared" si="104"/>
        <v>691.2533336811855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21.052315159722887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21.052315159722887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1.1368683772161603E-13</v>
      </c>
      <c r="GV130" s="18">
        <f>GU130*VLOOKUP('Données projet'!$B$18,Paramètres!$A$1:$I$89,3,0)*VLOOKUP('Données projet'!$B$18,Paramètres!$A$1:$I$89,5,0)</f>
        <v>8.8675733422860506E-14</v>
      </c>
      <c r="GW130" s="14">
        <f t="shared" si="105"/>
        <v>1.3509285393066301E-12</v>
      </c>
      <c r="GX130" s="22">
        <f t="shared" si="82"/>
        <v>2.5073107750038623E-12</v>
      </c>
      <c r="GY130" s="60">
        <f t="shared" si="83"/>
        <v>293.33333333333582</v>
      </c>
      <c r="GZ130" s="60">
        <f ca="1">AVERAGE(OFFSET($GY$3,0,0,'Données projet'!$E$18+1,1))-AVERAGE(OFFSET($H$3,0,0,'Données projet'!$E$18+1,1))</f>
        <v>292.57482726862594</v>
      </c>
      <c r="HA130" s="60">
        <f t="shared" si="106"/>
        <v>283.48738729114024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399.92909819003523</v>
      </c>
      <c r="T131" s="60">
        <f t="shared" si="88"/>
        <v>163.7053537268381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-5.6843418860808015E-13</v>
      </c>
      <c r="AJ131" s="14">
        <f>AI131*VLOOKUP('Données projet'!$B$10,Paramètres!$A$1:$I$89,3,0)*VLOOKUP('Données projet'!$B$10,Paramètres!$A$1:$I$89,5,0)</f>
        <v>-3.39923644787632E-13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455.43477166687273</v>
      </c>
      <c r="AO131" s="60">
        <f t="shared" si="90"/>
        <v>312.81310692672895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276.99999999999949</v>
      </c>
      <c r="BE131" s="14">
        <f>BD131*VLOOKUP('Données projet'!$B$11,Paramètres!$A$1:$I$89,3,0)*VLOOKUP('Données projet'!$B$11,Paramètres!$A$1:$I$89,5,0)</f>
        <v>250.62959999999953</v>
      </c>
      <c r="BF131" s="14">
        <f t="shared" si="91"/>
        <v>60.720740474356262</v>
      </c>
      <c r="BG131" s="22">
        <f t="shared" si="61"/>
        <v>542.26850965950291</v>
      </c>
      <c r="BH131" s="60">
        <f t="shared" si="62"/>
        <v>835.60184299283628</v>
      </c>
      <c r="BI131" s="60">
        <f ca="1">AVERAGE(OFFSET($BH$3,0,0,'Données projet'!$E$11+1,1))-AVERAGE(OFFSET($H$3,0,0,'Données projet'!$E$11+1,1))</f>
        <v>430.11660085503223</v>
      </c>
      <c r="BJ131" s="60">
        <f t="shared" si="92"/>
        <v>231.36959598460686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</v>
      </c>
      <c r="BY131" s="13">
        <f>IF('Données projet'!$A$114&gt;35,BY130+BX131-CG130,IF(A131&lt;'Données projet'!$A$114,$BV$205^A131,IF(A131='Données projet'!$A$114,'Données projet'!$B$114,BY130+BX131-CG130)))</f>
        <v>276.99999999999949</v>
      </c>
      <c r="BZ131" s="14">
        <f>BY131*VLOOKUP('Données projet'!$B$12,Paramètres!$A$1:$I$89,3,0)*VLOOKUP('Données projet'!$B$12,Paramètres!$A$1:$I$89,5,0)</f>
        <v>280.87799999999947</v>
      </c>
      <c r="CA131" s="14">
        <f t="shared" si="93"/>
        <v>67.152521698072249</v>
      </c>
      <c r="CB131" s="22">
        <f t="shared" si="64"/>
        <v>606.15315862414161</v>
      </c>
      <c r="CC131" s="60">
        <f t="shared" si="65"/>
        <v>899.48649195747498</v>
      </c>
      <c r="CD131" s="60">
        <f ca="1">AVERAGE(OFFSET($CC$3,0,0,'Données projet'!$E$12+1,1))-AVERAGE(OFFSET($H$3,0,0,'Données projet'!$E$12+1,1))</f>
        <v>476.8965664931755</v>
      </c>
      <c r="CE131" s="60">
        <f t="shared" si="94"/>
        <v>254.25036207346591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</v>
      </c>
      <c r="CT131" s="13">
        <f>IF('Données projet'!$A$140&gt;35,CT130+CS131-DB130,IF(A131&lt;'Données projet'!$A$140,$CQ$205^A131,IF(A131='Données projet'!$A$140,'Données projet'!$B$140,CT130+CS131-DB130)))</f>
        <v>276.99999999999949</v>
      </c>
      <c r="CU131" s="18">
        <f>CT131*VLOOKUP('Données projet'!$B$13,Paramètres!$A$1:$I$89,3,0)*VLOOKUP('Données projet'!$B$13,Paramètres!$A$1:$I$89,5,0)</f>
        <v>267.91439999999949</v>
      </c>
      <c r="CV131" s="14">
        <f t="shared" si="95"/>
        <v>64.406452772433894</v>
      </c>
      <c r="CW131" s="22">
        <f t="shared" si="67"/>
        <v>578.79215191198807</v>
      </c>
      <c r="CX131" s="60">
        <f t="shared" si="68"/>
        <v>872.12548524532144</v>
      </c>
      <c r="CY131" s="60">
        <f ca="1">AVERAGE(OFFSET($CX$3,0,0,'Données projet'!$E$13+1,1))-AVERAGE(OFFSET($H$3,0,0,'Données projet'!$E$13+1,1))</f>
        <v>456.86147223520601</v>
      </c>
      <c r="CZ131" s="60">
        <f t="shared" si="96"/>
        <v>244.45149244446094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2.5579538487363607E-13</v>
      </c>
      <c r="DP131" s="18">
        <f>DO131*VLOOKUP('Données projet'!$B$14,Paramètres!$A$1:$I$89,3,0)*VLOOKUP('Données projet'!$B$14,Paramètres!$A$1:$I$89,5,0)</f>
        <v>2.4341488824575211E-13</v>
      </c>
      <c r="DQ131" s="14">
        <f t="shared" si="97"/>
        <v>3.2970717324875541E-12</v>
      </c>
      <c r="DR131" s="22">
        <f t="shared" si="70"/>
        <v>6.1663475311105072E-12</v>
      </c>
      <c r="DS131" s="60">
        <f t="shared" si="71"/>
        <v>293.33333333333945</v>
      </c>
      <c r="DT131" s="60">
        <f ca="1">AVERAGE(OFFSET($DS$3,0,0,'Données projet'!$E$14+1,1))-AVERAGE(OFFSET($H$3,0,0,'Données projet'!$E$14+1,1))</f>
        <v>300.36889324671682</v>
      </c>
      <c r="DU131" s="60">
        <f t="shared" si="98"/>
        <v>214.36051699039683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-4.9658410716801891E-14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202.46844517174412</v>
      </c>
      <c r="EP131" s="60">
        <f t="shared" si="100"/>
        <v>185.00219255324515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7.626113074366004E-14</v>
      </c>
      <c r="FG131" s="14">
        <f t="shared" si="101"/>
        <v>1.1823749172251317E-12</v>
      </c>
      <c r="FH131" s="22">
        <f t="shared" si="76"/>
        <v>2.1921244502123119E-12</v>
      </c>
      <c r="FI131" s="60">
        <f t="shared" si="77"/>
        <v>293.33333333333553</v>
      </c>
      <c r="FJ131" s="60">
        <f ca="1">AVERAGE(OFFSET($FI$3,0,0,'Données projet'!$E$16+1,1))-AVERAGE(OFFSET($H$3,0,0,'Données projet'!$E$16+1,1))</f>
        <v>344.87493856469382</v>
      </c>
      <c r="FK131" s="60">
        <f t="shared" si="102"/>
        <v>261.91036689641402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268.19959446602911</v>
      </c>
      <c r="GF131" s="60">
        <f t="shared" si="104"/>
        <v>691.2533336811855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20.639492100085061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20.639492100085061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1.1368683772161603E-13</v>
      </c>
      <c r="GV131" s="18">
        <f>GU131*VLOOKUP('Données projet'!$B$18,Paramètres!$A$1:$I$89,3,0)*VLOOKUP('Données projet'!$B$18,Paramètres!$A$1:$I$89,5,0)</f>
        <v>8.8675733422860506E-14</v>
      </c>
      <c r="GW131" s="14">
        <f t="shared" si="105"/>
        <v>1.3509285393066301E-12</v>
      </c>
      <c r="GX131" s="22">
        <f t="shared" si="82"/>
        <v>2.5073107750038623E-12</v>
      </c>
      <c r="GY131" s="60">
        <f t="shared" si="83"/>
        <v>293.33333333333582</v>
      </c>
      <c r="GZ131" s="60">
        <f ca="1">AVERAGE(OFFSET($GY$3,0,0,'Données projet'!$E$18+1,1))-AVERAGE(OFFSET($H$3,0,0,'Données projet'!$E$18+1,1))</f>
        <v>292.57482726862594</v>
      </c>
      <c r="HA131" s="60">
        <f t="shared" si="106"/>
        <v>283.48738729114024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399.92909819003523</v>
      </c>
      <c r="T132" s="60">
        <f t="shared" si="88"/>
        <v>163.7053537268381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-5.6843418860808015E-13</v>
      </c>
      <c r="AJ132" s="14">
        <f>AI132*VLOOKUP('Données projet'!$B$10,Paramètres!$A$1:$I$89,3,0)*VLOOKUP('Données projet'!$B$10,Paramètres!$A$1:$I$89,5,0)</f>
        <v>-3.39923644787632E-13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455.43477166687273</v>
      </c>
      <c r="AO132" s="60">
        <f t="shared" si="90"/>
        <v>312.81310692672895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279.99999999999949</v>
      </c>
      <c r="BE132" s="14">
        <f>BD132*VLOOKUP('Données projet'!$B$11,Paramètres!$A$1:$I$89,3,0)*VLOOKUP('Données projet'!$B$11,Paramètres!$A$1:$I$89,5,0)</f>
        <v>253.34399999999954</v>
      </c>
      <c r="BF132" s="14">
        <f t="shared" si="91"/>
        <v>61.301453431926198</v>
      </c>
      <c r="BG132" s="22">
        <f t="shared" ref="BG132:BG153" si="115">(BE132+BF132)*0.475*44/12</f>
        <v>548.00749806060389</v>
      </c>
      <c r="BH132" s="60">
        <f t="shared" ref="BH132:BH195" si="116">BG132+(AY132+AZ132)*44/12</f>
        <v>841.34083139393715</v>
      </c>
      <c r="BI132" s="60">
        <f ca="1">AVERAGE(OFFSET($BH$3,0,0,'Données projet'!$E$11+1,1))-AVERAGE(OFFSET($H$3,0,0,'Données projet'!$E$11+1,1))</f>
        <v>430.11660085503223</v>
      </c>
      <c r="BJ132" s="60">
        <f t="shared" si="92"/>
        <v>231.36959598460686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</v>
      </c>
      <c r="BY132" s="13">
        <f>IF('Données projet'!$A$114&gt;35,BY131+BX132-CG131,IF(A132&lt;'Données projet'!$A$114,$BV$205^A132,IF(A132='Données projet'!$A$114,'Données projet'!$B$114,BY131+BX132-CG131)))</f>
        <v>279.99999999999949</v>
      </c>
      <c r="BZ132" s="14">
        <f>BY132*VLOOKUP('Données projet'!$B$12,Paramètres!$A$1:$I$89,3,0)*VLOOKUP('Données projet'!$B$12,Paramètres!$A$1:$I$89,5,0)</f>
        <v>283.9199999999995</v>
      </c>
      <c r="CA132" s="14">
        <f t="shared" si="93"/>
        <v>67.794746071143507</v>
      </c>
      <c r="CB132" s="22">
        <f t="shared" ref="CB132:CB153" si="118">(BZ132+CA132)*0.475*44/12</f>
        <v>612.56984940724067</v>
      </c>
      <c r="CC132" s="60">
        <f t="shared" ref="CC132:CC195" si="119">CB132+(BT132+BU132)*44/12</f>
        <v>905.90318274057404</v>
      </c>
      <c r="CD132" s="60">
        <f ca="1">AVERAGE(OFFSET($CC$3,0,0,'Données projet'!$E$12+1,1))-AVERAGE(OFFSET($H$3,0,0,'Données projet'!$E$12+1,1))</f>
        <v>476.8965664931755</v>
      </c>
      <c r="CE132" s="60">
        <f t="shared" si="94"/>
        <v>254.25036207346591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</v>
      </c>
      <c r="CT132" s="13">
        <f>IF('Données projet'!$A$140&gt;35,CT131+CS132-DB131,IF(A132&lt;'Données projet'!$A$140,$CQ$205^A132,IF(A132='Données projet'!$A$140,'Données projet'!$B$140,CT131+CS132-DB131)))</f>
        <v>279.99999999999949</v>
      </c>
      <c r="CU132" s="18">
        <f>CT132*VLOOKUP('Données projet'!$B$13,Paramètres!$A$1:$I$89,3,0)*VLOOKUP('Données projet'!$B$13,Paramètres!$A$1:$I$89,5,0)</f>
        <v>270.81599999999952</v>
      </c>
      <c r="CV132" s="14">
        <f t="shared" si="95"/>
        <v>65.022414656032197</v>
      </c>
      <c r="CW132" s="22">
        <f t="shared" ref="CW132:CW153" si="121">(CU132+CV132)*0.475*44/12</f>
        <v>584.91857219258861</v>
      </c>
      <c r="CX132" s="60">
        <f t="shared" ref="CX132:CX195" si="122">CW132+(CO132+CP132)*44/12</f>
        <v>878.25190552592198</v>
      </c>
      <c r="CY132" s="60">
        <f ca="1">AVERAGE(OFFSET($CX$3,0,0,'Données projet'!$E$13+1,1))-AVERAGE(OFFSET($H$3,0,0,'Données projet'!$E$13+1,1))</f>
        <v>456.86147223520601</v>
      </c>
      <c r="CZ132" s="60">
        <f t="shared" si="96"/>
        <v>244.45149244446094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2.5579538487363607E-13</v>
      </c>
      <c r="DP132" s="18">
        <f>DO132*VLOOKUP('Données projet'!$B$14,Paramètres!$A$1:$I$89,3,0)*VLOOKUP('Données projet'!$B$14,Paramètres!$A$1:$I$89,5,0)</f>
        <v>2.4341488824575211E-13</v>
      </c>
      <c r="DQ132" s="14">
        <f t="shared" si="97"/>
        <v>3.2970717324875541E-12</v>
      </c>
      <c r="DR132" s="22">
        <f t="shared" ref="DR132:DR153" si="124">(DP132+DQ132)*0.475*44/12</f>
        <v>6.1663475311105072E-12</v>
      </c>
      <c r="DS132" s="60">
        <f t="shared" ref="DS132:DS195" si="125">DR132+(DJ132+DK132)*44/12</f>
        <v>293.33333333333945</v>
      </c>
      <c r="DT132" s="60">
        <f ca="1">AVERAGE(OFFSET($DS$3,0,0,'Données projet'!$E$14+1,1))-AVERAGE(OFFSET($H$3,0,0,'Données projet'!$E$14+1,1))</f>
        <v>300.36889324671682</v>
      </c>
      <c r="DU132" s="60">
        <f t="shared" si="98"/>
        <v>214.36051699039683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-4.9658410716801891E-14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202.46844517174412</v>
      </c>
      <c r="EP132" s="60">
        <f t="shared" si="100"/>
        <v>185.00219255324515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7.626113074366004E-14</v>
      </c>
      <c r="FG132" s="14">
        <f t="shared" si="101"/>
        <v>1.1823749172251317E-12</v>
      </c>
      <c r="FH132" s="22">
        <f t="shared" ref="FH132:FH153" si="130">(FF132+FG132)*0.475*44/12</f>
        <v>2.1921244502123119E-12</v>
      </c>
      <c r="FI132" s="60">
        <f t="shared" ref="FI132:FI195" si="131">FH132+(EZ132+FA132)*44/12</f>
        <v>293.33333333333553</v>
      </c>
      <c r="FJ132" s="60">
        <f ca="1">AVERAGE(OFFSET($FI$3,0,0,'Données projet'!$E$16+1,1))-AVERAGE(OFFSET($H$3,0,0,'Données projet'!$E$16+1,1))</f>
        <v>344.87493856469382</v>
      </c>
      <c r="FK132" s="60">
        <f t="shared" si="102"/>
        <v>261.91036689641402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268.19959446602911</v>
      </c>
      <c r="GF132" s="60">
        <f t="shared" si="104"/>
        <v>691.2533336811855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20.23476424884953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20.23476424884953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1.1368683772161603E-13</v>
      </c>
      <c r="GV132" s="18">
        <f>GU132*VLOOKUP('Données projet'!$B$18,Paramètres!$A$1:$I$89,3,0)*VLOOKUP('Données projet'!$B$18,Paramètres!$A$1:$I$89,5,0)</f>
        <v>8.8675733422860506E-14</v>
      </c>
      <c r="GW132" s="14">
        <f t="shared" si="105"/>
        <v>1.3509285393066301E-12</v>
      </c>
      <c r="GX132" s="22">
        <f t="shared" ref="GX132:GX153" si="136">(GV132+GW132)*0.475*44/12</f>
        <v>2.5073107750038623E-12</v>
      </c>
      <c r="GY132" s="60">
        <f t="shared" ref="GY132:GY195" si="137">GX132+(GP132+GQ132)*44/12</f>
        <v>293.33333333333582</v>
      </c>
      <c r="GZ132" s="60">
        <f ca="1">AVERAGE(OFFSET($GY$3,0,0,'Données projet'!$E$18+1,1))-AVERAGE(OFFSET($H$3,0,0,'Données projet'!$E$18+1,1))</f>
        <v>292.57482726862594</v>
      </c>
      <c r="HA132" s="60">
        <f t="shared" si="106"/>
        <v>283.48738729114024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399.92909819003523</v>
      </c>
      <c r="T133" s="60">
        <f t="shared" ref="T133:T196" si="142">$T$3</f>
        <v>163.7053537268381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-5.6843418860808015E-13</v>
      </c>
      <c r="AJ133" s="14">
        <f>AI133*VLOOKUP('Données projet'!$B$10,Paramètres!$A$1:$I$89,3,0)*VLOOKUP('Données projet'!$B$10,Paramètres!$A$1:$I$89,5,0)</f>
        <v>-3.39923644787632E-13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455.43477166687273</v>
      </c>
      <c r="AO133" s="60">
        <f t="shared" ref="AO133:AO196" si="144">$AO$3</f>
        <v>312.81310692672895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282.99999999999949</v>
      </c>
      <c r="BE133" s="14">
        <f>BD133*VLOOKUP('Données projet'!$B$11,Paramètres!$A$1:$I$89,3,0)*VLOOKUP('Données projet'!$B$11,Paramètres!$A$1:$I$89,5,0)</f>
        <v>256.05839999999955</v>
      </c>
      <c r="BF133" s="14">
        <f t="shared" ref="BF133:BF153" si="145">EXP(-1.0587+0.8836*LN(BE133)+0.284)</f>
        <v>61.881442594256377</v>
      </c>
      <c r="BG133" s="22">
        <f t="shared" si="115"/>
        <v>553.74522585166233</v>
      </c>
      <c r="BH133" s="60">
        <f t="shared" si="116"/>
        <v>847.07855918499558</v>
      </c>
      <c r="BI133" s="60">
        <f ca="1">AVERAGE(OFFSET($BH$3,0,0,'Données projet'!$E$11+1,1))-AVERAGE(OFFSET($H$3,0,0,'Données projet'!$E$11+1,1))</f>
        <v>430.11660085503223</v>
      </c>
      <c r="BJ133" s="60">
        <f t="shared" ref="BJ133:BJ196" si="146">$BJ$3</f>
        <v>231.36959598460686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3</v>
      </c>
      <c r="BY133" s="13">
        <f>IF('Données projet'!$A$114&gt;35,BY132+BX133-CG132,IF(A133&lt;'Données projet'!$A$114,$BV$205^A133,IF(A133='Données projet'!$A$114,'Données projet'!$B$114,BY132+BX133-CG132)))</f>
        <v>282.99999999999949</v>
      </c>
      <c r="BZ133" s="14">
        <f>BY133*VLOOKUP('Données projet'!$B$12,Paramètres!$A$1:$I$89,3,0)*VLOOKUP('Données projet'!$B$12,Paramètres!$A$1:$I$89,5,0)</f>
        <v>286.96199999999948</v>
      </c>
      <c r="CA133" s="14">
        <f t="shared" ref="CA133:CA153" si="147">EXP(-1.0587+0.8836*LN(BZ133)+0.284)</f>
        <v>68.43616998171774</v>
      </c>
      <c r="CB133" s="22">
        <f t="shared" si="118"/>
        <v>618.9851460514908</v>
      </c>
      <c r="CC133" s="60">
        <f t="shared" si="119"/>
        <v>912.31847938482406</v>
      </c>
      <c r="CD133" s="60">
        <f ca="1">AVERAGE(OFFSET($CC$3,0,0,'Données projet'!$E$12+1,1))-AVERAGE(OFFSET($H$3,0,0,'Données projet'!$E$12+1,1))</f>
        <v>476.8965664931755</v>
      </c>
      <c r="CE133" s="60">
        <f t="shared" ref="CE133:CE196" si="148">$CE$3</f>
        <v>254.25036207346591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3</v>
      </c>
      <c r="CT133" s="13">
        <f>IF('Données projet'!$A$140&gt;35,CT132+CS133-DB132,IF(A133&lt;'Données projet'!$A$140,$CQ$205^A133,IF(A133='Données projet'!$A$140,'Données projet'!$B$140,CT132+CS133-DB132)))</f>
        <v>282.99999999999949</v>
      </c>
      <c r="CU133" s="18">
        <f>CT133*VLOOKUP('Données projet'!$B$13,Paramètres!$A$1:$I$89,3,0)*VLOOKUP('Données projet'!$B$13,Paramètres!$A$1:$I$89,5,0)</f>
        <v>273.71759999999955</v>
      </c>
      <c r="CV133" s="14">
        <f t="shared" ref="CV133:CV153" si="149">EXP(-1.0587+0.8836*LN(CU133)+0.284)</f>
        <v>65.637608810456612</v>
      </c>
      <c r="CW133" s="22">
        <f t="shared" si="121"/>
        <v>591.04365534487772</v>
      </c>
      <c r="CX133" s="60">
        <f t="shared" si="122"/>
        <v>884.37698867821109</v>
      </c>
      <c r="CY133" s="60">
        <f ca="1">AVERAGE(OFFSET($CX$3,0,0,'Données projet'!$E$13+1,1))-AVERAGE(OFFSET($H$3,0,0,'Données projet'!$E$13+1,1))</f>
        <v>456.86147223520601</v>
      </c>
      <c r="CZ133" s="60">
        <f t="shared" ref="CZ133:CZ196" si="150">$CZ$3</f>
        <v>244.45149244446094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2.5579538487363607E-13</v>
      </c>
      <c r="DP133" s="18">
        <f>DO133*VLOOKUP('Données projet'!$B$14,Paramètres!$A$1:$I$89,3,0)*VLOOKUP('Données projet'!$B$14,Paramètres!$A$1:$I$89,5,0)</f>
        <v>2.4341488824575211E-13</v>
      </c>
      <c r="DQ133" s="14">
        <f t="shared" ref="DQ133:DQ153" si="151">EXP(-1.0587+0.8836*LN(DP133)+0.284)</f>
        <v>3.2970717324875541E-12</v>
      </c>
      <c r="DR133" s="22">
        <f t="shared" si="124"/>
        <v>6.1663475311105072E-12</v>
      </c>
      <c r="DS133" s="60">
        <f t="shared" si="125"/>
        <v>293.33333333333945</v>
      </c>
      <c r="DT133" s="60">
        <f ca="1">AVERAGE(OFFSET($DS$3,0,0,'Données projet'!$E$14+1,1))-AVERAGE(OFFSET($H$3,0,0,'Données projet'!$E$14+1,1))</f>
        <v>300.36889324671682</v>
      </c>
      <c r="DU133" s="60">
        <f t="shared" ref="DU133:DU196" si="152">$DU$3</f>
        <v>214.36051699039683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-4.9658410716801891E-14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202.46844517174412</v>
      </c>
      <c r="EP133" s="60">
        <f t="shared" ref="EP133:EP196" si="154">$EP$3</f>
        <v>185.00219255324515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7.626113074366004E-14</v>
      </c>
      <c r="FG133" s="14">
        <f t="shared" ref="FG133:FG153" si="155">EXP(-1.0587+0.8836*LN(FF133)+0.284)</f>
        <v>1.1823749172251317E-12</v>
      </c>
      <c r="FH133" s="22">
        <f t="shared" si="130"/>
        <v>2.1921244502123119E-12</v>
      </c>
      <c r="FI133" s="60">
        <f t="shared" si="131"/>
        <v>293.33333333333553</v>
      </c>
      <c r="FJ133" s="60">
        <f ca="1">AVERAGE(OFFSET($FI$3,0,0,'Données projet'!$E$16+1,1))-AVERAGE(OFFSET($H$3,0,0,'Données projet'!$E$16+1,1))</f>
        <v>344.87493856469382</v>
      </c>
      <c r="FK133" s="60">
        <f t="shared" ref="FK133:FK196" si="156">$FK$3</f>
        <v>261.91036689641402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268.19959446602911</v>
      </c>
      <c r="GF133" s="60">
        <f t="shared" ref="GF133:GF196" si="158">$GF$3</f>
        <v>691.2533336811855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19.837972863917113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19.837972863917113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1.1368683772161603E-13</v>
      </c>
      <c r="GV133" s="18">
        <f>GU133*VLOOKUP('Données projet'!$B$18,Paramètres!$A$1:$I$89,3,0)*VLOOKUP('Données projet'!$B$18,Paramètres!$A$1:$I$89,5,0)</f>
        <v>8.8675733422860506E-14</v>
      </c>
      <c r="GW133" s="14">
        <f t="shared" ref="GW133:GW153" si="159">EXP(-1.0587+0.8836*LN(GV133)+0.284)</f>
        <v>1.3509285393066301E-12</v>
      </c>
      <c r="GX133" s="22">
        <f t="shared" si="136"/>
        <v>2.5073107750038623E-12</v>
      </c>
      <c r="GY133" s="60">
        <f t="shared" si="137"/>
        <v>293.33333333333582</v>
      </c>
      <c r="GZ133" s="60">
        <f ca="1">AVERAGE(OFFSET($GY$3,0,0,'Données projet'!$E$18+1,1))-AVERAGE(OFFSET($H$3,0,0,'Données projet'!$E$18+1,1))</f>
        <v>292.57482726862594</v>
      </c>
      <c r="HA133" s="60">
        <f t="shared" ref="HA133:HA196" si="160">$HA$3</f>
        <v>283.48738729114024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399.92909819003523</v>
      </c>
      <c r="T134" s="60">
        <f t="shared" si="142"/>
        <v>163.7053537268381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-5.6843418860808015E-13</v>
      </c>
      <c r="AJ134" s="14">
        <f>AI134*VLOOKUP('Données projet'!$B$10,Paramètres!$A$1:$I$89,3,0)*VLOOKUP('Données projet'!$B$10,Paramètres!$A$1:$I$89,5,0)</f>
        <v>-3.39923644787632E-13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455.43477166687273</v>
      </c>
      <c r="AO134" s="60">
        <f t="shared" si="144"/>
        <v>312.81310692672895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285.99999999999949</v>
      </c>
      <c r="BE134" s="14">
        <f>BD134*VLOOKUP('Données projet'!$B$11,Paramètres!$A$1:$I$89,3,0)*VLOOKUP('Données projet'!$B$11,Paramètres!$A$1:$I$89,5,0)</f>
        <v>258.77279999999951</v>
      </c>
      <c r="BF134" s="14">
        <f t="shared" si="145"/>
        <v>62.460716522234527</v>
      </c>
      <c r="BG134" s="22">
        <f t="shared" si="115"/>
        <v>559.48170794289092</v>
      </c>
      <c r="BH134" s="60">
        <f t="shared" si="116"/>
        <v>852.81504127622429</v>
      </c>
      <c r="BI134" s="60">
        <f ca="1">AVERAGE(OFFSET($BH$3,0,0,'Données projet'!$E$11+1,1))-AVERAGE(OFFSET($H$3,0,0,'Données projet'!$E$11+1,1))</f>
        <v>430.11660085503223</v>
      </c>
      <c r="BJ134" s="60">
        <f t="shared" si="146"/>
        <v>231.36959598460686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</v>
      </c>
      <c r="BY134" s="13">
        <f>IF('Données projet'!$A$114&gt;35,BY133+BX134-CG133,IF(A134&lt;'Données projet'!$A$114,$BV$205^A134,IF(A134='Données projet'!$A$114,'Données projet'!$B$114,BY133+BX134-CG133)))</f>
        <v>285.99999999999949</v>
      </c>
      <c r="BZ134" s="14">
        <f>BY134*VLOOKUP('Données projet'!$B$12,Paramètres!$A$1:$I$89,3,0)*VLOOKUP('Données projet'!$B$12,Paramètres!$A$1:$I$89,5,0)</f>
        <v>290.00399999999951</v>
      </c>
      <c r="CA134" s="14">
        <f t="shared" si="147"/>
        <v>69.07680289748582</v>
      </c>
      <c r="CB134" s="22">
        <f t="shared" si="118"/>
        <v>625.39906504645353</v>
      </c>
      <c r="CC134" s="60">
        <f t="shared" si="119"/>
        <v>918.7323983797869</v>
      </c>
      <c r="CD134" s="60">
        <f ca="1">AVERAGE(OFFSET($CC$3,0,0,'Données projet'!$E$12+1,1))-AVERAGE(OFFSET($H$3,0,0,'Données projet'!$E$12+1,1))</f>
        <v>476.8965664931755</v>
      </c>
      <c r="CE134" s="60">
        <f t="shared" si="148"/>
        <v>254.25036207346591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</v>
      </c>
      <c r="CT134" s="13">
        <f>IF('Données projet'!$A$140&gt;35,CT133+CS134-DB133,IF(A134&lt;'Données projet'!$A$140,$CQ$205^A134,IF(A134='Données projet'!$A$140,'Données projet'!$B$140,CT133+CS134-DB133)))</f>
        <v>285.99999999999949</v>
      </c>
      <c r="CU134" s="18">
        <f>CT134*VLOOKUP('Données projet'!$B$13,Paramètres!$A$1:$I$89,3,0)*VLOOKUP('Données projet'!$B$13,Paramètres!$A$1:$I$89,5,0)</f>
        <v>276.61919999999952</v>
      </c>
      <c r="CV134" s="14">
        <f t="shared" si="149"/>
        <v>66.252044316235398</v>
      </c>
      <c r="CW134" s="22">
        <f t="shared" si="121"/>
        <v>597.16741718410913</v>
      </c>
      <c r="CX134" s="60">
        <f t="shared" si="122"/>
        <v>890.50075051744238</v>
      </c>
      <c r="CY134" s="60">
        <f ca="1">AVERAGE(OFFSET($CX$3,0,0,'Données projet'!$E$13+1,1))-AVERAGE(OFFSET($H$3,0,0,'Données projet'!$E$13+1,1))</f>
        <v>456.86147223520601</v>
      </c>
      <c r="CZ134" s="60">
        <f t="shared" si="150"/>
        <v>244.45149244446094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2.5579538487363607E-13</v>
      </c>
      <c r="DP134" s="18">
        <f>DO134*VLOOKUP('Données projet'!$B$14,Paramètres!$A$1:$I$89,3,0)*VLOOKUP('Données projet'!$B$14,Paramètres!$A$1:$I$89,5,0)</f>
        <v>2.4341488824575211E-13</v>
      </c>
      <c r="DQ134" s="14">
        <f t="shared" si="151"/>
        <v>3.2970717324875541E-12</v>
      </c>
      <c r="DR134" s="22">
        <f t="shared" si="124"/>
        <v>6.1663475311105072E-12</v>
      </c>
      <c r="DS134" s="60">
        <f t="shared" si="125"/>
        <v>293.33333333333945</v>
      </c>
      <c r="DT134" s="60">
        <f ca="1">AVERAGE(OFFSET($DS$3,0,0,'Données projet'!$E$14+1,1))-AVERAGE(OFFSET($H$3,0,0,'Données projet'!$E$14+1,1))</f>
        <v>300.36889324671682</v>
      </c>
      <c r="DU134" s="60">
        <f t="shared" si="152"/>
        <v>214.36051699039683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-4.9658410716801891E-14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202.46844517174412</v>
      </c>
      <c r="EP134" s="60">
        <f t="shared" si="154"/>
        <v>185.00219255324515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7.626113074366004E-14</v>
      </c>
      <c r="FG134" s="14">
        <f t="shared" si="155"/>
        <v>1.1823749172251317E-12</v>
      </c>
      <c r="FH134" s="22">
        <f t="shared" si="130"/>
        <v>2.1921244502123119E-12</v>
      </c>
      <c r="FI134" s="60">
        <f t="shared" si="131"/>
        <v>293.33333333333553</v>
      </c>
      <c r="FJ134" s="60">
        <f ca="1">AVERAGE(OFFSET($FI$3,0,0,'Données projet'!$E$16+1,1))-AVERAGE(OFFSET($H$3,0,0,'Données projet'!$E$16+1,1))</f>
        <v>344.87493856469382</v>
      </c>
      <c r="FK134" s="60">
        <f t="shared" si="156"/>
        <v>261.91036689641402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268.19959446602911</v>
      </c>
      <c r="GF134" s="60">
        <f t="shared" si="158"/>
        <v>691.2533336811855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19.448962316024371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19.448962316024371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1.1368683772161603E-13</v>
      </c>
      <c r="GV134" s="18">
        <f>GU134*VLOOKUP('Données projet'!$B$18,Paramètres!$A$1:$I$89,3,0)*VLOOKUP('Données projet'!$B$18,Paramètres!$A$1:$I$89,5,0)</f>
        <v>8.8675733422860506E-14</v>
      </c>
      <c r="GW134" s="14">
        <f t="shared" si="159"/>
        <v>1.3509285393066301E-12</v>
      </c>
      <c r="GX134" s="22">
        <f t="shared" si="136"/>
        <v>2.5073107750038623E-12</v>
      </c>
      <c r="GY134" s="60">
        <f t="shared" si="137"/>
        <v>293.33333333333582</v>
      </c>
      <c r="GZ134" s="60">
        <f ca="1">AVERAGE(OFFSET($GY$3,0,0,'Données projet'!$E$18+1,1))-AVERAGE(OFFSET($H$3,0,0,'Données projet'!$E$18+1,1))</f>
        <v>292.57482726862594</v>
      </c>
      <c r="HA134" s="60">
        <f t="shared" si="160"/>
        <v>283.48738729114024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399.92909819003523</v>
      </c>
      <c r="T135" s="60">
        <f t="shared" si="142"/>
        <v>163.7053537268381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-5.6843418860808015E-13</v>
      </c>
      <c r="AJ135" s="14">
        <f>AI135*VLOOKUP('Données projet'!$B$10,Paramètres!$A$1:$I$89,3,0)*VLOOKUP('Données projet'!$B$10,Paramètres!$A$1:$I$89,5,0)</f>
        <v>-3.39923644787632E-13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455.43477166687273</v>
      </c>
      <c r="AO135" s="60">
        <f t="shared" si="144"/>
        <v>312.81310692672895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288.99999999999949</v>
      </c>
      <c r="BE135" s="14">
        <f>BD135*VLOOKUP('Données projet'!$B$11,Paramètres!$A$1:$I$89,3,0)*VLOOKUP('Données projet'!$B$11,Paramètres!$A$1:$I$89,5,0)</f>
        <v>261.48719999999952</v>
      </c>
      <c r="BF135" s="14">
        <f t="shared" si="145"/>
        <v>63.039283586802277</v>
      </c>
      <c r="BG135" s="22">
        <f t="shared" si="115"/>
        <v>565.21695891367983</v>
      </c>
      <c r="BH135" s="60">
        <f t="shared" si="116"/>
        <v>858.5502922470132</v>
      </c>
      <c r="BI135" s="60">
        <f ca="1">AVERAGE(OFFSET($BH$3,0,0,'Données projet'!$E$11+1,1))-AVERAGE(OFFSET($H$3,0,0,'Données projet'!$E$11+1,1))</f>
        <v>430.11660085503223</v>
      </c>
      <c r="BJ135" s="60">
        <f t="shared" si="146"/>
        <v>231.36959598460686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</v>
      </c>
      <c r="BY135" s="13">
        <f>IF('Données projet'!$A$114&gt;35,BY134+BX135-CG134,IF(A135&lt;'Données projet'!$A$114,$BV$205^A135,IF(A135='Données projet'!$A$114,'Données projet'!$B$114,BY134+BX135-CG134)))</f>
        <v>288.99999999999949</v>
      </c>
      <c r="BZ135" s="14">
        <f>BY135*VLOOKUP('Données projet'!$B$12,Paramètres!$A$1:$I$89,3,0)*VLOOKUP('Données projet'!$B$12,Paramètres!$A$1:$I$89,5,0)</f>
        <v>293.04599999999954</v>
      </c>
      <c r="CA135" s="14">
        <f t="shared" si="147"/>
        <v>69.716654076072487</v>
      </c>
      <c r="CB135" s="22">
        <f t="shared" si="118"/>
        <v>631.81162251582543</v>
      </c>
      <c r="CC135" s="60">
        <f t="shared" si="119"/>
        <v>925.1449558491588</v>
      </c>
      <c r="CD135" s="60">
        <f ca="1">AVERAGE(OFFSET($CC$3,0,0,'Données projet'!$E$12+1,1))-AVERAGE(OFFSET($H$3,0,0,'Données projet'!$E$12+1,1))</f>
        <v>476.8965664931755</v>
      </c>
      <c r="CE135" s="60">
        <f t="shared" si="148"/>
        <v>254.25036207346591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</v>
      </c>
      <c r="CT135" s="13">
        <f>IF('Données projet'!$A$140&gt;35,CT134+CS135-DB134,IF(A135&lt;'Données projet'!$A$140,$CQ$205^A135,IF(A135='Données projet'!$A$140,'Données projet'!$B$140,CT134+CS135-DB134)))</f>
        <v>288.99999999999949</v>
      </c>
      <c r="CU135" s="18">
        <f>CT135*VLOOKUP('Données projet'!$B$13,Paramètres!$A$1:$I$89,3,0)*VLOOKUP('Données projet'!$B$13,Paramètres!$A$1:$I$89,5,0)</f>
        <v>279.52079999999955</v>
      </c>
      <c r="CV135" s="14">
        <f t="shared" si="149"/>
        <v>66.865730052421526</v>
      </c>
      <c r="CW135" s="22">
        <f t="shared" si="121"/>
        <v>603.28987317463339</v>
      </c>
      <c r="CX135" s="60">
        <f t="shared" si="122"/>
        <v>896.62320650796664</v>
      </c>
      <c r="CY135" s="60">
        <f ca="1">AVERAGE(OFFSET($CX$3,0,0,'Données projet'!$E$13+1,1))-AVERAGE(OFFSET($H$3,0,0,'Données projet'!$E$13+1,1))</f>
        <v>456.86147223520601</v>
      </c>
      <c r="CZ135" s="60">
        <f t="shared" si="150"/>
        <v>244.45149244446094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2.5579538487363607E-13</v>
      </c>
      <c r="DP135" s="18">
        <f>DO135*VLOOKUP('Données projet'!$B$14,Paramètres!$A$1:$I$89,3,0)*VLOOKUP('Données projet'!$B$14,Paramètres!$A$1:$I$89,5,0)</f>
        <v>2.4341488824575211E-13</v>
      </c>
      <c r="DQ135" s="14">
        <f t="shared" si="151"/>
        <v>3.2970717324875541E-12</v>
      </c>
      <c r="DR135" s="22">
        <f t="shared" si="124"/>
        <v>6.1663475311105072E-12</v>
      </c>
      <c r="DS135" s="60">
        <f t="shared" si="125"/>
        <v>293.33333333333945</v>
      </c>
      <c r="DT135" s="60">
        <f ca="1">AVERAGE(OFFSET($DS$3,0,0,'Données projet'!$E$14+1,1))-AVERAGE(OFFSET($H$3,0,0,'Données projet'!$E$14+1,1))</f>
        <v>300.36889324671682</v>
      </c>
      <c r="DU135" s="60">
        <f t="shared" si="152"/>
        <v>214.36051699039683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-4.9658410716801891E-14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202.46844517174412</v>
      </c>
      <c r="EP135" s="60">
        <f t="shared" si="154"/>
        <v>185.00219255324515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7.626113074366004E-14</v>
      </c>
      <c r="FG135" s="14">
        <f t="shared" si="155"/>
        <v>1.1823749172251317E-12</v>
      </c>
      <c r="FH135" s="22">
        <f t="shared" si="130"/>
        <v>2.1921244502123119E-12</v>
      </c>
      <c r="FI135" s="60">
        <f t="shared" si="131"/>
        <v>293.33333333333553</v>
      </c>
      <c r="FJ135" s="60">
        <f ca="1">AVERAGE(OFFSET($FI$3,0,0,'Données projet'!$E$16+1,1))-AVERAGE(OFFSET($H$3,0,0,'Données projet'!$E$16+1,1))</f>
        <v>344.87493856469382</v>
      </c>
      <c r="FK135" s="60">
        <f t="shared" si="156"/>
        <v>261.91036689641402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268.19959446602911</v>
      </c>
      <c r="GF135" s="60">
        <f t="shared" si="158"/>
        <v>691.2533336811855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19.067580027702803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19.067580027702803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1.1368683772161603E-13</v>
      </c>
      <c r="GV135" s="18">
        <f>GU135*VLOOKUP('Données projet'!$B$18,Paramètres!$A$1:$I$89,3,0)*VLOOKUP('Données projet'!$B$18,Paramètres!$A$1:$I$89,5,0)</f>
        <v>8.8675733422860506E-14</v>
      </c>
      <c r="GW135" s="14">
        <f t="shared" si="159"/>
        <v>1.3509285393066301E-12</v>
      </c>
      <c r="GX135" s="22">
        <f t="shared" si="136"/>
        <v>2.5073107750038623E-12</v>
      </c>
      <c r="GY135" s="60">
        <f t="shared" si="137"/>
        <v>293.33333333333582</v>
      </c>
      <c r="GZ135" s="60">
        <f ca="1">AVERAGE(OFFSET($GY$3,0,0,'Données projet'!$E$18+1,1))-AVERAGE(OFFSET($H$3,0,0,'Données projet'!$E$18+1,1))</f>
        <v>292.57482726862594</v>
      </c>
      <c r="HA135" s="60">
        <f t="shared" si="160"/>
        <v>283.48738729114024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399.92909819003523</v>
      </c>
      <c r="T136" s="60">
        <f t="shared" si="142"/>
        <v>163.7053537268381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-5.6843418860808015E-13</v>
      </c>
      <c r="AJ136" s="14">
        <f>AI136*VLOOKUP('Données projet'!$B$10,Paramètres!$A$1:$I$89,3,0)*VLOOKUP('Données projet'!$B$10,Paramètres!$A$1:$I$89,5,0)</f>
        <v>-3.39923644787632E-13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455.43477166687273</v>
      </c>
      <c r="AO136" s="60">
        <f t="shared" si="144"/>
        <v>312.81310692672895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291.99999999999949</v>
      </c>
      <c r="BE136" s="14">
        <f>BD136*VLOOKUP('Données projet'!$B$11,Paramètres!$A$1:$I$89,3,0)*VLOOKUP('Données projet'!$B$11,Paramètres!$A$1:$I$89,5,0)</f>
        <v>264.20159999999953</v>
      </c>
      <c r="BF136" s="14">
        <f t="shared" si="145"/>
        <v>63.617151975096654</v>
      </c>
      <c r="BG136" s="22">
        <f t="shared" si="115"/>
        <v>570.95099302329243</v>
      </c>
      <c r="BH136" s="60">
        <f t="shared" si="116"/>
        <v>864.2843263566258</v>
      </c>
      <c r="BI136" s="60">
        <f ca="1">AVERAGE(OFFSET($BH$3,0,0,'Données projet'!$E$11+1,1))-AVERAGE(OFFSET($H$3,0,0,'Données projet'!$E$11+1,1))</f>
        <v>430.11660085503223</v>
      </c>
      <c r="BJ136" s="60">
        <f t="shared" si="146"/>
        <v>231.36959598460686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</v>
      </c>
      <c r="BY136" s="13">
        <f>IF('Données projet'!$A$114&gt;35,BY135+BX136-CG135,IF(A136&lt;'Données projet'!$A$114,$BV$205^A136,IF(A136='Données projet'!$A$114,'Données projet'!$B$114,BY135+BX136-CG135)))</f>
        <v>291.99999999999949</v>
      </c>
      <c r="BZ136" s="14">
        <f>BY136*VLOOKUP('Données projet'!$B$12,Paramètres!$A$1:$I$89,3,0)*VLOOKUP('Données projet'!$B$12,Paramètres!$A$1:$I$89,5,0)</f>
        <v>296.08799999999951</v>
      </c>
      <c r="CA136" s="14">
        <f t="shared" si="147"/>
        <v>70.355732571828923</v>
      </c>
      <c r="CB136" s="22">
        <f t="shared" si="118"/>
        <v>638.22283422926773</v>
      </c>
      <c r="CC136" s="60">
        <f t="shared" si="119"/>
        <v>931.5561675626011</v>
      </c>
      <c r="CD136" s="60">
        <f ca="1">AVERAGE(OFFSET($CC$3,0,0,'Données projet'!$E$12+1,1))-AVERAGE(OFFSET($H$3,0,0,'Données projet'!$E$12+1,1))</f>
        <v>476.8965664931755</v>
      </c>
      <c r="CE136" s="60">
        <f t="shared" si="148"/>
        <v>254.25036207346591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</v>
      </c>
      <c r="CT136" s="13">
        <f>IF('Données projet'!$A$140&gt;35,CT135+CS136-DB135,IF(A136&lt;'Données projet'!$A$140,$CQ$205^A136,IF(A136='Données projet'!$A$140,'Données projet'!$B$140,CT135+CS136-DB135)))</f>
        <v>291.99999999999949</v>
      </c>
      <c r="CU136" s="18">
        <f>CT136*VLOOKUP('Données projet'!$B$13,Paramètres!$A$1:$I$89,3,0)*VLOOKUP('Données projet'!$B$13,Paramètres!$A$1:$I$89,5,0)</f>
        <v>282.42239999999953</v>
      </c>
      <c r="CV136" s="14">
        <f t="shared" si="149"/>
        <v>67.478674703106122</v>
      </c>
      <c r="CW136" s="22">
        <f t="shared" si="121"/>
        <v>609.41103844124234</v>
      </c>
      <c r="CX136" s="60">
        <f t="shared" si="122"/>
        <v>902.74437177457571</v>
      </c>
      <c r="CY136" s="60">
        <f ca="1">AVERAGE(OFFSET($CX$3,0,0,'Données projet'!$E$13+1,1))-AVERAGE(OFFSET($H$3,0,0,'Données projet'!$E$13+1,1))</f>
        <v>456.86147223520601</v>
      </c>
      <c r="CZ136" s="60">
        <f t="shared" si="150"/>
        <v>244.45149244446094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2.5579538487363607E-13</v>
      </c>
      <c r="DP136" s="18">
        <f>DO136*VLOOKUP('Données projet'!$B$14,Paramètres!$A$1:$I$89,3,0)*VLOOKUP('Données projet'!$B$14,Paramètres!$A$1:$I$89,5,0)</f>
        <v>2.4341488824575211E-13</v>
      </c>
      <c r="DQ136" s="14">
        <f t="shared" si="151"/>
        <v>3.2970717324875541E-12</v>
      </c>
      <c r="DR136" s="22">
        <f t="shared" si="124"/>
        <v>6.1663475311105072E-12</v>
      </c>
      <c r="DS136" s="60">
        <f t="shared" si="125"/>
        <v>293.33333333333945</v>
      </c>
      <c r="DT136" s="60">
        <f ca="1">AVERAGE(OFFSET($DS$3,0,0,'Données projet'!$E$14+1,1))-AVERAGE(OFFSET($H$3,0,0,'Données projet'!$E$14+1,1))</f>
        <v>300.36889324671682</v>
      </c>
      <c r="DU136" s="60">
        <f t="shared" si="152"/>
        <v>214.36051699039683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-4.9658410716801891E-14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202.46844517174412</v>
      </c>
      <c r="EP136" s="60">
        <f t="shared" si="154"/>
        <v>185.00219255324515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7.626113074366004E-14</v>
      </c>
      <c r="FG136" s="14">
        <f t="shared" si="155"/>
        <v>1.1823749172251317E-12</v>
      </c>
      <c r="FH136" s="22">
        <f t="shared" si="130"/>
        <v>2.1921244502123119E-12</v>
      </c>
      <c r="FI136" s="60">
        <f t="shared" si="131"/>
        <v>293.33333333333553</v>
      </c>
      <c r="FJ136" s="60">
        <f ca="1">AVERAGE(OFFSET($FI$3,0,0,'Données projet'!$E$16+1,1))-AVERAGE(OFFSET($H$3,0,0,'Données projet'!$E$16+1,1))</f>
        <v>344.87493856469382</v>
      </c>
      <c r="FK136" s="60">
        <f t="shared" si="156"/>
        <v>261.91036689641402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268.19959446602911</v>
      </c>
      <c r="GF136" s="60">
        <f t="shared" si="158"/>
        <v>691.2533336811855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18.693676413434993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18.693676413434993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1.1368683772161603E-13</v>
      </c>
      <c r="GV136" s="18">
        <f>GU136*VLOOKUP('Données projet'!$B$18,Paramètres!$A$1:$I$89,3,0)*VLOOKUP('Données projet'!$B$18,Paramètres!$A$1:$I$89,5,0)</f>
        <v>8.8675733422860506E-14</v>
      </c>
      <c r="GW136" s="14">
        <f t="shared" si="159"/>
        <v>1.3509285393066301E-12</v>
      </c>
      <c r="GX136" s="22">
        <f t="shared" si="136"/>
        <v>2.5073107750038623E-12</v>
      </c>
      <c r="GY136" s="60">
        <f t="shared" si="137"/>
        <v>293.33333333333582</v>
      </c>
      <c r="GZ136" s="60">
        <f ca="1">AVERAGE(OFFSET($GY$3,0,0,'Données projet'!$E$18+1,1))-AVERAGE(OFFSET($H$3,0,0,'Données projet'!$E$18+1,1))</f>
        <v>292.57482726862594</v>
      </c>
      <c r="HA136" s="60">
        <f t="shared" si="160"/>
        <v>283.48738729114024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399.92909819003523</v>
      </c>
      <c r="T137" s="60">
        <f t="shared" si="142"/>
        <v>163.7053537268381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-5.6843418860808015E-13</v>
      </c>
      <c r="AJ137" s="14">
        <f>AI137*VLOOKUP('Données projet'!$B$10,Paramètres!$A$1:$I$89,3,0)*VLOOKUP('Données projet'!$B$10,Paramètres!$A$1:$I$89,5,0)</f>
        <v>-3.39923644787632E-13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455.43477166687273</v>
      </c>
      <c r="AO137" s="60">
        <f t="shared" si="144"/>
        <v>312.81310692672895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294.99999999999949</v>
      </c>
      <c r="BE137" s="14">
        <f>BD137*VLOOKUP('Données projet'!$B$11,Paramètres!$A$1:$I$89,3,0)*VLOOKUP('Données projet'!$B$11,Paramètres!$A$1:$I$89,5,0)</f>
        <v>266.91599999999949</v>
      </c>
      <c r="BF137" s="14">
        <f t="shared" si="145"/>
        <v>64.194329696332062</v>
      </c>
      <c r="BG137" s="22">
        <f t="shared" si="115"/>
        <v>576.68382422111074</v>
      </c>
      <c r="BH137" s="60">
        <f t="shared" si="116"/>
        <v>870.01715755444411</v>
      </c>
      <c r="BI137" s="60">
        <f ca="1">AVERAGE(OFFSET($BH$3,0,0,'Données projet'!$E$11+1,1))-AVERAGE(OFFSET($H$3,0,0,'Données projet'!$E$11+1,1))</f>
        <v>430.11660085503223</v>
      </c>
      <c r="BJ137" s="60">
        <f t="shared" si="146"/>
        <v>231.36959598460686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</v>
      </c>
      <c r="BY137" s="13">
        <f>IF('Données projet'!$A$114&gt;35,BY136+BX137-CG136,IF(A137&lt;'Données projet'!$A$114,$BV$205^A137,IF(A137='Données projet'!$A$114,'Données projet'!$B$114,BY136+BX137-CG136)))</f>
        <v>294.99999999999949</v>
      </c>
      <c r="BZ137" s="14">
        <f>BY137*VLOOKUP('Données projet'!$B$12,Paramètres!$A$1:$I$89,3,0)*VLOOKUP('Données projet'!$B$12,Paramètres!$A$1:$I$89,5,0)</f>
        <v>299.12999999999954</v>
      </c>
      <c r="CA137" s="14">
        <f t="shared" si="147"/>
        <v>70.994047242337146</v>
      </c>
      <c r="CB137" s="22">
        <f t="shared" si="118"/>
        <v>644.63271561373642</v>
      </c>
      <c r="CC137" s="60">
        <f t="shared" si="119"/>
        <v>937.96604894706979</v>
      </c>
      <c r="CD137" s="60">
        <f ca="1">AVERAGE(OFFSET($CC$3,0,0,'Données projet'!$E$12+1,1))-AVERAGE(OFFSET($H$3,0,0,'Données projet'!$E$12+1,1))</f>
        <v>476.8965664931755</v>
      </c>
      <c r="CE137" s="60">
        <f t="shared" si="148"/>
        <v>254.25036207346591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</v>
      </c>
      <c r="CT137" s="13">
        <f>IF('Données projet'!$A$140&gt;35,CT136+CS137-DB136,IF(A137&lt;'Données projet'!$A$140,$CQ$205^A137,IF(A137='Données projet'!$A$140,'Données projet'!$B$140,CT136+CS137-DB136)))</f>
        <v>294.99999999999949</v>
      </c>
      <c r="CU137" s="18">
        <f>CT137*VLOOKUP('Données projet'!$B$13,Paramètres!$A$1:$I$89,3,0)*VLOOKUP('Données projet'!$B$13,Paramètres!$A$1:$I$89,5,0)</f>
        <v>285.32399999999956</v>
      </c>
      <c r="CV137" s="14">
        <f t="shared" si="149"/>
        <v>68.090886763658133</v>
      </c>
      <c r="CW137" s="22">
        <f t="shared" si="121"/>
        <v>615.53092778003713</v>
      </c>
      <c r="CX137" s="60">
        <f t="shared" si="122"/>
        <v>908.8642611133705</v>
      </c>
      <c r="CY137" s="60">
        <f ca="1">AVERAGE(OFFSET($CX$3,0,0,'Données projet'!$E$13+1,1))-AVERAGE(OFFSET($H$3,0,0,'Données projet'!$E$13+1,1))</f>
        <v>456.86147223520601</v>
      </c>
      <c r="CZ137" s="60">
        <f t="shared" si="150"/>
        <v>244.45149244446094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2.5579538487363607E-13</v>
      </c>
      <c r="DP137" s="18">
        <f>DO137*VLOOKUP('Données projet'!$B$14,Paramètres!$A$1:$I$89,3,0)*VLOOKUP('Données projet'!$B$14,Paramètres!$A$1:$I$89,5,0)</f>
        <v>2.4341488824575211E-13</v>
      </c>
      <c r="DQ137" s="14">
        <f t="shared" si="151"/>
        <v>3.2970717324875541E-12</v>
      </c>
      <c r="DR137" s="22">
        <f t="shared" si="124"/>
        <v>6.1663475311105072E-12</v>
      </c>
      <c r="DS137" s="60">
        <f t="shared" si="125"/>
        <v>293.33333333333945</v>
      </c>
      <c r="DT137" s="60">
        <f ca="1">AVERAGE(OFFSET($DS$3,0,0,'Données projet'!$E$14+1,1))-AVERAGE(OFFSET($H$3,0,0,'Données projet'!$E$14+1,1))</f>
        <v>300.36889324671682</v>
      </c>
      <c r="DU137" s="60">
        <f t="shared" si="152"/>
        <v>214.36051699039683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-4.9658410716801891E-14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202.46844517174412</v>
      </c>
      <c r="EP137" s="60">
        <f t="shared" si="154"/>
        <v>185.00219255324515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7.626113074366004E-14</v>
      </c>
      <c r="FG137" s="14">
        <f t="shared" si="155"/>
        <v>1.1823749172251317E-12</v>
      </c>
      <c r="FH137" s="22">
        <f t="shared" si="130"/>
        <v>2.1921244502123119E-12</v>
      </c>
      <c r="FI137" s="60">
        <f t="shared" si="131"/>
        <v>293.33333333333553</v>
      </c>
      <c r="FJ137" s="60">
        <f ca="1">AVERAGE(OFFSET($FI$3,0,0,'Données projet'!$E$16+1,1))-AVERAGE(OFFSET($H$3,0,0,'Données projet'!$E$16+1,1))</f>
        <v>344.87493856469382</v>
      </c>
      <c r="FK137" s="60">
        <f t="shared" si="156"/>
        <v>261.91036689641402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268.19959446602911</v>
      </c>
      <c r="GF137" s="60">
        <f t="shared" si="158"/>
        <v>691.2533336811855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18.327104820984289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18.327104820984289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1.1368683772161603E-13</v>
      </c>
      <c r="GV137" s="18">
        <f>GU137*VLOOKUP('Données projet'!$B$18,Paramètres!$A$1:$I$89,3,0)*VLOOKUP('Données projet'!$B$18,Paramètres!$A$1:$I$89,5,0)</f>
        <v>8.8675733422860506E-14</v>
      </c>
      <c r="GW137" s="14">
        <f t="shared" si="159"/>
        <v>1.3509285393066301E-12</v>
      </c>
      <c r="GX137" s="22">
        <f t="shared" si="136"/>
        <v>2.5073107750038623E-12</v>
      </c>
      <c r="GY137" s="60">
        <f t="shared" si="137"/>
        <v>293.33333333333582</v>
      </c>
      <c r="GZ137" s="60">
        <f ca="1">AVERAGE(OFFSET($GY$3,0,0,'Données projet'!$E$18+1,1))-AVERAGE(OFFSET($H$3,0,0,'Données projet'!$E$18+1,1))</f>
        <v>292.57482726862594</v>
      </c>
      <c r="HA137" s="60">
        <f t="shared" si="160"/>
        <v>283.48738729114024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399.92909819003523</v>
      </c>
      <c r="T138" s="60">
        <f t="shared" si="142"/>
        <v>163.7053537268381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-5.6843418860808015E-13</v>
      </c>
      <c r="AJ138" s="14">
        <f>AI138*VLOOKUP('Données projet'!$B$10,Paramètres!$A$1:$I$89,3,0)*VLOOKUP('Données projet'!$B$10,Paramètres!$A$1:$I$89,5,0)</f>
        <v>-3.39923644787632E-13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455.43477166687273</v>
      </c>
      <c r="AO138" s="60">
        <f t="shared" si="144"/>
        <v>312.81310692672895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297.99999999999949</v>
      </c>
      <c r="BE138" s="14">
        <f>BD138*VLOOKUP('Données projet'!$B$11,Paramètres!$A$1:$I$89,3,0)*VLOOKUP('Données projet'!$B$11,Paramètres!$A$1:$I$89,5,0)</f>
        <v>269.63039999999955</v>
      </c>
      <c r="BF138" s="14">
        <f t="shared" si="145"/>
        <v>64.770824587436024</v>
      </c>
      <c r="BG138" s="22">
        <f t="shared" si="115"/>
        <v>582.41546615645018</v>
      </c>
      <c r="BH138" s="60">
        <f t="shared" si="116"/>
        <v>875.74879948978355</v>
      </c>
      <c r="BI138" s="60">
        <f ca="1">AVERAGE(OFFSET($BH$3,0,0,'Données projet'!$E$11+1,1))-AVERAGE(OFFSET($H$3,0,0,'Données projet'!$E$11+1,1))</f>
        <v>430.11660085503223</v>
      </c>
      <c r="BJ138" s="60">
        <f t="shared" si="146"/>
        <v>231.36959598460686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298</v>
      </c>
      <c r="BW138" s="13">
        <f>VLOOKUP(A138,'Données projet'!$A$113:$I$133,9,0)</f>
        <v>3</v>
      </c>
      <c r="BX138" s="13">
        <f t="array" ref="BX138">INDEX(BW:BW,MIN(IF(ISNUMBER(BW138:BW334),ROW(BW138:BW334),"")))</f>
        <v>3</v>
      </c>
      <c r="BY138" s="13">
        <f>IF('Données projet'!$A$114&gt;35,BY137+BX138-CG137,IF(A138&lt;'Données projet'!$A$114,$BV$205^A138,IF(A138='Données projet'!$A$114,'Données projet'!$B$114,BY137+BX138-CG137)))</f>
        <v>297.99999999999949</v>
      </c>
      <c r="BZ138" s="14">
        <f>BY138*VLOOKUP('Données projet'!$B$12,Paramètres!$A$1:$I$89,3,0)*VLOOKUP('Données projet'!$B$12,Paramètres!$A$1:$I$89,5,0)</f>
        <v>302.17199999999951</v>
      </c>
      <c r="CA138" s="14">
        <f t="shared" si="147"/>
        <v>71.631606754643101</v>
      </c>
      <c r="CB138" s="22">
        <f t="shared" si="118"/>
        <v>651.04128176433585</v>
      </c>
      <c r="CC138" s="60">
        <f t="shared" si="119"/>
        <v>944.37461509766922</v>
      </c>
      <c r="CD138" s="60">
        <f ca="1">AVERAGE(OFFSET($CC$3,0,0,'Données projet'!$E$12+1,1))-AVERAGE(OFFSET($H$3,0,0,'Données projet'!$E$12+1,1))</f>
        <v>476.8965664931755</v>
      </c>
      <c r="CE138" s="60">
        <f t="shared" si="148"/>
        <v>254.25036207346591</v>
      </c>
      <c r="CF138" s="16">
        <f>IF(ISNA(VLOOKUP(A138,'Données projet'!$A$113:$I$133,3,0)),0,VLOOKUP(A138,'Données projet'!$A$113:$I$133,3,0))</f>
        <v>12</v>
      </c>
      <c r="CG138" s="16">
        <f>IF(ISNA(VLOOKUP(A138,'Données projet'!$A$113:$I$133,4,0)),0,VLOOKUP(A138,'Données projet'!$A$113:$I$133,4,0))</f>
        <v>29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298</v>
      </c>
      <c r="CR138" s="13">
        <f>VLOOKUP(A138,'Données projet'!$A$139:$I$159,9,0)</f>
        <v>3</v>
      </c>
      <c r="CS138" s="13">
        <f t="array" ref="CS138">INDEX(CR:CR,MIN(IF(ISNUMBER(CR138:CR334),ROW(CR138:CR334),"")))</f>
        <v>3</v>
      </c>
      <c r="CT138" s="13">
        <f>IF('Données projet'!$A$140&gt;35,CT137+CS138-DB137,IF(A138&lt;'Données projet'!$A$140,$CQ$205^A138,IF(A138='Données projet'!$A$140,'Données projet'!$B$140,CT137+CS138-DB137)))</f>
        <v>297.99999999999949</v>
      </c>
      <c r="CU138" s="18">
        <f>CT138*VLOOKUP('Données projet'!$B$13,Paramètres!$A$1:$I$89,3,0)*VLOOKUP('Données projet'!$B$13,Paramètres!$A$1:$I$89,5,0)</f>
        <v>288.22559999999953</v>
      </c>
      <c r="CV138" s="14">
        <f t="shared" si="149"/>
        <v>68.702374546701776</v>
      </c>
      <c r="CW138" s="22">
        <f t="shared" si="121"/>
        <v>621.64955566883805</v>
      </c>
      <c r="CX138" s="60">
        <f t="shared" si="122"/>
        <v>914.98288900217131</v>
      </c>
      <c r="CY138" s="60">
        <f ca="1">AVERAGE(OFFSET($CX$3,0,0,'Données projet'!$E$13+1,1))-AVERAGE(OFFSET($H$3,0,0,'Données projet'!$E$13+1,1))</f>
        <v>456.86147223520601</v>
      </c>
      <c r="CZ138" s="60">
        <f t="shared" si="150"/>
        <v>244.45149244446094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29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2.5579538487363607E-13</v>
      </c>
      <c r="DP138" s="18">
        <f>DO138*VLOOKUP('Données projet'!$B$14,Paramètres!$A$1:$I$89,3,0)*VLOOKUP('Données projet'!$B$14,Paramètres!$A$1:$I$89,5,0)</f>
        <v>2.4341488824575211E-13</v>
      </c>
      <c r="DQ138" s="14">
        <f t="shared" si="151"/>
        <v>3.2970717324875541E-12</v>
      </c>
      <c r="DR138" s="22">
        <f t="shared" si="124"/>
        <v>6.1663475311105072E-12</v>
      </c>
      <c r="DS138" s="60">
        <f t="shared" si="125"/>
        <v>293.33333333333945</v>
      </c>
      <c r="DT138" s="60">
        <f ca="1">AVERAGE(OFFSET($DS$3,0,0,'Données projet'!$E$14+1,1))-AVERAGE(OFFSET($H$3,0,0,'Données projet'!$E$14+1,1))</f>
        <v>300.36889324671682</v>
      </c>
      <c r="DU138" s="60">
        <f t="shared" si="152"/>
        <v>214.36051699039683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-4.9658410716801891E-14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202.46844517174412</v>
      </c>
      <c r="EP138" s="60">
        <f t="shared" si="154"/>
        <v>185.00219255324515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7.626113074366004E-14</v>
      </c>
      <c r="FG138" s="14">
        <f t="shared" si="155"/>
        <v>1.1823749172251317E-12</v>
      </c>
      <c r="FH138" s="22">
        <f t="shared" si="130"/>
        <v>2.1921244502123119E-12</v>
      </c>
      <c r="FI138" s="60">
        <f t="shared" si="131"/>
        <v>293.33333333333553</v>
      </c>
      <c r="FJ138" s="60">
        <f ca="1">AVERAGE(OFFSET($FI$3,0,0,'Données projet'!$E$16+1,1))-AVERAGE(OFFSET($H$3,0,0,'Données projet'!$E$16+1,1))</f>
        <v>344.87493856469382</v>
      </c>
      <c r="FK138" s="60">
        <f t="shared" si="156"/>
        <v>261.91036689641402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268.19959446602911</v>
      </c>
      <c r="GF138" s="60">
        <f t="shared" si="158"/>
        <v>691.2533336811855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17.967721473874949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17.967721473874949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1.1368683772161603E-13</v>
      </c>
      <c r="GV138" s="18">
        <f>GU138*VLOOKUP('Données projet'!$B$18,Paramètres!$A$1:$I$89,3,0)*VLOOKUP('Données projet'!$B$18,Paramètres!$A$1:$I$89,5,0)</f>
        <v>8.8675733422860506E-14</v>
      </c>
      <c r="GW138" s="14">
        <f t="shared" si="159"/>
        <v>1.3509285393066301E-12</v>
      </c>
      <c r="GX138" s="22">
        <f t="shared" si="136"/>
        <v>2.5073107750038623E-12</v>
      </c>
      <c r="GY138" s="60">
        <f t="shared" si="137"/>
        <v>293.33333333333582</v>
      </c>
      <c r="GZ138" s="60">
        <f ca="1">AVERAGE(OFFSET($GY$3,0,0,'Données projet'!$E$18+1,1))-AVERAGE(OFFSET($H$3,0,0,'Données projet'!$E$18+1,1))</f>
        <v>292.57482726862594</v>
      </c>
      <c r="HA138" s="60">
        <f t="shared" si="160"/>
        <v>283.48738729114024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399.92909819003523</v>
      </c>
      <c r="T139" s="60">
        <f t="shared" si="142"/>
        <v>163.7053537268381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-5.6843418860808015E-13</v>
      </c>
      <c r="AJ139" s="14">
        <f>AI139*VLOOKUP('Données projet'!$B$10,Paramètres!$A$1:$I$89,3,0)*VLOOKUP('Données projet'!$B$10,Paramètres!$A$1:$I$89,5,0)</f>
        <v>-3.39923644787632E-13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455.43477166687273</v>
      </c>
      <c r="AO139" s="60">
        <f t="shared" si="144"/>
        <v>312.81310692672895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2.4666666666666668</v>
      </c>
      <c r="BD139" s="13">
        <f>IF('Données projet'!$A$88&gt;35,BD138+BC139-BL138,IF(A139&lt;'Données projet'!$A$88,$BA$205^A139,IF(A139='Données projet'!$A$88,'Données projet'!$B$88,BD138+BC139-BL138)))</f>
        <v>271.46666666666613</v>
      </c>
      <c r="BE139" s="14">
        <f>BD139*VLOOKUP('Données projet'!$B$11,Paramètres!$A$1:$I$89,3,0)*VLOOKUP('Données projet'!$B$11,Paramètres!$A$1:$I$89,5,0)</f>
        <v>245.62303999999949</v>
      </c>
      <c r="BF139" s="14">
        <f t="shared" si="145"/>
        <v>59.647719436846927</v>
      </c>
      <c r="BG139" s="22">
        <f t="shared" si="115"/>
        <v>531.67990601917427</v>
      </c>
      <c r="BH139" s="60">
        <f t="shared" si="116"/>
        <v>825.01323935250753</v>
      </c>
      <c r="BI139" s="60">
        <f ca="1">AVERAGE(OFFSET($BH$3,0,0,'Données projet'!$E$11+1,1))-AVERAGE(OFFSET($H$3,0,0,'Données projet'!$E$11+1,1))</f>
        <v>430.11660085503223</v>
      </c>
      <c r="BJ139" s="60">
        <f t="shared" si="146"/>
        <v>231.36959598460686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2.4666666666666668</v>
      </c>
      <c r="BY139" s="13">
        <f>IF('Données projet'!$A$114&gt;35,BY138+BX139-CG138,IF(A139&lt;'Données projet'!$A$114,$BV$205^A139,IF(A139='Données projet'!$A$114,'Données projet'!$B$114,BY138+BX139-CG138)))</f>
        <v>271.46666666666613</v>
      </c>
      <c r="BZ139" s="14">
        <f>BY139*VLOOKUP('Données projet'!$B$12,Paramètres!$A$1:$I$89,3,0)*VLOOKUP('Données projet'!$B$12,Paramètres!$A$1:$I$89,5,0)</f>
        <v>275.26719999999943</v>
      </c>
      <c r="CA139" s="14">
        <f t="shared" si="147"/>
        <v>65.965842024192696</v>
      </c>
      <c r="CB139" s="22">
        <f t="shared" si="118"/>
        <v>594.31421485880117</v>
      </c>
      <c r="CC139" s="60">
        <f t="shared" si="119"/>
        <v>887.64754819213454</v>
      </c>
      <c r="CD139" s="60">
        <f ca="1">AVERAGE(OFFSET($CC$3,0,0,'Données projet'!$E$12+1,1))-AVERAGE(OFFSET($H$3,0,0,'Données projet'!$E$12+1,1))</f>
        <v>476.8965664931755</v>
      </c>
      <c r="CE139" s="60">
        <f t="shared" si="148"/>
        <v>254.25036207346591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2.4666666666666668</v>
      </c>
      <c r="CT139" s="13">
        <f>IF('Données projet'!$A$140&gt;35,CT138+CS139-DB138,IF(A139&lt;'Données projet'!$A$140,$CQ$205^A139,IF(A139='Données projet'!$A$140,'Données projet'!$B$140,CT138+CS139-DB138)))</f>
        <v>271.46666666666613</v>
      </c>
      <c r="CU139" s="18">
        <f>CT139*VLOOKUP('Données projet'!$B$13,Paramètres!$A$1:$I$89,3,0)*VLOOKUP('Données projet'!$B$13,Paramètres!$A$1:$I$89,5,0)</f>
        <v>262.56255999999951</v>
      </c>
      <c r="CV139" s="14">
        <f t="shared" si="149"/>
        <v>63.26830000558224</v>
      </c>
      <c r="CW139" s="22">
        <f t="shared" si="121"/>
        <v>567.48874784305497</v>
      </c>
      <c r="CX139" s="60">
        <f t="shared" si="122"/>
        <v>860.82208117638834</v>
      </c>
      <c r="CY139" s="60">
        <f ca="1">AVERAGE(OFFSET($CX$3,0,0,'Données projet'!$E$13+1,1))-AVERAGE(OFFSET($H$3,0,0,'Données projet'!$E$13+1,1))</f>
        <v>456.86147223520601</v>
      </c>
      <c r="CZ139" s="60">
        <f t="shared" si="150"/>
        <v>244.45149244446094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2.5579538487363607E-13</v>
      </c>
      <c r="DP139" s="18">
        <f>DO139*VLOOKUP('Données projet'!$B$14,Paramètres!$A$1:$I$89,3,0)*VLOOKUP('Données projet'!$B$14,Paramètres!$A$1:$I$89,5,0)</f>
        <v>2.4341488824575211E-13</v>
      </c>
      <c r="DQ139" s="14">
        <f t="shared" si="151"/>
        <v>3.2970717324875541E-12</v>
      </c>
      <c r="DR139" s="22">
        <f t="shared" si="124"/>
        <v>6.1663475311105072E-12</v>
      </c>
      <c r="DS139" s="60">
        <f t="shared" si="125"/>
        <v>293.33333333333945</v>
      </c>
      <c r="DT139" s="60">
        <f ca="1">AVERAGE(OFFSET($DS$3,0,0,'Données projet'!$E$14+1,1))-AVERAGE(OFFSET($H$3,0,0,'Données projet'!$E$14+1,1))</f>
        <v>300.36889324671682</v>
      </c>
      <c r="DU139" s="60">
        <f t="shared" si="152"/>
        <v>214.36051699039683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-4.9658410716801891E-14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202.46844517174412</v>
      </c>
      <c r="EP139" s="60">
        <f t="shared" si="154"/>
        <v>185.00219255324515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7.626113074366004E-14</v>
      </c>
      <c r="FG139" s="14">
        <f t="shared" si="155"/>
        <v>1.1823749172251317E-12</v>
      </c>
      <c r="FH139" s="22">
        <f t="shared" si="130"/>
        <v>2.1921244502123119E-12</v>
      </c>
      <c r="FI139" s="60">
        <f t="shared" si="131"/>
        <v>293.33333333333553</v>
      </c>
      <c r="FJ139" s="60">
        <f ca="1">AVERAGE(OFFSET($FI$3,0,0,'Données projet'!$E$16+1,1))-AVERAGE(OFFSET($H$3,0,0,'Données projet'!$E$16+1,1))</f>
        <v>344.87493856469382</v>
      </c>
      <c r="FK139" s="60">
        <f t="shared" si="156"/>
        <v>261.91036689641402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268.19959446602911</v>
      </c>
      <c r="GF139" s="60">
        <f t="shared" si="158"/>
        <v>691.2533336811855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17.615385415000226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17.615385415000226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1.1368683772161603E-13</v>
      </c>
      <c r="GV139" s="18">
        <f>GU139*VLOOKUP('Données projet'!$B$18,Paramètres!$A$1:$I$89,3,0)*VLOOKUP('Données projet'!$B$18,Paramètres!$A$1:$I$89,5,0)</f>
        <v>8.8675733422860506E-14</v>
      </c>
      <c r="GW139" s="14">
        <f t="shared" si="159"/>
        <v>1.3509285393066301E-12</v>
      </c>
      <c r="GX139" s="22">
        <f t="shared" si="136"/>
        <v>2.5073107750038623E-12</v>
      </c>
      <c r="GY139" s="60">
        <f t="shared" si="137"/>
        <v>293.33333333333582</v>
      </c>
      <c r="GZ139" s="60">
        <f ca="1">AVERAGE(OFFSET($GY$3,0,0,'Données projet'!$E$18+1,1))-AVERAGE(OFFSET($H$3,0,0,'Données projet'!$E$18+1,1))</f>
        <v>292.57482726862594</v>
      </c>
      <c r="HA139" s="60">
        <f t="shared" si="160"/>
        <v>283.48738729114024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399.92909819003523</v>
      </c>
      <c r="T140" s="60">
        <f t="shared" si="142"/>
        <v>163.7053537268381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-5.6843418860808015E-13</v>
      </c>
      <c r="AJ140" s="14">
        <f>AI140*VLOOKUP('Données projet'!$B$10,Paramètres!$A$1:$I$89,3,0)*VLOOKUP('Données projet'!$B$10,Paramètres!$A$1:$I$89,5,0)</f>
        <v>-3.39923644787632E-13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455.43477166687273</v>
      </c>
      <c r="AO140" s="60">
        <f t="shared" si="144"/>
        <v>312.81310692672895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2.4666666666666668</v>
      </c>
      <c r="BD140" s="13">
        <f>IF('Données projet'!$A$88&gt;35,BD139+BC140-BL139,IF(A140&lt;'Données projet'!$A$88,$BA$205^A140,IF(A140='Données projet'!$A$88,'Données projet'!$B$88,BD139+BC140-BL139)))</f>
        <v>273.93333333333277</v>
      </c>
      <c r="BE140" s="14">
        <f>BD140*VLOOKUP('Données projet'!$B$11,Paramètres!$A$1:$I$89,3,0)*VLOOKUP('Données projet'!$B$11,Paramètres!$A$1:$I$89,5,0)</f>
        <v>247.8548799999995</v>
      </c>
      <c r="BF140" s="14">
        <f t="shared" si="145"/>
        <v>60.126365564399748</v>
      </c>
      <c r="BG140" s="22">
        <f t="shared" si="115"/>
        <v>536.40066935799541</v>
      </c>
      <c r="BH140" s="60">
        <f t="shared" si="116"/>
        <v>829.73400269132867</v>
      </c>
      <c r="BI140" s="60">
        <f ca="1">AVERAGE(OFFSET($BH$3,0,0,'Données projet'!$E$11+1,1))-AVERAGE(OFFSET($H$3,0,0,'Données projet'!$E$11+1,1))</f>
        <v>430.11660085503223</v>
      </c>
      <c r="BJ140" s="60">
        <f t="shared" si="146"/>
        <v>231.36959598460686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2.4666666666666668</v>
      </c>
      <c r="BY140" s="13">
        <f>IF('Données projet'!$A$114&gt;35,BY139+BX140-CG139,IF(A140&lt;'Données projet'!$A$114,$BV$205^A140,IF(A140='Données projet'!$A$114,'Données projet'!$B$114,BY139+BX140-CG139)))</f>
        <v>273.93333333333277</v>
      </c>
      <c r="BZ140" s="14">
        <f>BY140*VLOOKUP('Données projet'!$B$12,Paramètres!$A$1:$I$89,3,0)*VLOOKUP('Données projet'!$B$12,Paramètres!$A$1:$I$89,5,0)</f>
        <v>277.76839999999942</v>
      </c>
      <c r="CA140" s="14">
        <f t="shared" si="147"/>
        <v>66.495188244530098</v>
      </c>
      <c r="CB140" s="22">
        <f t="shared" si="118"/>
        <v>599.59241619255545</v>
      </c>
      <c r="CC140" s="60">
        <f t="shared" si="119"/>
        <v>892.9257495258887</v>
      </c>
      <c r="CD140" s="60">
        <f ca="1">AVERAGE(OFFSET($CC$3,0,0,'Données projet'!$E$12+1,1))-AVERAGE(OFFSET($H$3,0,0,'Données projet'!$E$12+1,1))</f>
        <v>476.8965664931755</v>
      </c>
      <c r="CE140" s="60">
        <f t="shared" si="148"/>
        <v>254.25036207346591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2.4666666666666668</v>
      </c>
      <c r="CT140" s="13">
        <f>IF('Données projet'!$A$140&gt;35,CT139+CS140-DB139,IF(A140&lt;'Données projet'!$A$140,$CQ$205^A140,IF(A140='Données projet'!$A$140,'Données projet'!$B$140,CT139+CS140-DB139)))</f>
        <v>273.93333333333277</v>
      </c>
      <c r="CU140" s="18">
        <f>CT140*VLOOKUP('Données projet'!$B$13,Paramètres!$A$1:$I$89,3,0)*VLOOKUP('Données projet'!$B$13,Paramètres!$A$1:$I$89,5,0)</f>
        <v>264.94831999999946</v>
      </c>
      <c r="CV140" s="14">
        <f t="shared" si="149"/>
        <v>63.775999664184965</v>
      </c>
      <c r="CW140" s="22">
        <f t="shared" si="121"/>
        <v>572.52819008178778</v>
      </c>
      <c r="CX140" s="60">
        <f t="shared" si="122"/>
        <v>865.86152341512116</v>
      </c>
      <c r="CY140" s="60">
        <f ca="1">AVERAGE(OFFSET($CX$3,0,0,'Données projet'!$E$13+1,1))-AVERAGE(OFFSET($H$3,0,0,'Données projet'!$E$13+1,1))</f>
        <v>456.86147223520601</v>
      </c>
      <c r="CZ140" s="60">
        <f t="shared" si="150"/>
        <v>244.45149244446094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2.5579538487363607E-13</v>
      </c>
      <c r="DP140" s="18">
        <f>DO140*VLOOKUP('Données projet'!$B$14,Paramètres!$A$1:$I$89,3,0)*VLOOKUP('Données projet'!$B$14,Paramètres!$A$1:$I$89,5,0)</f>
        <v>2.4341488824575211E-13</v>
      </c>
      <c r="DQ140" s="14">
        <f t="shared" si="151"/>
        <v>3.2970717324875541E-12</v>
      </c>
      <c r="DR140" s="22">
        <f t="shared" si="124"/>
        <v>6.1663475311105072E-12</v>
      </c>
      <c r="DS140" s="60">
        <f t="shared" si="125"/>
        <v>293.33333333333945</v>
      </c>
      <c r="DT140" s="60">
        <f ca="1">AVERAGE(OFFSET($DS$3,0,0,'Données projet'!$E$14+1,1))-AVERAGE(OFFSET($H$3,0,0,'Données projet'!$E$14+1,1))</f>
        <v>300.36889324671682</v>
      </c>
      <c r="DU140" s="60">
        <f t="shared" si="152"/>
        <v>214.36051699039683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-4.9658410716801891E-14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202.46844517174412</v>
      </c>
      <c r="EP140" s="60">
        <f t="shared" si="154"/>
        <v>185.00219255324515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7.626113074366004E-14</v>
      </c>
      <c r="FG140" s="14">
        <f t="shared" si="155"/>
        <v>1.1823749172251317E-12</v>
      </c>
      <c r="FH140" s="22">
        <f t="shared" si="130"/>
        <v>2.1921244502123119E-12</v>
      </c>
      <c r="FI140" s="60">
        <f t="shared" si="131"/>
        <v>293.33333333333553</v>
      </c>
      <c r="FJ140" s="60">
        <f ca="1">AVERAGE(OFFSET($FI$3,0,0,'Données projet'!$E$16+1,1))-AVERAGE(OFFSET($H$3,0,0,'Données projet'!$E$16+1,1))</f>
        <v>344.87493856469382</v>
      </c>
      <c r="FK140" s="60">
        <f t="shared" si="156"/>
        <v>261.91036689641402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268.19959446602911</v>
      </c>
      <c r="GF140" s="60">
        <f t="shared" si="158"/>
        <v>691.2533336811855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17.269958451336262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17.269958451336262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1.1368683772161603E-13</v>
      </c>
      <c r="GV140" s="18">
        <f>GU140*VLOOKUP('Données projet'!$B$18,Paramètres!$A$1:$I$89,3,0)*VLOOKUP('Données projet'!$B$18,Paramètres!$A$1:$I$89,5,0)</f>
        <v>8.8675733422860506E-14</v>
      </c>
      <c r="GW140" s="14">
        <f t="shared" si="159"/>
        <v>1.3509285393066301E-12</v>
      </c>
      <c r="GX140" s="22">
        <f t="shared" si="136"/>
        <v>2.5073107750038623E-12</v>
      </c>
      <c r="GY140" s="60">
        <f t="shared" si="137"/>
        <v>293.33333333333582</v>
      </c>
      <c r="GZ140" s="60">
        <f ca="1">AVERAGE(OFFSET($GY$3,0,0,'Données projet'!$E$18+1,1))-AVERAGE(OFFSET($H$3,0,0,'Données projet'!$E$18+1,1))</f>
        <v>292.57482726862594</v>
      </c>
      <c r="HA140" s="60">
        <f t="shared" si="160"/>
        <v>283.48738729114024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399.92909819003523</v>
      </c>
      <c r="T141" s="60">
        <f t="shared" si="142"/>
        <v>163.7053537268381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-5.6843418860808015E-13</v>
      </c>
      <c r="AJ141" s="14">
        <f>AI141*VLOOKUP('Données projet'!$B$10,Paramètres!$A$1:$I$89,3,0)*VLOOKUP('Données projet'!$B$10,Paramètres!$A$1:$I$89,5,0)</f>
        <v>-3.39923644787632E-13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455.43477166687273</v>
      </c>
      <c r="AO141" s="60">
        <f t="shared" si="144"/>
        <v>312.81310692672895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2.4666666666666668</v>
      </c>
      <c r="BD141" s="13">
        <f>IF('Données projet'!$A$88&gt;35,BD140+BC141-BL140,IF(A141&lt;'Données projet'!$A$88,$BA$205^A141,IF(A141='Données projet'!$A$88,'Données projet'!$B$88,BD140+BC141-BL140)))</f>
        <v>276.39999999999941</v>
      </c>
      <c r="BE141" s="14">
        <f>BD141*VLOOKUP('Données projet'!$B$11,Paramètres!$A$1:$I$89,3,0)*VLOOKUP('Données projet'!$B$11,Paramètres!$A$1:$I$89,5,0)</f>
        <v>250.08671999999945</v>
      </c>
      <c r="BF141" s="14">
        <f t="shared" si="145"/>
        <v>60.604510260305993</v>
      </c>
      <c r="BG141" s="22">
        <f t="shared" si="115"/>
        <v>541.12055937003197</v>
      </c>
      <c r="BH141" s="60">
        <f t="shared" si="116"/>
        <v>834.45389270336523</v>
      </c>
      <c r="BI141" s="60">
        <f ca="1">AVERAGE(OFFSET($BH$3,0,0,'Données projet'!$E$11+1,1))-AVERAGE(OFFSET($H$3,0,0,'Données projet'!$E$11+1,1))</f>
        <v>430.11660085503223</v>
      </c>
      <c r="BJ141" s="60">
        <f t="shared" si="146"/>
        <v>231.36959598460686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2.4666666666666668</v>
      </c>
      <c r="BY141" s="13">
        <f>IF('Données projet'!$A$114&gt;35,BY140+BX141-CG140,IF(A141&lt;'Données projet'!$A$114,$BV$205^A141,IF(A141='Données projet'!$A$114,'Données projet'!$B$114,BY140+BX141-CG140)))</f>
        <v>276.39999999999941</v>
      </c>
      <c r="BZ141" s="14">
        <f>BY141*VLOOKUP('Données projet'!$B$12,Paramètres!$A$1:$I$89,3,0)*VLOOKUP('Données projet'!$B$12,Paramètres!$A$1:$I$89,5,0)</f>
        <v>280.2695999999994</v>
      </c>
      <c r="CA141" s="14">
        <f t="shared" si="147"/>
        <v>67.023979919595888</v>
      </c>
      <c r="CB141" s="22">
        <f t="shared" si="118"/>
        <v>604.86965169329517</v>
      </c>
      <c r="CC141" s="60">
        <f t="shared" si="119"/>
        <v>898.20298502662854</v>
      </c>
      <c r="CD141" s="60">
        <f ca="1">AVERAGE(OFFSET($CC$3,0,0,'Données projet'!$E$12+1,1))-AVERAGE(OFFSET($H$3,0,0,'Données projet'!$E$12+1,1))</f>
        <v>476.8965664931755</v>
      </c>
      <c r="CE141" s="60">
        <f t="shared" si="148"/>
        <v>254.25036207346591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2.4666666666666668</v>
      </c>
      <c r="CT141" s="13">
        <f>IF('Données projet'!$A$140&gt;35,CT140+CS141-DB140,IF(A141&lt;'Données projet'!$A$140,$CQ$205^A141,IF(A141='Données projet'!$A$140,'Données projet'!$B$140,CT140+CS141-DB140)))</f>
        <v>276.39999999999941</v>
      </c>
      <c r="CU141" s="18">
        <f>CT141*VLOOKUP('Données projet'!$B$13,Paramètres!$A$1:$I$89,3,0)*VLOOKUP('Données projet'!$B$13,Paramètres!$A$1:$I$89,5,0)</f>
        <v>267.3340799999994</v>
      </c>
      <c r="CV141" s="14">
        <f t="shared" si="149"/>
        <v>64.283167454542934</v>
      </c>
      <c r="CW141" s="22">
        <f t="shared" si="121"/>
        <v>577.56670598332778</v>
      </c>
      <c r="CX141" s="60">
        <f t="shared" si="122"/>
        <v>870.90003931666115</v>
      </c>
      <c r="CY141" s="60">
        <f ca="1">AVERAGE(OFFSET($CX$3,0,0,'Données projet'!$E$13+1,1))-AVERAGE(OFFSET($H$3,0,0,'Données projet'!$E$13+1,1))</f>
        <v>456.86147223520601</v>
      </c>
      <c r="CZ141" s="60">
        <f t="shared" si="150"/>
        <v>244.45149244446094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2.5579538487363607E-13</v>
      </c>
      <c r="DP141" s="18">
        <f>DO141*VLOOKUP('Données projet'!$B$14,Paramètres!$A$1:$I$89,3,0)*VLOOKUP('Données projet'!$B$14,Paramètres!$A$1:$I$89,5,0)</f>
        <v>2.4341488824575211E-13</v>
      </c>
      <c r="DQ141" s="14">
        <f t="shared" si="151"/>
        <v>3.2970717324875541E-12</v>
      </c>
      <c r="DR141" s="22">
        <f t="shared" si="124"/>
        <v>6.1663475311105072E-12</v>
      </c>
      <c r="DS141" s="60">
        <f t="shared" si="125"/>
        <v>293.33333333333945</v>
      </c>
      <c r="DT141" s="60">
        <f ca="1">AVERAGE(OFFSET($DS$3,0,0,'Données projet'!$E$14+1,1))-AVERAGE(OFFSET($H$3,0,0,'Données projet'!$E$14+1,1))</f>
        <v>300.36889324671682</v>
      </c>
      <c r="DU141" s="60">
        <f t="shared" si="152"/>
        <v>214.36051699039683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-4.9658410716801891E-14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202.46844517174412</v>
      </c>
      <c r="EP141" s="60">
        <f t="shared" si="154"/>
        <v>185.00219255324515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7.626113074366004E-14</v>
      </c>
      <c r="FG141" s="14">
        <f t="shared" si="155"/>
        <v>1.1823749172251317E-12</v>
      </c>
      <c r="FH141" s="22">
        <f t="shared" si="130"/>
        <v>2.1921244502123119E-12</v>
      </c>
      <c r="FI141" s="60">
        <f t="shared" si="131"/>
        <v>293.33333333333553</v>
      </c>
      <c r="FJ141" s="60">
        <f ca="1">AVERAGE(OFFSET($FI$3,0,0,'Données projet'!$E$16+1,1))-AVERAGE(OFFSET($H$3,0,0,'Données projet'!$E$16+1,1))</f>
        <v>344.87493856469382</v>
      </c>
      <c r="FK141" s="60">
        <f t="shared" si="156"/>
        <v>261.91036689641402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268.19959446602911</v>
      </c>
      <c r="GF141" s="60">
        <f t="shared" si="158"/>
        <v>691.2533336811855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16.931305099740104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16.931305099740104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1.1368683772161603E-13</v>
      </c>
      <c r="GV141" s="18">
        <f>GU141*VLOOKUP('Données projet'!$B$18,Paramètres!$A$1:$I$89,3,0)*VLOOKUP('Données projet'!$B$18,Paramètres!$A$1:$I$89,5,0)</f>
        <v>8.8675733422860506E-14</v>
      </c>
      <c r="GW141" s="14">
        <f t="shared" si="159"/>
        <v>1.3509285393066301E-12</v>
      </c>
      <c r="GX141" s="22">
        <f t="shared" si="136"/>
        <v>2.5073107750038623E-12</v>
      </c>
      <c r="GY141" s="60">
        <f t="shared" si="137"/>
        <v>293.33333333333582</v>
      </c>
      <c r="GZ141" s="60">
        <f ca="1">AVERAGE(OFFSET($GY$3,0,0,'Données projet'!$E$18+1,1))-AVERAGE(OFFSET($H$3,0,0,'Données projet'!$E$18+1,1))</f>
        <v>292.57482726862594</v>
      </c>
      <c r="HA141" s="60">
        <f t="shared" si="160"/>
        <v>283.48738729114024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399.92909819003523</v>
      </c>
      <c r="T142" s="60">
        <f t="shared" si="142"/>
        <v>163.7053537268381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-5.6843418860808015E-13</v>
      </c>
      <c r="AJ142" s="14">
        <f>AI142*VLOOKUP('Données projet'!$B$10,Paramètres!$A$1:$I$89,3,0)*VLOOKUP('Données projet'!$B$10,Paramètres!$A$1:$I$89,5,0)</f>
        <v>-3.39923644787632E-13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455.43477166687273</v>
      </c>
      <c r="AO142" s="60">
        <f t="shared" si="144"/>
        <v>312.81310692672895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2.4666666666666668</v>
      </c>
      <c r="BD142" s="13">
        <f>IF('Données projet'!$A$88&gt;35,BD141+BC142-BL141,IF(A142&lt;'Données projet'!$A$88,$BA$205^A142,IF(A142='Données projet'!$A$88,'Données projet'!$B$88,BD141+BC142-BL141)))</f>
        <v>278.86666666666605</v>
      </c>
      <c r="BE142" s="14">
        <f>BD142*VLOOKUP('Données projet'!$B$11,Paramètres!$A$1:$I$89,3,0)*VLOOKUP('Données projet'!$B$11,Paramètres!$A$1:$I$89,5,0)</f>
        <v>252.31855999999945</v>
      </c>
      <c r="BF142" s="14">
        <f t="shared" si="145"/>
        <v>61.082158517893006</v>
      </c>
      <c r="BG142" s="22">
        <f t="shared" si="115"/>
        <v>545.83958475199609</v>
      </c>
      <c r="BH142" s="60">
        <f t="shared" si="116"/>
        <v>839.17291808532946</v>
      </c>
      <c r="BI142" s="60">
        <f ca="1">AVERAGE(OFFSET($BH$3,0,0,'Données projet'!$E$11+1,1))-AVERAGE(OFFSET($H$3,0,0,'Données projet'!$E$11+1,1))</f>
        <v>430.11660085503223</v>
      </c>
      <c r="BJ142" s="60">
        <f t="shared" si="146"/>
        <v>231.36959598460686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2.4666666666666668</v>
      </c>
      <c r="BY142" s="13">
        <f>IF('Données projet'!$A$114&gt;35,BY141+BX142-CG141,IF(A142&lt;'Données projet'!$A$114,$BV$205^A142,IF(A142='Données projet'!$A$114,'Données projet'!$B$114,BY141+BX142-CG141)))</f>
        <v>278.86666666666605</v>
      </c>
      <c r="BZ142" s="14">
        <f>BY142*VLOOKUP('Données projet'!$B$12,Paramètres!$A$1:$I$89,3,0)*VLOOKUP('Données projet'!$B$12,Paramètres!$A$1:$I$89,5,0)</f>
        <v>282.77079999999944</v>
      </c>
      <c r="CA142" s="14">
        <f t="shared" si="147"/>
        <v>67.552222571630026</v>
      </c>
      <c r="CB142" s="22">
        <f t="shared" si="118"/>
        <v>610.14593097892123</v>
      </c>
      <c r="CC142" s="60">
        <f t="shared" si="119"/>
        <v>903.4792643122546</v>
      </c>
      <c r="CD142" s="60">
        <f ca="1">AVERAGE(OFFSET($CC$3,0,0,'Données projet'!$E$12+1,1))-AVERAGE(OFFSET($H$3,0,0,'Données projet'!$E$12+1,1))</f>
        <v>476.8965664931755</v>
      </c>
      <c r="CE142" s="60">
        <f t="shared" si="148"/>
        <v>254.25036207346591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2.4666666666666668</v>
      </c>
      <c r="CT142" s="13">
        <f>IF('Données projet'!$A$140&gt;35,CT141+CS142-DB141,IF(A142&lt;'Données projet'!$A$140,$CQ$205^A142,IF(A142='Données projet'!$A$140,'Données projet'!$B$140,CT141+CS142-DB141)))</f>
        <v>278.86666666666605</v>
      </c>
      <c r="CU142" s="18">
        <f>CT142*VLOOKUP('Données projet'!$B$13,Paramètres!$A$1:$I$89,3,0)*VLOOKUP('Données projet'!$B$13,Paramètres!$A$1:$I$89,5,0)</f>
        <v>269.71983999999941</v>
      </c>
      <c r="CV142" s="14">
        <f t="shared" si="149"/>
        <v>64.789808673075157</v>
      </c>
      <c r="CW142" s="22">
        <f t="shared" si="121"/>
        <v>582.60430477227158</v>
      </c>
      <c r="CX142" s="60">
        <f t="shared" si="122"/>
        <v>875.93763810560495</v>
      </c>
      <c r="CY142" s="60">
        <f ca="1">AVERAGE(OFFSET($CX$3,0,0,'Données projet'!$E$13+1,1))-AVERAGE(OFFSET($H$3,0,0,'Données projet'!$E$13+1,1))</f>
        <v>456.86147223520601</v>
      </c>
      <c r="CZ142" s="60">
        <f t="shared" si="150"/>
        <v>244.45149244446094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2.5579538487363607E-13</v>
      </c>
      <c r="DP142" s="18">
        <f>DO142*VLOOKUP('Données projet'!$B$14,Paramètres!$A$1:$I$89,3,0)*VLOOKUP('Données projet'!$B$14,Paramètres!$A$1:$I$89,5,0)</f>
        <v>2.4341488824575211E-13</v>
      </c>
      <c r="DQ142" s="14">
        <f t="shared" si="151"/>
        <v>3.2970717324875541E-12</v>
      </c>
      <c r="DR142" s="22">
        <f t="shared" si="124"/>
        <v>6.1663475311105072E-12</v>
      </c>
      <c r="DS142" s="60">
        <f t="shared" si="125"/>
        <v>293.33333333333945</v>
      </c>
      <c r="DT142" s="60">
        <f ca="1">AVERAGE(OFFSET($DS$3,0,0,'Données projet'!$E$14+1,1))-AVERAGE(OFFSET($H$3,0,0,'Données projet'!$E$14+1,1))</f>
        <v>300.36889324671682</v>
      </c>
      <c r="DU142" s="60">
        <f t="shared" si="152"/>
        <v>214.36051699039683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-4.9658410716801891E-14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202.46844517174412</v>
      </c>
      <c r="EP142" s="60">
        <f t="shared" si="154"/>
        <v>185.00219255324515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7.626113074366004E-14</v>
      </c>
      <c r="FG142" s="14">
        <f t="shared" si="155"/>
        <v>1.1823749172251317E-12</v>
      </c>
      <c r="FH142" s="22">
        <f t="shared" si="130"/>
        <v>2.1921244502123119E-12</v>
      </c>
      <c r="FI142" s="60">
        <f t="shared" si="131"/>
        <v>293.33333333333553</v>
      </c>
      <c r="FJ142" s="60">
        <f ca="1">AVERAGE(OFFSET($FI$3,0,0,'Données projet'!$E$16+1,1))-AVERAGE(OFFSET($H$3,0,0,'Données projet'!$E$16+1,1))</f>
        <v>344.87493856469382</v>
      </c>
      <c r="FK142" s="60">
        <f t="shared" si="156"/>
        <v>261.91036689641402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268.19959446602911</v>
      </c>
      <c r="GF142" s="60">
        <f t="shared" si="158"/>
        <v>691.2533336811855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16.599292533810598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16.599292533810598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1.1368683772161603E-13</v>
      </c>
      <c r="GV142" s="18">
        <f>GU142*VLOOKUP('Données projet'!$B$18,Paramètres!$A$1:$I$89,3,0)*VLOOKUP('Données projet'!$B$18,Paramètres!$A$1:$I$89,5,0)</f>
        <v>8.8675733422860506E-14</v>
      </c>
      <c r="GW142" s="14">
        <f t="shared" si="159"/>
        <v>1.3509285393066301E-12</v>
      </c>
      <c r="GX142" s="22">
        <f t="shared" si="136"/>
        <v>2.5073107750038623E-12</v>
      </c>
      <c r="GY142" s="60">
        <f t="shared" si="137"/>
        <v>293.33333333333582</v>
      </c>
      <c r="GZ142" s="60">
        <f ca="1">AVERAGE(OFFSET($GY$3,0,0,'Données projet'!$E$18+1,1))-AVERAGE(OFFSET($H$3,0,0,'Données projet'!$E$18+1,1))</f>
        <v>292.57482726862594</v>
      </c>
      <c r="HA142" s="60">
        <f t="shared" si="160"/>
        <v>283.48738729114024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399.92909819003523</v>
      </c>
      <c r="T143" s="60">
        <f t="shared" si="142"/>
        <v>163.7053537268381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-5.6843418860808015E-13</v>
      </c>
      <c r="AJ143" s="14">
        <f>AI143*VLOOKUP('Données projet'!$B$10,Paramètres!$A$1:$I$89,3,0)*VLOOKUP('Données projet'!$B$10,Paramètres!$A$1:$I$89,5,0)</f>
        <v>-3.39923644787632E-13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455.43477166687273</v>
      </c>
      <c r="AO143" s="60">
        <f t="shared" si="144"/>
        <v>312.81310692672895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2.4666666666666668</v>
      </c>
      <c r="BD143" s="13">
        <f>IF('Données projet'!$A$88&gt;35,BD142+BC143-BL142,IF(A143&lt;'Données projet'!$A$88,$BA$205^A143,IF(A143='Données projet'!$A$88,'Données projet'!$B$88,BD142+BC143-BL142)))</f>
        <v>281.33333333333269</v>
      </c>
      <c r="BE143" s="14">
        <f>BD143*VLOOKUP('Données projet'!$B$11,Paramètres!$A$1:$I$89,3,0)*VLOOKUP('Données projet'!$B$11,Paramètres!$A$1:$I$89,5,0)</f>
        <v>254.5503999999994</v>
      </c>
      <c r="BF143" s="14">
        <f t="shared" si="145"/>
        <v>61.559315237055863</v>
      </c>
      <c r="BG143" s="22">
        <f t="shared" si="115"/>
        <v>550.55775403787118</v>
      </c>
      <c r="BH143" s="60">
        <f t="shared" si="116"/>
        <v>843.89108737120455</v>
      </c>
      <c r="BI143" s="60">
        <f ca="1">AVERAGE(OFFSET($BH$3,0,0,'Données projet'!$E$11+1,1))-AVERAGE(OFFSET($H$3,0,0,'Données projet'!$E$11+1,1))</f>
        <v>430.11660085503223</v>
      </c>
      <c r="BJ143" s="60">
        <f t="shared" si="146"/>
        <v>231.36959598460686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2.4666666666666668</v>
      </c>
      <c r="BY143" s="13">
        <f>IF('Données projet'!$A$114&gt;35,BY142+BX143-CG142,IF(A143&lt;'Données projet'!$A$114,$BV$205^A143,IF(A143='Données projet'!$A$114,'Données projet'!$B$114,BY142+BX143-CG142)))</f>
        <v>281.33333333333269</v>
      </c>
      <c r="BZ143" s="14">
        <f>BY143*VLOOKUP('Données projet'!$B$12,Paramètres!$A$1:$I$89,3,0)*VLOOKUP('Données projet'!$B$12,Paramètres!$A$1:$I$89,5,0)</f>
        <v>285.27199999999937</v>
      </c>
      <c r="CA143" s="14">
        <f t="shared" si="147"/>
        <v>68.079921619544265</v>
      </c>
      <c r="CB143" s="22">
        <f t="shared" si="118"/>
        <v>615.42126348737179</v>
      </c>
      <c r="CC143" s="60">
        <f t="shared" si="119"/>
        <v>908.75459682070505</v>
      </c>
      <c r="CD143" s="60">
        <f ca="1">AVERAGE(OFFSET($CC$3,0,0,'Données projet'!$E$12+1,1))-AVERAGE(OFFSET($H$3,0,0,'Données projet'!$E$12+1,1))</f>
        <v>476.8965664931755</v>
      </c>
      <c r="CE143" s="60">
        <f t="shared" si="148"/>
        <v>254.25036207346591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2.4666666666666668</v>
      </c>
      <c r="CT143" s="13">
        <f>IF('Données projet'!$A$140&gt;35,CT142+CS143-DB142,IF(A143&lt;'Données projet'!$A$140,$CQ$205^A143,IF(A143='Données projet'!$A$140,'Données projet'!$B$140,CT142+CS143-DB142)))</f>
        <v>281.33333333333269</v>
      </c>
      <c r="CU143" s="18">
        <f>CT143*VLOOKUP('Données projet'!$B$13,Paramètres!$A$1:$I$89,3,0)*VLOOKUP('Données projet'!$B$13,Paramètres!$A$1:$I$89,5,0)</f>
        <v>272.10559999999941</v>
      </c>
      <c r="CV143" s="14">
        <f t="shared" si="149"/>
        <v>65.295928517097721</v>
      </c>
      <c r="CW143" s="22">
        <f t="shared" si="121"/>
        <v>587.64099550061076</v>
      </c>
      <c r="CX143" s="60">
        <f t="shared" si="122"/>
        <v>880.97432883394413</v>
      </c>
      <c r="CY143" s="60">
        <f ca="1">AVERAGE(OFFSET($CX$3,0,0,'Données projet'!$E$13+1,1))-AVERAGE(OFFSET($H$3,0,0,'Données projet'!$E$13+1,1))</f>
        <v>456.86147223520601</v>
      </c>
      <c r="CZ143" s="60">
        <f t="shared" si="150"/>
        <v>244.45149244446094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2.5579538487363607E-13</v>
      </c>
      <c r="DP143" s="18">
        <f>DO143*VLOOKUP('Données projet'!$B$14,Paramètres!$A$1:$I$89,3,0)*VLOOKUP('Données projet'!$B$14,Paramètres!$A$1:$I$89,5,0)</f>
        <v>2.4341488824575211E-13</v>
      </c>
      <c r="DQ143" s="14">
        <f t="shared" si="151"/>
        <v>3.2970717324875541E-12</v>
      </c>
      <c r="DR143" s="22">
        <f t="shared" si="124"/>
        <v>6.1663475311105072E-12</v>
      </c>
      <c r="DS143" s="60">
        <f t="shared" si="125"/>
        <v>293.33333333333945</v>
      </c>
      <c r="DT143" s="60">
        <f ca="1">AVERAGE(OFFSET($DS$3,0,0,'Données projet'!$E$14+1,1))-AVERAGE(OFFSET($H$3,0,0,'Données projet'!$E$14+1,1))</f>
        <v>300.36889324671682</v>
      </c>
      <c r="DU143" s="60">
        <f t="shared" si="152"/>
        <v>214.36051699039683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-4.9658410716801891E-14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202.46844517174412</v>
      </c>
      <c r="EP143" s="60">
        <f t="shared" si="154"/>
        <v>185.00219255324515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7.626113074366004E-14</v>
      </c>
      <c r="FG143" s="14">
        <f t="shared" si="155"/>
        <v>1.1823749172251317E-12</v>
      </c>
      <c r="FH143" s="22">
        <f t="shared" si="130"/>
        <v>2.1921244502123119E-12</v>
      </c>
      <c r="FI143" s="60">
        <f t="shared" si="131"/>
        <v>293.33333333333553</v>
      </c>
      <c r="FJ143" s="60">
        <f ca="1">AVERAGE(OFFSET($FI$3,0,0,'Données projet'!$E$16+1,1))-AVERAGE(OFFSET($H$3,0,0,'Données projet'!$E$16+1,1))</f>
        <v>344.87493856469382</v>
      </c>
      <c r="FK143" s="60">
        <f t="shared" si="156"/>
        <v>261.91036689641402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268.19959446602911</v>
      </c>
      <c r="GF143" s="60">
        <f t="shared" si="158"/>
        <v>691.2533336811855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16.273790531791299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16.273790531791299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1.1368683772161603E-13</v>
      </c>
      <c r="GV143" s="18">
        <f>GU143*VLOOKUP('Données projet'!$B$18,Paramètres!$A$1:$I$89,3,0)*VLOOKUP('Données projet'!$B$18,Paramètres!$A$1:$I$89,5,0)</f>
        <v>8.8675733422860506E-14</v>
      </c>
      <c r="GW143" s="14">
        <f t="shared" si="159"/>
        <v>1.3509285393066301E-12</v>
      </c>
      <c r="GX143" s="22">
        <f t="shared" si="136"/>
        <v>2.5073107750038623E-12</v>
      </c>
      <c r="GY143" s="60">
        <f t="shared" si="137"/>
        <v>293.33333333333582</v>
      </c>
      <c r="GZ143" s="60">
        <f ca="1">AVERAGE(OFFSET($GY$3,0,0,'Données projet'!$E$18+1,1))-AVERAGE(OFFSET($H$3,0,0,'Données projet'!$E$18+1,1))</f>
        <v>292.57482726862594</v>
      </c>
      <c r="HA143" s="60">
        <f t="shared" si="160"/>
        <v>283.48738729114024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399.92909819003523</v>
      </c>
      <c r="T144" s="60">
        <f t="shared" si="142"/>
        <v>163.7053537268381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-5.6843418860808015E-13</v>
      </c>
      <c r="AJ144" s="14">
        <f>AI144*VLOOKUP('Données projet'!$B$10,Paramètres!$A$1:$I$89,3,0)*VLOOKUP('Données projet'!$B$10,Paramètres!$A$1:$I$89,5,0)</f>
        <v>-3.39923644787632E-13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455.43477166687273</v>
      </c>
      <c r="AO144" s="60">
        <f t="shared" si="144"/>
        <v>312.81310692672895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2.4666666666666668</v>
      </c>
      <c r="BD144" s="13">
        <f>IF('Données projet'!$A$88&gt;35,BD143+BC144-BL143,IF(A144&lt;'Données projet'!$A$88,$BA$205^A144,IF(A144='Données projet'!$A$88,'Données projet'!$B$88,BD143+BC144-BL143)))</f>
        <v>283.79999999999933</v>
      </c>
      <c r="BE144" s="14">
        <f>BD144*VLOOKUP('Données projet'!$B$11,Paramètres!$A$1:$I$89,3,0)*VLOOKUP('Données projet'!$B$11,Paramètres!$A$1:$I$89,5,0)</f>
        <v>256.78223999999938</v>
      </c>
      <c r="BF144" s="14">
        <f t="shared" si="145"/>
        <v>62.035985226809906</v>
      </c>
      <c r="BG144" s="22">
        <f t="shared" si="115"/>
        <v>555.27507560335937</v>
      </c>
      <c r="BH144" s="60">
        <f t="shared" si="116"/>
        <v>848.60840893669274</v>
      </c>
      <c r="BI144" s="60">
        <f ca="1">AVERAGE(OFFSET($BH$3,0,0,'Données projet'!$E$11+1,1))-AVERAGE(OFFSET($H$3,0,0,'Données projet'!$E$11+1,1))</f>
        <v>430.11660085503223</v>
      </c>
      <c r="BJ144" s="60">
        <f t="shared" si="146"/>
        <v>231.36959598460686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2.4666666666666668</v>
      </c>
      <c r="BY144" s="13">
        <f>IF('Données projet'!$A$114&gt;35,BY143+BX144-CG143,IF(A144&lt;'Données projet'!$A$114,$BV$205^A144,IF(A144='Données projet'!$A$114,'Données projet'!$B$114,BY143+BX144-CG143)))</f>
        <v>283.79999999999933</v>
      </c>
      <c r="BZ144" s="14">
        <f>BY144*VLOOKUP('Données projet'!$B$12,Paramètres!$A$1:$I$89,3,0)*VLOOKUP('Données projet'!$B$12,Paramètres!$A$1:$I$89,5,0)</f>
        <v>287.77319999999935</v>
      </c>
      <c r="CA144" s="14">
        <f t="shared" si="147"/>
        <v>68.607082381743737</v>
      </c>
      <c r="CB144" s="22">
        <f t="shared" si="118"/>
        <v>620.69565848153582</v>
      </c>
      <c r="CC144" s="60">
        <f t="shared" si="119"/>
        <v>914.02899181486919</v>
      </c>
      <c r="CD144" s="60">
        <f ca="1">AVERAGE(OFFSET($CC$3,0,0,'Données projet'!$E$12+1,1))-AVERAGE(OFFSET($H$3,0,0,'Données projet'!$E$12+1,1))</f>
        <v>476.8965664931755</v>
      </c>
      <c r="CE144" s="60">
        <f t="shared" si="148"/>
        <v>254.25036207346591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2.4666666666666668</v>
      </c>
      <c r="CT144" s="13">
        <f>IF('Données projet'!$A$140&gt;35,CT143+CS144-DB143,IF(A144&lt;'Données projet'!$A$140,$CQ$205^A144,IF(A144='Données projet'!$A$140,'Données projet'!$B$140,CT143+CS144-DB143)))</f>
        <v>283.79999999999933</v>
      </c>
      <c r="CU144" s="18">
        <f>CT144*VLOOKUP('Données projet'!$B$13,Paramètres!$A$1:$I$89,3,0)*VLOOKUP('Données projet'!$B$13,Paramètres!$A$1:$I$89,5,0)</f>
        <v>274.49135999999936</v>
      </c>
      <c r="CV144" s="14">
        <f t="shared" si="149"/>
        <v>65.801532087530063</v>
      </c>
      <c r="CW144" s="22">
        <f t="shared" si="121"/>
        <v>592.67678705244703</v>
      </c>
      <c r="CX144" s="60">
        <f t="shared" si="122"/>
        <v>886.01012038578028</v>
      </c>
      <c r="CY144" s="60">
        <f ca="1">AVERAGE(OFFSET($CX$3,0,0,'Données projet'!$E$13+1,1))-AVERAGE(OFFSET($H$3,0,0,'Données projet'!$E$13+1,1))</f>
        <v>456.86147223520601</v>
      </c>
      <c r="CZ144" s="60">
        <f t="shared" si="150"/>
        <v>244.45149244446094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2.5579538487363607E-13</v>
      </c>
      <c r="DP144" s="18">
        <f>DO144*VLOOKUP('Données projet'!$B$14,Paramètres!$A$1:$I$89,3,0)*VLOOKUP('Données projet'!$B$14,Paramètres!$A$1:$I$89,5,0)</f>
        <v>2.4341488824575211E-13</v>
      </c>
      <c r="DQ144" s="14">
        <f t="shared" si="151"/>
        <v>3.2970717324875541E-12</v>
      </c>
      <c r="DR144" s="22">
        <f t="shared" si="124"/>
        <v>6.1663475311105072E-12</v>
      </c>
      <c r="DS144" s="60">
        <f t="shared" si="125"/>
        <v>293.33333333333945</v>
      </c>
      <c r="DT144" s="60">
        <f ca="1">AVERAGE(OFFSET($DS$3,0,0,'Données projet'!$E$14+1,1))-AVERAGE(OFFSET($H$3,0,0,'Données projet'!$E$14+1,1))</f>
        <v>300.36889324671682</v>
      </c>
      <c r="DU144" s="60">
        <f t="shared" si="152"/>
        <v>214.36051699039683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-4.9658410716801891E-14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202.46844517174412</v>
      </c>
      <c r="EP144" s="60">
        <f t="shared" si="154"/>
        <v>185.00219255324515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7.626113074366004E-14</v>
      </c>
      <c r="FG144" s="14">
        <f t="shared" si="155"/>
        <v>1.1823749172251317E-12</v>
      </c>
      <c r="FH144" s="22">
        <f t="shared" si="130"/>
        <v>2.1921244502123119E-12</v>
      </c>
      <c r="FI144" s="60">
        <f t="shared" si="131"/>
        <v>293.33333333333553</v>
      </c>
      <c r="FJ144" s="60">
        <f ca="1">AVERAGE(OFFSET($FI$3,0,0,'Données projet'!$E$16+1,1))-AVERAGE(OFFSET($H$3,0,0,'Données projet'!$E$16+1,1))</f>
        <v>344.87493856469382</v>
      </c>
      <c r="FK144" s="60">
        <f t="shared" si="156"/>
        <v>261.91036689641402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268.19959446602911</v>
      </c>
      <c r="GF144" s="60">
        <f t="shared" si="158"/>
        <v>691.2533336811855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15.954671425494981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15.954671425494981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1.1368683772161603E-13</v>
      </c>
      <c r="GV144" s="18">
        <f>GU144*VLOOKUP('Données projet'!$B$18,Paramètres!$A$1:$I$89,3,0)*VLOOKUP('Données projet'!$B$18,Paramètres!$A$1:$I$89,5,0)</f>
        <v>8.8675733422860506E-14</v>
      </c>
      <c r="GW144" s="14">
        <f t="shared" si="159"/>
        <v>1.3509285393066301E-12</v>
      </c>
      <c r="GX144" s="22">
        <f t="shared" si="136"/>
        <v>2.5073107750038623E-12</v>
      </c>
      <c r="GY144" s="60">
        <f t="shared" si="137"/>
        <v>293.33333333333582</v>
      </c>
      <c r="GZ144" s="60">
        <f ca="1">AVERAGE(OFFSET($GY$3,0,0,'Données projet'!$E$18+1,1))-AVERAGE(OFFSET($H$3,0,0,'Données projet'!$E$18+1,1))</f>
        <v>292.57482726862594</v>
      </c>
      <c r="HA144" s="60">
        <f t="shared" si="160"/>
        <v>283.48738729114024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399.92909819003523</v>
      </c>
      <c r="T145" s="60">
        <f t="shared" si="142"/>
        <v>163.7053537268381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-5.6843418860808015E-13</v>
      </c>
      <c r="AJ145" s="14">
        <f>AI145*VLOOKUP('Données projet'!$B$10,Paramètres!$A$1:$I$89,3,0)*VLOOKUP('Données projet'!$B$10,Paramètres!$A$1:$I$89,5,0)</f>
        <v>-3.39923644787632E-13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455.43477166687273</v>
      </c>
      <c r="AO145" s="60">
        <f t="shared" si="144"/>
        <v>312.81310692672895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2.4666666666666668</v>
      </c>
      <c r="BD145" s="13">
        <f>IF('Données projet'!$A$88&gt;35,BD144+BC145-BL144,IF(A145&lt;'Données projet'!$A$88,$BA$205^A145,IF(A145='Données projet'!$A$88,'Données projet'!$B$88,BD144+BC145-BL144)))</f>
        <v>286.26666666666597</v>
      </c>
      <c r="BE145" s="14">
        <f>BD145*VLOOKUP('Données projet'!$B$11,Paramètres!$A$1:$I$89,3,0)*VLOOKUP('Données projet'!$B$11,Paramètres!$A$1:$I$89,5,0)</f>
        <v>259.01407999999935</v>
      </c>
      <c r="BF145" s="14">
        <f t="shared" si="145"/>
        <v>62.51217320775072</v>
      </c>
      <c r="BG145" s="22">
        <f t="shared" si="115"/>
        <v>559.99155767016464</v>
      </c>
      <c r="BH145" s="60">
        <f t="shared" si="116"/>
        <v>853.3248910034979</v>
      </c>
      <c r="BI145" s="60">
        <f ca="1">AVERAGE(OFFSET($BH$3,0,0,'Données projet'!$E$11+1,1))-AVERAGE(OFFSET($H$3,0,0,'Données projet'!$E$11+1,1))</f>
        <v>430.11660085503223</v>
      </c>
      <c r="BJ145" s="60">
        <f t="shared" si="146"/>
        <v>231.36959598460686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2.4666666666666668</v>
      </c>
      <c r="BY145" s="13">
        <f>IF('Données projet'!$A$114&gt;35,BY144+BX145-CG144,IF(A145&lt;'Données projet'!$A$114,$BV$205^A145,IF(A145='Données projet'!$A$114,'Données projet'!$B$114,BY144+BX145-CG144)))</f>
        <v>286.26666666666597</v>
      </c>
      <c r="BZ145" s="14">
        <f>BY145*VLOOKUP('Données projet'!$B$12,Paramètres!$A$1:$I$89,3,0)*VLOOKUP('Données projet'!$B$12,Paramètres!$A$1:$I$89,5,0)</f>
        <v>290.27439999999933</v>
      </c>
      <c r="CA145" s="14">
        <f t="shared" si="147"/>
        <v>69.133710078848281</v>
      </c>
      <c r="CB145" s="22">
        <f t="shared" si="118"/>
        <v>625.9691250539928</v>
      </c>
      <c r="CC145" s="60">
        <f t="shared" si="119"/>
        <v>919.30245838732617</v>
      </c>
      <c r="CD145" s="60">
        <f ca="1">AVERAGE(OFFSET($CC$3,0,0,'Données projet'!$E$12+1,1))-AVERAGE(OFFSET($H$3,0,0,'Données projet'!$E$12+1,1))</f>
        <v>476.8965664931755</v>
      </c>
      <c r="CE145" s="60">
        <f t="shared" si="148"/>
        <v>254.25036207346591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2.4666666666666668</v>
      </c>
      <c r="CT145" s="13">
        <f>IF('Données projet'!$A$140&gt;35,CT144+CS145-DB144,IF(A145&lt;'Données projet'!$A$140,$CQ$205^A145,IF(A145='Données projet'!$A$140,'Données projet'!$B$140,CT144+CS145-DB144)))</f>
        <v>286.26666666666597</v>
      </c>
      <c r="CU145" s="18">
        <f>CT145*VLOOKUP('Données projet'!$B$13,Paramètres!$A$1:$I$89,3,0)*VLOOKUP('Données projet'!$B$13,Paramètres!$A$1:$I$89,5,0)</f>
        <v>276.87711999999937</v>
      </c>
      <c r="CV145" s="14">
        <f t="shared" si="149"/>
        <v>66.306624391505196</v>
      </c>
      <c r="CW145" s="22">
        <f t="shared" si="121"/>
        <v>597.71168814853706</v>
      </c>
      <c r="CX145" s="60">
        <f t="shared" si="122"/>
        <v>891.04502148187044</v>
      </c>
      <c r="CY145" s="60">
        <f ca="1">AVERAGE(OFFSET($CX$3,0,0,'Données projet'!$E$13+1,1))-AVERAGE(OFFSET($H$3,0,0,'Données projet'!$E$13+1,1))</f>
        <v>456.86147223520601</v>
      </c>
      <c r="CZ145" s="60">
        <f t="shared" si="150"/>
        <v>244.45149244446094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2.5579538487363607E-13</v>
      </c>
      <c r="DP145" s="18">
        <f>DO145*VLOOKUP('Données projet'!$B$14,Paramètres!$A$1:$I$89,3,0)*VLOOKUP('Données projet'!$B$14,Paramètres!$A$1:$I$89,5,0)</f>
        <v>2.4341488824575211E-13</v>
      </c>
      <c r="DQ145" s="14">
        <f t="shared" si="151"/>
        <v>3.2970717324875541E-12</v>
      </c>
      <c r="DR145" s="22">
        <f t="shared" si="124"/>
        <v>6.1663475311105072E-12</v>
      </c>
      <c r="DS145" s="60">
        <f t="shared" si="125"/>
        <v>293.33333333333945</v>
      </c>
      <c r="DT145" s="60">
        <f ca="1">AVERAGE(OFFSET($DS$3,0,0,'Données projet'!$E$14+1,1))-AVERAGE(OFFSET($H$3,0,0,'Données projet'!$E$14+1,1))</f>
        <v>300.36889324671682</v>
      </c>
      <c r="DU145" s="60">
        <f t="shared" si="152"/>
        <v>214.36051699039683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-4.9658410716801891E-14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202.46844517174412</v>
      </c>
      <c r="EP145" s="60">
        <f t="shared" si="154"/>
        <v>185.00219255324515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7.626113074366004E-14</v>
      </c>
      <c r="FG145" s="14">
        <f t="shared" si="155"/>
        <v>1.1823749172251317E-12</v>
      </c>
      <c r="FH145" s="22">
        <f t="shared" si="130"/>
        <v>2.1921244502123119E-12</v>
      </c>
      <c r="FI145" s="60">
        <f t="shared" si="131"/>
        <v>293.33333333333553</v>
      </c>
      <c r="FJ145" s="60">
        <f ca="1">AVERAGE(OFFSET($FI$3,0,0,'Données projet'!$E$16+1,1))-AVERAGE(OFFSET($H$3,0,0,'Données projet'!$E$16+1,1))</f>
        <v>344.87493856469382</v>
      </c>
      <c r="FK145" s="60">
        <f t="shared" si="156"/>
        <v>261.91036689641402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268.19959446602911</v>
      </c>
      <c r="GF145" s="60">
        <f t="shared" si="158"/>
        <v>691.2533336811855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15.641810050229699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15.641810050229699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1.1368683772161603E-13</v>
      </c>
      <c r="GV145" s="18">
        <f>GU145*VLOOKUP('Données projet'!$B$18,Paramètres!$A$1:$I$89,3,0)*VLOOKUP('Données projet'!$B$18,Paramètres!$A$1:$I$89,5,0)</f>
        <v>8.8675733422860506E-14</v>
      </c>
      <c r="GW145" s="14">
        <f t="shared" si="159"/>
        <v>1.3509285393066301E-12</v>
      </c>
      <c r="GX145" s="22">
        <f t="shared" si="136"/>
        <v>2.5073107750038623E-12</v>
      </c>
      <c r="GY145" s="60">
        <f t="shared" si="137"/>
        <v>293.33333333333582</v>
      </c>
      <c r="GZ145" s="60">
        <f ca="1">AVERAGE(OFFSET($GY$3,0,0,'Données projet'!$E$18+1,1))-AVERAGE(OFFSET($H$3,0,0,'Données projet'!$E$18+1,1))</f>
        <v>292.57482726862594</v>
      </c>
      <c r="HA145" s="60">
        <f t="shared" si="160"/>
        <v>283.48738729114024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399.92909819003523</v>
      </c>
      <c r="T146" s="60">
        <f t="shared" si="142"/>
        <v>163.7053537268381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-5.6843418860808015E-13</v>
      </c>
      <c r="AJ146" s="14">
        <f>AI146*VLOOKUP('Données projet'!$B$10,Paramètres!$A$1:$I$89,3,0)*VLOOKUP('Données projet'!$B$10,Paramètres!$A$1:$I$89,5,0)</f>
        <v>-3.39923644787632E-13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455.43477166687273</v>
      </c>
      <c r="AO146" s="60">
        <f t="shared" si="144"/>
        <v>312.81310692672895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2.4666666666666668</v>
      </c>
      <c r="BD146" s="13">
        <f>IF('Données projet'!$A$88&gt;35,BD145+BC146-BL145,IF(A146&lt;'Données projet'!$A$88,$BA$205^A146,IF(A146='Données projet'!$A$88,'Données projet'!$B$88,BD145+BC146-BL145)))</f>
        <v>288.73333333333261</v>
      </c>
      <c r="BE146" s="14">
        <f>BD146*VLOOKUP('Données projet'!$B$11,Paramètres!$A$1:$I$89,3,0)*VLOOKUP('Données projet'!$B$11,Paramètres!$A$1:$I$89,5,0)</f>
        <v>261.24591999999933</v>
      </c>
      <c r="BF146" s="14">
        <f t="shared" si="145"/>
        <v>62.987883814427661</v>
      </c>
      <c r="BG146" s="22">
        <f t="shared" si="115"/>
        <v>564.70720831012704</v>
      </c>
      <c r="BH146" s="60">
        <f t="shared" si="116"/>
        <v>858.0405416434603</v>
      </c>
      <c r="BI146" s="60">
        <f ca="1">AVERAGE(OFFSET($BH$3,0,0,'Données projet'!$E$11+1,1))-AVERAGE(OFFSET($H$3,0,0,'Données projet'!$E$11+1,1))</f>
        <v>430.11660085503223</v>
      </c>
      <c r="BJ146" s="60">
        <f t="shared" si="146"/>
        <v>231.36959598460686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2.4666666666666668</v>
      </c>
      <c r="BY146" s="13">
        <f>IF('Données projet'!$A$114&gt;35,BY145+BX146-CG145,IF(A146&lt;'Données projet'!$A$114,$BV$205^A146,IF(A146='Données projet'!$A$114,'Données projet'!$B$114,BY145+BX146-CG145)))</f>
        <v>288.73333333333261</v>
      </c>
      <c r="BZ146" s="14">
        <f>BY146*VLOOKUP('Données projet'!$B$12,Paramètres!$A$1:$I$89,3,0)*VLOOKUP('Données projet'!$B$12,Paramètres!$A$1:$I$89,5,0)</f>
        <v>292.77559999999926</v>
      </c>
      <c r="CA146" s="14">
        <f t="shared" si="147"/>
        <v>69.659809836316882</v>
      </c>
      <c r="CB146" s="22">
        <f t="shared" si="118"/>
        <v>631.24167213158387</v>
      </c>
      <c r="CC146" s="60">
        <f t="shared" si="119"/>
        <v>924.57500546491724</v>
      </c>
      <c r="CD146" s="60">
        <f ca="1">AVERAGE(OFFSET($CC$3,0,0,'Données projet'!$E$12+1,1))-AVERAGE(OFFSET($H$3,0,0,'Données projet'!$E$12+1,1))</f>
        <v>476.8965664931755</v>
      </c>
      <c r="CE146" s="60">
        <f t="shared" si="148"/>
        <v>254.25036207346591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2.4666666666666668</v>
      </c>
      <c r="CT146" s="13">
        <f>IF('Données projet'!$A$140&gt;35,CT145+CS146-DB145,IF(A146&lt;'Données projet'!$A$140,$CQ$205^A146,IF(A146='Données projet'!$A$140,'Données projet'!$B$140,CT145+CS146-DB145)))</f>
        <v>288.73333333333261</v>
      </c>
      <c r="CU146" s="18">
        <f>CT146*VLOOKUP('Données projet'!$B$13,Paramètres!$A$1:$I$89,3,0)*VLOOKUP('Données projet'!$B$13,Paramètres!$A$1:$I$89,5,0)</f>
        <v>279.26287999999931</v>
      </c>
      <c r="CV146" s="14">
        <f t="shared" si="149"/>
        <v>66.811210344886589</v>
      </c>
      <c r="CW146" s="22">
        <f t="shared" si="121"/>
        <v>602.7457073506763</v>
      </c>
      <c r="CX146" s="60">
        <f t="shared" si="122"/>
        <v>896.07904068400967</v>
      </c>
      <c r="CY146" s="60">
        <f ca="1">AVERAGE(OFFSET($CX$3,0,0,'Données projet'!$E$13+1,1))-AVERAGE(OFFSET($H$3,0,0,'Données projet'!$E$13+1,1))</f>
        <v>456.86147223520601</v>
      </c>
      <c r="CZ146" s="60">
        <f t="shared" si="150"/>
        <v>244.45149244446094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2.5579538487363607E-13</v>
      </c>
      <c r="DP146" s="18">
        <f>DO146*VLOOKUP('Données projet'!$B$14,Paramètres!$A$1:$I$89,3,0)*VLOOKUP('Données projet'!$B$14,Paramètres!$A$1:$I$89,5,0)</f>
        <v>2.4341488824575211E-13</v>
      </c>
      <c r="DQ146" s="14">
        <f t="shared" si="151"/>
        <v>3.2970717324875541E-12</v>
      </c>
      <c r="DR146" s="22">
        <f t="shared" si="124"/>
        <v>6.1663475311105072E-12</v>
      </c>
      <c r="DS146" s="60">
        <f t="shared" si="125"/>
        <v>293.33333333333945</v>
      </c>
      <c r="DT146" s="60">
        <f ca="1">AVERAGE(OFFSET($DS$3,0,0,'Données projet'!$E$14+1,1))-AVERAGE(OFFSET($H$3,0,0,'Données projet'!$E$14+1,1))</f>
        <v>300.36889324671682</v>
      </c>
      <c r="DU146" s="60">
        <f t="shared" si="152"/>
        <v>214.36051699039683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-4.9658410716801891E-14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202.46844517174412</v>
      </c>
      <c r="EP146" s="60">
        <f t="shared" si="154"/>
        <v>185.00219255324515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7.626113074366004E-14</v>
      </c>
      <c r="FG146" s="14">
        <f t="shared" si="155"/>
        <v>1.1823749172251317E-12</v>
      </c>
      <c r="FH146" s="22">
        <f t="shared" si="130"/>
        <v>2.1921244502123119E-12</v>
      </c>
      <c r="FI146" s="60">
        <f t="shared" si="131"/>
        <v>293.33333333333553</v>
      </c>
      <c r="FJ146" s="60">
        <f ca="1">AVERAGE(OFFSET($FI$3,0,0,'Données projet'!$E$16+1,1))-AVERAGE(OFFSET($H$3,0,0,'Données projet'!$E$16+1,1))</f>
        <v>344.87493856469382</v>
      </c>
      <c r="FK146" s="60">
        <f t="shared" si="156"/>
        <v>261.91036689641402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268.19959446602911</v>
      </c>
      <c r="GF146" s="60">
        <f t="shared" si="158"/>
        <v>691.2533336811855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15.335083695706773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15.335083695706773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1.1368683772161603E-13</v>
      </c>
      <c r="GV146" s="18">
        <f>GU146*VLOOKUP('Données projet'!$B$18,Paramètres!$A$1:$I$89,3,0)*VLOOKUP('Données projet'!$B$18,Paramètres!$A$1:$I$89,5,0)</f>
        <v>8.8675733422860506E-14</v>
      </c>
      <c r="GW146" s="14">
        <f t="shared" si="159"/>
        <v>1.3509285393066301E-12</v>
      </c>
      <c r="GX146" s="22">
        <f t="shared" si="136"/>
        <v>2.5073107750038623E-12</v>
      </c>
      <c r="GY146" s="60">
        <f t="shared" si="137"/>
        <v>293.33333333333582</v>
      </c>
      <c r="GZ146" s="60">
        <f ca="1">AVERAGE(OFFSET($GY$3,0,0,'Données projet'!$E$18+1,1))-AVERAGE(OFFSET($H$3,0,0,'Données projet'!$E$18+1,1))</f>
        <v>292.57482726862594</v>
      </c>
      <c r="HA146" s="60">
        <f t="shared" si="160"/>
        <v>283.48738729114024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399.92909819003523</v>
      </c>
      <c r="T147" s="60">
        <f t="shared" si="142"/>
        <v>163.7053537268381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-5.6843418860808015E-13</v>
      </c>
      <c r="AJ147" s="14">
        <f>AI147*VLOOKUP('Données projet'!$B$10,Paramètres!$A$1:$I$89,3,0)*VLOOKUP('Données projet'!$B$10,Paramètres!$A$1:$I$89,5,0)</f>
        <v>-3.39923644787632E-13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455.43477166687273</v>
      </c>
      <c r="AO147" s="60">
        <f t="shared" si="144"/>
        <v>312.81310692672895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2.4666666666666668</v>
      </c>
      <c r="BD147" s="13">
        <f>IF('Données projet'!$A$88&gt;35,BD146+BC147-BL146,IF(A147&lt;'Données projet'!$A$88,$BA$205^A147,IF(A147='Données projet'!$A$88,'Données projet'!$B$88,BD146+BC147-BL146)))</f>
        <v>291.19999999999925</v>
      </c>
      <c r="BE147" s="14">
        <f>BD147*VLOOKUP('Données projet'!$B$11,Paramètres!$A$1:$I$89,3,0)*VLOOKUP('Données projet'!$B$11,Paramètres!$A$1:$I$89,5,0)</f>
        <v>263.47775999999931</v>
      </c>
      <c r="BF147" s="14">
        <f t="shared" si="145"/>
        <v>63.463121597633346</v>
      </c>
      <c r="BG147" s="22">
        <f t="shared" si="115"/>
        <v>569.42203544921017</v>
      </c>
      <c r="BH147" s="60">
        <f t="shared" si="116"/>
        <v>862.75536878254343</v>
      </c>
      <c r="BI147" s="60">
        <f ca="1">AVERAGE(OFFSET($BH$3,0,0,'Données projet'!$E$11+1,1))-AVERAGE(OFFSET($H$3,0,0,'Données projet'!$E$11+1,1))</f>
        <v>430.11660085503223</v>
      </c>
      <c r="BJ147" s="60">
        <f t="shared" si="146"/>
        <v>231.36959598460686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2.4666666666666668</v>
      </c>
      <c r="BY147" s="13">
        <f>IF('Données projet'!$A$114&gt;35,BY146+BX147-CG146,IF(A147&lt;'Données projet'!$A$114,$BV$205^A147,IF(A147='Données projet'!$A$114,'Données projet'!$B$114,BY146+BX147-CG146)))</f>
        <v>291.19999999999925</v>
      </c>
      <c r="BZ147" s="14">
        <f>BY147*VLOOKUP('Données projet'!$B$12,Paramètres!$A$1:$I$89,3,0)*VLOOKUP('Données projet'!$B$12,Paramètres!$A$1:$I$89,5,0)</f>
        <v>295.27679999999924</v>
      </c>
      <c r="CA147" s="14">
        <f t="shared" si="147"/>
        <v>70.185386686980308</v>
      </c>
      <c r="CB147" s="22">
        <f t="shared" si="118"/>
        <v>636.51330847982263</v>
      </c>
      <c r="CC147" s="60">
        <f t="shared" si="119"/>
        <v>929.84664181315588</v>
      </c>
      <c r="CD147" s="60">
        <f ca="1">AVERAGE(OFFSET($CC$3,0,0,'Données projet'!$E$12+1,1))-AVERAGE(OFFSET($H$3,0,0,'Données projet'!$E$12+1,1))</f>
        <v>476.8965664931755</v>
      </c>
      <c r="CE147" s="60">
        <f t="shared" si="148"/>
        <v>254.25036207346591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2.4666666666666668</v>
      </c>
      <c r="CT147" s="13">
        <f>IF('Données projet'!$A$140&gt;35,CT146+CS147-DB146,IF(A147&lt;'Données projet'!$A$140,$CQ$205^A147,IF(A147='Données projet'!$A$140,'Données projet'!$B$140,CT146+CS147-DB146)))</f>
        <v>291.19999999999925</v>
      </c>
      <c r="CU147" s="18">
        <f>CT147*VLOOKUP('Données projet'!$B$13,Paramètres!$A$1:$I$89,3,0)*VLOOKUP('Données projet'!$B$13,Paramètres!$A$1:$I$89,5,0)</f>
        <v>281.64863999999926</v>
      </c>
      <c r="CV147" s="14">
        <f t="shared" si="149"/>
        <v>67.315294774697563</v>
      </c>
      <c r="CW147" s="22">
        <f t="shared" si="121"/>
        <v>607.77885306593032</v>
      </c>
      <c r="CX147" s="60">
        <f t="shared" si="122"/>
        <v>901.11218639926369</v>
      </c>
      <c r="CY147" s="60">
        <f ca="1">AVERAGE(OFFSET($CX$3,0,0,'Données projet'!$E$13+1,1))-AVERAGE(OFFSET($H$3,0,0,'Données projet'!$E$13+1,1))</f>
        <v>456.86147223520601</v>
      </c>
      <c r="CZ147" s="60">
        <f t="shared" si="150"/>
        <v>244.45149244446094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2.5579538487363607E-13</v>
      </c>
      <c r="DP147" s="18">
        <f>DO147*VLOOKUP('Données projet'!$B$14,Paramètres!$A$1:$I$89,3,0)*VLOOKUP('Données projet'!$B$14,Paramètres!$A$1:$I$89,5,0)</f>
        <v>2.4341488824575211E-13</v>
      </c>
      <c r="DQ147" s="14">
        <f t="shared" si="151"/>
        <v>3.2970717324875541E-12</v>
      </c>
      <c r="DR147" s="22">
        <f t="shared" si="124"/>
        <v>6.1663475311105072E-12</v>
      </c>
      <c r="DS147" s="60">
        <f t="shared" si="125"/>
        <v>293.33333333333945</v>
      </c>
      <c r="DT147" s="60">
        <f ca="1">AVERAGE(OFFSET($DS$3,0,0,'Données projet'!$E$14+1,1))-AVERAGE(OFFSET($H$3,0,0,'Données projet'!$E$14+1,1))</f>
        <v>300.36889324671682</v>
      </c>
      <c r="DU147" s="60">
        <f t="shared" si="152"/>
        <v>214.36051699039683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-4.9658410716801891E-14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202.46844517174412</v>
      </c>
      <c r="EP147" s="60">
        <f t="shared" si="154"/>
        <v>185.00219255324515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7.626113074366004E-14</v>
      </c>
      <c r="FG147" s="14">
        <f t="shared" si="155"/>
        <v>1.1823749172251317E-12</v>
      </c>
      <c r="FH147" s="22">
        <f t="shared" si="130"/>
        <v>2.1921244502123119E-12</v>
      </c>
      <c r="FI147" s="60">
        <f t="shared" si="131"/>
        <v>293.33333333333553</v>
      </c>
      <c r="FJ147" s="60">
        <f ca="1">AVERAGE(OFFSET($FI$3,0,0,'Données projet'!$E$16+1,1))-AVERAGE(OFFSET($H$3,0,0,'Données projet'!$E$16+1,1))</f>
        <v>344.87493856469382</v>
      </c>
      <c r="FK147" s="60">
        <f t="shared" si="156"/>
        <v>261.91036689641402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268.19959446602911</v>
      </c>
      <c r="GF147" s="60">
        <f t="shared" si="158"/>
        <v>691.2533336811855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15.034372057911439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15.034372057911439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1.1368683772161603E-13</v>
      </c>
      <c r="GV147" s="18">
        <f>GU147*VLOOKUP('Données projet'!$B$18,Paramètres!$A$1:$I$89,3,0)*VLOOKUP('Données projet'!$B$18,Paramètres!$A$1:$I$89,5,0)</f>
        <v>8.8675733422860506E-14</v>
      </c>
      <c r="GW147" s="14">
        <f t="shared" si="159"/>
        <v>1.3509285393066301E-12</v>
      </c>
      <c r="GX147" s="22">
        <f t="shared" si="136"/>
        <v>2.5073107750038623E-12</v>
      </c>
      <c r="GY147" s="60">
        <f t="shared" si="137"/>
        <v>293.33333333333582</v>
      </c>
      <c r="GZ147" s="60">
        <f ca="1">AVERAGE(OFFSET($GY$3,0,0,'Données projet'!$E$18+1,1))-AVERAGE(OFFSET($H$3,0,0,'Données projet'!$E$18+1,1))</f>
        <v>292.57482726862594</v>
      </c>
      <c r="HA147" s="60">
        <f t="shared" si="160"/>
        <v>283.48738729114024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399.92909819003523</v>
      </c>
      <c r="T148" s="60">
        <f t="shared" si="142"/>
        <v>163.7053537268381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-5.6843418860808015E-13</v>
      </c>
      <c r="AJ148" s="14">
        <f>AI148*VLOOKUP('Données projet'!$B$10,Paramètres!$A$1:$I$89,3,0)*VLOOKUP('Données projet'!$B$10,Paramètres!$A$1:$I$89,5,0)</f>
        <v>-3.39923644787632E-13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455.43477166687273</v>
      </c>
      <c r="AO148" s="60">
        <f t="shared" si="144"/>
        <v>312.81310692672895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2.4666666666666668</v>
      </c>
      <c r="BD148" s="13">
        <f>IF('Données projet'!$A$88&gt;35,BD147+BC148-BL147,IF(A148&lt;'Données projet'!$A$88,$BA$205^A148,IF(A148='Données projet'!$A$88,'Données projet'!$B$88,BD147+BC148-BL147)))</f>
        <v>293.66666666666589</v>
      </c>
      <c r="BE148" s="14">
        <f>BD148*VLOOKUP('Données projet'!$B$11,Paramètres!$A$1:$I$89,3,0)*VLOOKUP('Données projet'!$B$11,Paramètres!$A$1:$I$89,5,0)</f>
        <v>265.70959999999928</v>
      </c>
      <c r="BF148" s="14">
        <f t="shared" si="145"/>
        <v>63.937891026614238</v>
      </c>
      <c r="BG148" s="22">
        <f t="shared" si="115"/>
        <v>574.13604687135182</v>
      </c>
      <c r="BH148" s="60">
        <f t="shared" si="116"/>
        <v>867.46938020468519</v>
      </c>
      <c r="BI148" s="60">
        <f ca="1">AVERAGE(OFFSET($BH$3,0,0,'Données projet'!$E$11+1,1))-AVERAGE(OFFSET($H$3,0,0,'Données projet'!$E$11+1,1))</f>
        <v>430.11660085503223</v>
      </c>
      <c r="BJ148" s="60">
        <f t="shared" si="146"/>
        <v>231.36959598460686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2.4666666666666668</v>
      </c>
      <c r="BY148" s="13">
        <f>IF('Données projet'!$A$114&gt;35,BY147+BX148-CG147,IF(A148&lt;'Données projet'!$A$114,$BV$205^A148,IF(A148='Données projet'!$A$114,'Données projet'!$B$114,BY147+BX148-CG147)))</f>
        <v>293.66666666666589</v>
      </c>
      <c r="BZ148" s="14">
        <f>BY148*VLOOKUP('Données projet'!$B$12,Paramètres!$A$1:$I$89,3,0)*VLOOKUP('Données projet'!$B$12,Paramètres!$A$1:$I$89,5,0)</f>
        <v>297.77799999999922</v>
      </c>
      <c r="CA148" s="14">
        <f t="shared" si="147"/>
        <v>70.710445573485245</v>
      </c>
      <c r="CB148" s="22">
        <f t="shared" si="118"/>
        <v>641.78404270715203</v>
      </c>
      <c r="CC148" s="60">
        <f t="shared" si="119"/>
        <v>935.1173760404854</v>
      </c>
      <c r="CD148" s="60">
        <f ca="1">AVERAGE(OFFSET($CC$3,0,0,'Données projet'!$E$12+1,1))-AVERAGE(OFFSET($H$3,0,0,'Données projet'!$E$12+1,1))</f>
        <v>476.8965664931755</v>
      </c>
      <c r="CE148" s="60">
        <f t="shared" si="148"/>
        <v>254.25036207346591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2.4666666666666668</v>
      </c>
      <c r="CT148" s="13">
        <f>IF('Données projet'!$A$140&gt;35,CT147+CS148-DB147,IF(A148&lt;'Données projet'!$A$140,$CQ$205^A148,IF(A148='Données projet'!$A$140,'Données projet'!$B$140,CT147+CS148-DB147)))</f>
        <v>293.66666666666589</v>
      </c>
      <c r="CU148" s="18">
        <f>CT148*VLOOKUP('Données projet'!$B$13,Paramètres!$A$1:$I$89,3,0)*VLOOKUP('Données projet'!$B$13,Paramètres!$A$1:$I$89,5,0)</f>
        <v>284.03439999999927</v>
      </c>
      <c r="CV148" s="14">
        <f t="shared" si="149"/>
        <v>67.818882421464934</v>
      </c>
      <c r="CW148" s="22">
        <f t="shared" si="121"/>
        <v>612.81113355071682</v>
      </c>
      <c r="CX148" s="60">
        <f t="shared" si="122"/>
        <v>906.14446688405019</v>
      </c>
      <c r="CY148" s="60">
        <f ca="1">AVERAGE(OFFSET($CX$3,0,0,'Données projet'!$E$13+1,1))-AVERAGE(OFFSET($H$3,0,0,'Données projet'!$E$13+1,1))</f>
        <v>456.86147223520601</v>
      </c>
      <c r="CZ148" s="60">
        <f t="shared" si="150"/>
        <v>244.45149244446094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2.5579538487363607E-13</v>
      </c>
      <c r="DP148" s="18">
        <f>DO148*VLOOKUP('Données projet'!$B$14,Paramètres!$A$1:$I$89,3,0)*VLOOKUP('Données projet'!$B$14,Paramètres!$A$1:$I$89,5,0)</f>
        <v>2.4341488824575211E-13</v>
      </c>
      <c r="DQ148" s="14">
        <f t="shared" si="151"/>
        <v>3.2970717324875541E-12</v>
      </c>
      <c r="DR148" s="22">
        <f t="shared" si="124"/>
        <v>6.1663475311105072E-12</v>
      </c>
      <c r="DS148" s="60">
        <f t="shared" si="125"/>
        <v>293.33333333333945</v>
      </c>
      <c r="DT148" s="60">
        <f ca="1">AVERAGE(OFFSET($DS$3,0,0,'Données projet'!$E$14+1,1))-AVERAGE(OFFSET($H$3,0,0,'Données projet'!$E$14+1,1))</f>
        <v>300.36889324671682</v>
      </c>
      <c r="DU148" s="60">
        <f t="shared" si="152"/>
        <v>214.36051699039683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-4.9658410716801891E-14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202.46844517174412</v>
      </c>
      <c r="EP148" s="60">
        <f t="shared" si="154"/>
        <v>185.00219255324515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7.626113074366004E-14</v>
      </c>
      <c r="FG148" s="14">
        <f t="shared" si="155"/>
        <v>1.1823749172251317E-12</v>
      </c>
      <c r="FH148" s="22">
        <f t="shared" si="130"/>
        <v>2.1921244502123119E-12</v>
      </c>
      <c r="FI148" s="60">
        <f t="shared" si="131"/>
        <v>293.33333333333553</v>
      </c>
      <c r="FJ148" s="60">
        <f ca="1">AVERAGE(OFFSET($FI$3,0,0,'Données projet'!$E$16+1,1))-AVERAGE(OFFSET($H$3,0,0,'Données projet'!$E$16+1,1))</f>
        <v>344.87493856469382</v>
      </c>
      <c r="FK148" s="60">
        <f t="shared" si="156"/>
        <v>261.91036689641402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268.19959446602911</v>
      </c>
      <c r="GF148" s="60">
        <f t="shared" si="158"/>
        <v>691.2533336811855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14.739557191917282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14.739557191917282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1.1368683772161603E-13</v>
      </c>
      <c r="GV148" s="18">
        <f>GU148*VLOOKUP('Données projet'!$B$18,Paramètres!$A$1:$I$89,3,0)*VLOOKUP('Données projet'!$B$18,Paramètres!$A$1:$I$89,5,0)</f>
        <v>8.8675733422860506E-14</v>
      </c>
      <c r="GW148" s="14">
        <f t="shared" si="159"/>
        <v>1.3509285393066301E-12</v>
      </c>
      <c r="GX148" s="22">
        <f t="shared" si="136"/>
        <v>2.5073107750038623E-12</v>
      </c>
      <c r="GY148" s="60">
        <f t="shared" si="137"/>
        <v>293.33333333333582</v>
      </c>
      <c r="GZ148" s="60">
        <f ca="1">AVERAGE(OFFSET($GY$3,0,0,'Données projet'!$E$18+1,1))-AVERAGE(OFFSET($H$3,0,0,'Données projet'!$E$18+1,1))</f>
        <v>292.57482726862594</v>
      </c>
      <c r="HA148" s="60">
        <f t="shared" si="160"/>
        <v>283.48738729114024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399.92909819003523</v>
      </c>
      <c r="T149" s="60">
        <f t="shared" si="142"/>
        <v>163.7053537268381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-5.6843418860808015E-13</v>
      </c>
      <c r="AJ149" s="14">
        <f>AI149*VLOOKUP('Données projet'!$B$10,Paramètres!$A$1:$I$89,3,0)*VLOOKUP('Données projet'!$B$10,Paramètres!$A$1:$I$89,5,0)</f>
        <v>-3.39923644787632E-13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455.43477166687273</v>
      </c>
      <c r="AO149" s="60">
        <f t="shared" si="144"/>
        <v>312.81310692672895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2.4666666666666668</v>
      </c>
      <c r="BD149" s="13">
        <f>IF('Données projet'!$A$88&gt;35,BD148+BC149-BL148,IF(A149&lt;'Données projet'!$A$88,$BA$205^A149,IF(A149='Données projet'!$A$88,'Données projet'!$B$88,BD148+BC149-BL148)))</f>
        <v>296.13333333333253</v>
      </c>
      <c r="BE149" s="14">
        <f>BD149*VLOOKUP('Données projet'!$B$11,Paramètres!$A$1:$I$89,3,0)*VLOOKUP('Données projet'!$B$11,Paramètres!$A$1:$I$89,5,0)</f>
        <v>267.94143999999926</v>
      </c>
      <c r="BF149" s="14">
        <f t="shared" si="145"/>
        <v>64.412196491203645</v>
      </c>
      <c r="BG149" s="22">
        <f t="shared" si="115"/>
        <v>578.84925022217828</v>
      </c>
      <c r="BH149" s="60">
        <f t="shared" si="116"/>
        <v>872.18258355551166</v>
      </c>
      <c r="BI149" s="60">
        <f ca="1">AVERAGE(OFFSET($BH$3,0,0,'Données projet'!$E$11+1,1))-AVERAGE(OFFSET($H$3,0,0,'Données projet'!$E$11+1,1))</f>
        <v>430.11660085503223</v>
      </c>
      <c r="BJ149" s="60">
        <f t="shared" si="146"/>
        <v>231.36959598460686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2.4666666666666668</v>
      </c>
      <c r="BY149" s="13">
        <f>IF('Données projet'!$A$114&gt;35,BY148+BX149-CG148,IF(A149&lt;'Données projet'!$A$114,$BV$205^A149,IF(A149='Données projet'!$A$114,'Données projet'!$B$114,BY148+BX149-CG148)))</f>
        <v>296.13333333333253</v>
      </c>
      <c r="BZ149" s="14">
        <f>BY149*VLOOKUP('Données projet'!$B$12,Paramètres!$A$1:$I$89,3,0)*VLOOKUP('Données projet'!$B$12,Paramètres!$A$1:$I$89,5,0)</f>
        <v>300.27919999999921</v>
      </c>
      <c r="CA149" s="14">
        <f t="shared" si="147"/>
        <v>71.234991350653587</v>
      </c>
      <c r="CB149" s="22">
        <f t="shared" si="118"/>
        <v>647.05388326905359</v>
      </c>
      <c r="CC149" s="60">
        <f t="shared" si="119"/>
        <v>940.38721660238684</v>
      </c>
      <c r="CD149" s="60">
        <f ca="1">AVERAGE(OFFSET($CC$3,0,0,'Données projet'!$E$12+1,1))-AVERAGE(OFFSET($H$3,0,0,'Données projet'!$E$12+1,1))</f>
        <v>476.8965664931755</v>
      </c>
      <c r="CE149" s="60">
        <f t="shared" si="148"/>
        <v>254.25036207346591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2.4666666666666668</v>
      </c>
      <c r="CT149" s="13">
        <f>IF('Données projet'!$A$140&gt;35,CT148+CS149-DB148,IF(A149&lt;'Données projet'!$A$140,$CQ$205^A149,IF(A149='Données projet'!$A$140,'Données projet'!$B$140,CT148+CS149-DB148)))</f>
        <v>296.13333333333253</v>
      </c>
      <c r="CU149" s="18">
        <f>CT149*VLOOKUP('Données projet'!$B$13,Paramètres!$A$1:$I$89,3,0)*VLOOKUP('Données projet'!$B$13,Paramètres!$A$1:$I$89,5,0)</f>
        <v>286.42015999999927</v>
      </c>
      <c r="CV149" s="14">
        <f t="shared" si="149"/>
        <v>68.321977941482302</v>
      </c>
      <c r="CW149" s="22">
        <f t="shared" si="121"/>
        <v>617.84255691474698</v>
      </c>
      <c r="CX149" s="60">
        <f t="shared" si="122"/>
        <v>911.17589024808035</v>
      </c>
      <c r="CY149" s="60">
        <f ca="1">AVERAGE(OFFSET($CX$3,0,0,'Données projet'!$E$13+1,1))-AVERAGE(OFFSET($H$3,0,0,'Données projet'!$E$13+1,1))</f>
        <v>456.86147223520601</v>
      </c>
      <c r="CZ149" s="60">
        <f t="shared" si="150"/>
        <v>244.45149244446094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2.5579538487363607E-13</v>
      </c>
      <c r="DP149" s="18">
        <f>DO149*VLOOKUP('Données projet'!$B$14,Paramètres!$A$1:$I$89,3,0)*VLOOKUP('Données projet'!$B$14,Paramètres!$A$1:$I$89,5,0)</f>
        <v>2.4341488824575211E-13</v>
      </c>
      <c r="DQ149" s="14">
        <f t="shared" si="151"/>
        <v>3.2970717324875541E-12</v>
      </c>
      <c r="DR149" s="22">
        <f t="shared" si="124"/>
        <v>6.1663475311105072E-12</v>
      </c>
      <c r="DS149" s="60">
        <f t="shared" si="125"/>
        <v>293.33333333333945</v>
      </c>
      <c r="DT149" s="60">
        <f ca="1">AVERAGE(OFFSET($DS$3,0,0,'Données projet'!$E$14+1,1))-AVERAGE(OFFSET($H$3,0,0,'Données projet'!$E$14+1,1))</f>
        <v>300.36889324671682</v>
      </c>
      <c r="DU149" s="60">
        <f t="shared" si="152"/>
        <v>214.36051699039683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-4.9658410716801891E-14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202.46844517174412</v>
      </c>
      <c r="EP149" s="60">
        <f t="shared" si="154"/>
        <v>185.00219255324515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7.626113074366004E-14</v>
      </c>
      <c r="FG149" s="14">
        <f t="shared" si="155"/>
        <v>1.1823749172251317E-12</v>
      </c>
      <c r="FH149" s="22">
        <f t="shared" si="130"/>
        <v>2.1921244502123119E-12</v>
      </c>
      <c r="FI149" s="60">
        <f t="shared" si="131"/>
        <v>293.33333333333553</v>
      </c>
      <c r="FJ149" s="60">
        <f ca="1">AVERAGE(OFFSET($FI$3,0,0,'Données projet'!$E$16+1,1))-AVERAGE(OFFSET($H$3,0,0,'Données projet'!$E$16+1,1))</f>
        <v>344.87493856469382</v>
      </c>
      <c r="FK149" s="60">
        <f t="shared" si="156"/>
        <v>261.91036689641402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268.19959446602911</v>
      </c>
      <c r="GF149" s="60">
        <f t="shared" si="158"/>
        <v>691.2533336811855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14.450523465625958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14.450523465625958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1.1368683772161603E-13</v>
      </c>
      <c r="GV149" s="18">
        <f>GU149*VLOOKUP('Données projet'!$B$18,Paramètres!$A$1:$I$89,3,0)*VLOOKUP('Données projet'!$B$18,Paramètres!$A$1:$I$89,5,0)</f>
        <v>8.8675733422860506E-14</v>
      </c>
      <c r="GW149" s="14">
        <f t="shared" si="159"/>
        <v>1.3509285393066301E-12</v>
      </c>
      <c r="GX149" s="22">
        <f t="shared" si="136"/>
        <v>2.5073107750038623E-12</v>
      </c>
      <c r="GY149" s="60">
        <f t="shared" si="137"/>
        <v>293.33333333333582</v>
      </c>
      <c r="GZ149" s="60">
        <f ca="1">AVERAGE(OFFSET($GY$3,0,0,'Données projet'!$E$18+1,1))-AVERAGE(OFFSET($H$3,0,0,'Données projet'!$E$18+1,1))</f>
        <v>292.57482726862594</v>
      </c>
      <c r="HA149" s="60">
        <f t="shared" si="160"/>
        <v>283.48738729114024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399.92909819003523</v>
      </c>
      <c r="T150" s="60">
        <f t="shared" si="142"/>
        <v>163.7053537268381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-5.6843418860808015E-13</v>
      </c>
      <c r="AJ150" s="14">
        <f>AI150*VLOOKUP('Données projet'!$B$10,Paramètres!$A$1:$I$89,3,0)*VLOOKUP('Données projet'!$B$10,Paramètres!$A$1:$I$89,5,0)</f>
        <v>-3.39923644787632E-13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455.43477166687273</v>
      </c>
      <c r="AO150" s="60">
        <f t="shared" si="144"/>
        <v>312.81310692672895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2.4666666666666668</v>
      </c>
      <c r="BD150" s="13">
        <f>IF('Données projet'!$A$88&gt;35,BD149+BC150-BL149,IF(A150&lt;'Données projet'!$A$88,$BA$205^A150,IF(A150='Données projet'!$A$88,'Données projet'!$B$88,BD149+BC150-BL149)))</f>
        <v>298.59999999999917</v>
      </c>
      <c r="BE150" s="14">
        <f>BD150*VLOOKUP('Données projet'!$B$11,Paramètres!$A$1:$I$89,3,0)*VLOOKUP('Données projet'!$B$11,Paramètres!$A$1:$I$89,5,0)</f>
        <v>270.17327999999924</v>
      </c>
      <c r="BF150" s="14">
        <f t="shared" si="145"/>
        <v>64.886042303882803</v>
      </c>
      <c r="BG150" s="22">
        <f t="shared" si="115"/>
        <v>583.56165301259455</v>
      </c>
      <c r="BH150" s="60">
        <f t="shared" si="116"/>
        <v>876.89498634592792</v>
      </c>
      <c r="BI150" s="60">
        <f ca="1">AVERAGE(OFFSET($BH$3,0,0,'Données projet'!$E$11+1,1))-AVERAGE(OFFSET($H$3,0,0,'Données projet'!$E$11+1,1))</f>
        <v>430.11660085503223</v>
      </c>
      <c r="BJ150" s="60">
        <f t="shared" si="146"/>
        <v>231.36959598460686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2.4666666666666668</v>
      </c>
      <c r="BY150" s="13">
        <f>IF('Données projet'!$A$114&gt;35,BY149+BX150-CG149,IF(A150&lt;'Données projet'!$A$114,$BV$205^A150,IF(A150='Données projet'!$A$114,'Données projet'!$B$114,BY149+BX150-CG149)))</f>
        <v>298.59999999999917</v>
      </c>
      <c r="BZ150" s="14">
        <f>BY150*VLOOKUP('Données projet'!$B$12,Paramètres!$A$1:$I$89,3,0)*VLOOKUP('Données projet'!$B$12,Paramètres!$A$1:$I$89,5,0)</f>
        <v>302.78039999999919</v>
      </c>
      <c r="CA150" s="14">
        <f t="shared" si="147"/>
        <v>71.759028787761522</v>
      </c>
      <c r="CB150" s="22">
        <f t="shared" si="118"/>
        <v>652.32283847201654</v>
      </c>
      <c r="CC150" s="60">
        <f t="shared" si="119"/>
        <v>945.65617180534991</v>
      </c>
      <c r="CD150" s="60">
        <f ca="1">AVERAGE(OFFSET($CC$3,0,0,'Données projet'!$E$12+1,1))-AVERAGE(OFFSET($H$3,0,0,'Données projet'!$E$12+1,1))</f>
        <v>476.8965664931755</v>
      </c>
      <c r="CE150" s="60">
        <f t="shared" si="148"/>
        <v>254.25036207346591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2.4666666666666668</v>
      </c>
      <c r="CT150" s="13">
        <f>IF('Données projet'!$A$140&gt;35,CT149+CS150-DB149,IF(A150&lt;'Données projet'!$A$140,$CQ$205^A150,IF(A150='Données projet'!$A$140,'Données projet'!$B$140,CT149+CS150-DB149)))</f>
        <v>298.59999999999917</v>
      </c>
      <c r="CU150" s="18">
        <f>CT150*VLOOKUP('Données projet'!$B$13,Paramètres!$A$1:$I$89,3,0)*VLOOKUP('Données projet'!$B$13,Paramètres!$A$1:$I$89,5,0)</f>
        <v>288.80591999999922</v>
      </c>
      <c r="CV150" s="14">
        <f t="shared" si="149"/>
        <v>68.824585908995942</v>
      </c>
      <c r="CW150" s="22">
        <f t="shared" si="121"/>
        <v>622.87313112483321</v>
      </c>
      <c r="CX150" s="60">
        <f t="shared" si="122"/>
        <v>916.20646445816647</v>
      </c>
      <c r="CY150" s="60">
        <f ca="1">AVERAGE(OFFSET($CX$3,0,0,'Données projet'!$E$13+1,1))-AVERAGE(OFFSET($H$3,0,0,'Données projet'!$E$13+1,1))</f>
        <v>456.86147223520601</v>
      </c>
      <c r="CZ150" s="60">
        <f t="shared" si="150"/>
        <v>244.45149244446094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2.5579538487363607E-13</v>
      </c>
      <c r="DP150" s="18">
        <f>DO150*VLOOKUP('Données projet'!$B$14,Paramètres!$A$1:$I$89,3,0)*VLOOKUP('Données projet'!$B$14,Paramètres!$A$1:$I$89,5,0)</f>
        <v>2.4341488824575211E-13</v>
      </c>
      <c r="DQ150" s="14">
        <f t="shared" si="151"/>
        <v>3.2970717324875541E-12</v>
      </c>
      <c r="DR150" s="22">
        <f t="shared" si="124"/>
        <v>6.1663475311105072E-12</v>
      </c>
      <c r="DS150" s="60">
        <f t="shared" si="125"/>
        <v>293.33333333333945</v>
      </c>
      <c r="DT150" s="60">
        <f ca="1">AVERAGE(OFFSET($DS$3,0,0,'Données projet'!$E$14+1,1))-AVERAGE(OFFSET($H$3,0,0,'Données projet'!$E$14+1,1))</f>
        <v>300.36889324671682</v>
      </c>
      <c r="DU150" s="60">
        <f t="shared" si="152"/>
        <v>214.36051699039683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-4.9658410716801891E-14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202.46844517174412</v>
      </c>
      <c r="EP150" s="60">
        <f t="shared" si="154"/>
        <v>185.00219255324515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7.626113074366004E-14</v>
      </c>
      <c r="FG150" s="14">
        <f t="shared" si="155"/>
        <v>1.1823749172251317E-12</v>
      </c>
      <c r="FH150" s="22">
        <f t="shared" si="130"/>
        <v>2.1921244502123119E-12</v>
      </c>
      <c r="FI150" s="60">
        <f t="shared" si="131"/>
        <v>293.33333333333553</v>
      </c>
      <c r="FJ150" s="60">
        <f ca="1">AVERAGE(OFFSET($FI$3,0,0,'Données projet'!$E$16+1,1))-AVERAGE(OFFSET($H$3,0,0,'Données projet'!$E$16+1,1))</f>
        <v>344.87493856469382</v>
      </c>
      <c r="FK150" s="60">
        <f t="shared" si="156"/>
        <v>261.91036689641402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268.19959446602911</v>
      </c>
      <c r="GF150" s="60">
        <f t="shared" si="158"/>
        <v>691.2533336811855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14.167157514414042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14.167157514414042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1.1368683772161603E-13</v>
      </c>
      <c r="GV150" s="18">
        <f>GU150*VLOOKUP('Données projet'!$B$18,Paramètres!$A$1:$I$89,3,0)*VLOOKUP('Données projet'!$B$18,Paramètres!$A$1:$I$89,5,0)</f>
        <v>8.8675733422860506E-14</v>
      </c>
      <c r="GW150" s="14">
        <f t="shared" si="159"/>
        <v>1.3509285393066301E-12</v>
      </c>
      <c r="GX150" s="22">
        <f t="shared" si="136"/>
        <v>2.5073107750038623E-12</v>
      </c>
      <c r="GY150" s="60">
        <f t="shared" si="137"/>
        <v>293.33333333333582</v>
      </c>
      <c r="GZ150" s="60">
        <f ca="1">AVERAGE(OFFSET($GY$3,0,0,'Données projet'!$E$18+1,1))-AVERAGE(OFFSET($H$3,0,0,'Données projet'!$E$18+1,1))</f>
        <v>292.57482726862594</v>
      </c>
      <c r="HA150" s="60">
        <f t="shared" si="160"/>
        <v>283.48738729114024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399.92909819003523</v>
      </c>
      <c r="T151" s="60">
        <f t="shared" si="142"/>
        <v>163.7053537268381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-5.6843418860808015E-13</v>
      </c>
      <c r="AJ151" s="14">
        <f>AI151*VLOOKUP('Données projet'!$B$10,Paramètres!$A$1:$I$89,3,0)*VLOOKUP('Données projet'!$B$10,Paramètres!$A$1:$I$89,5,0)</f>
        <v>-3.39923644787632E-13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455.43477166687273</v>
      </c>
      <c r="AO151" s="60">
        <f t="shared" si="144"/>
        <v>312.81310692672895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2.4666666666666668</v>
      </c>
      <c r="BD151" s="13">
        <f>IF('Données projet'!$A$88&gt;35,BD150+BC151-BL150,IF(A151&lt;'Données projet'!$A$88,$BA$205^A151,IF(A151='Données projet'!$A$88,'Données projet'!$B$88,BD150+BC151-BL150)))</f>
        <v>301.06666666666581</v>
      </c>
      <c r="BE151" s="14">
        <f>BD151*VLOOKUP('Données projet'!$B$11,Paramètres!$A$1:$I$89,3,0)*VLOOKUP('Données projet'!$B$11,Paramètres!$A$1:$I$89,5,0)</f>
        <v>272.40511999999921</v>
      </c>
      <c r="BF151" s="14">
        <f t="shared" si="145"/>
        <v>65.35943270177107</v>
      </c>
      <c r="BG151" s="22">
        <f t="shared" si="115"/>
        <v>588.27326262224994</v>
      </c>
      <c r="BH151" s="60">
        <f t="shared" si="116"/>
        <v>881.60659595558332</v>
      </c>
      <c r="BI151" s="60">
        <f ca="1">AVERAGE(OFFSET($BH$3,0,0,'Données projet'!$E$11+1,1))-AVERAGE(OFFSET($H$3,0,0,'Données projet'!$E$11+1,1))</f>
        <v>430.11660085503223</v>
      </c>
      <c r="BJ151" s="60">
        <f t="shared" si="146"/>
        <v>231.36959598460686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2.4666666666666668</v>
      </c>
      <c r="BY151" s="13">
        <f>IF('Données projet'!$A$114&gt;35,BY150+BX151-CG150,IF(A151&lt;'Données projet'!$A$114,$BV$205^A151,IF(A151='Données projet'!$A$114,'Données projet'!$B$114,BY150+BX151-CG150)))</f>
        <v>301.06666666666581</v>
      </c>
      <c r="BZ151" s="14">
        <f>BY151*VLOOKUP('Données projet'!$B$12,Paramètres!$A$1:$I$89,3,0)*VLOOKUP('Données projet'!$B$12,Paramètres!$A$1:$I$89,5,0)</f>
        <v>305.28159999999917</v>
      </c>
      <c r="CA151" s="14">
        <f t="shared" si="147"/>
        <v>72.282562570740865</v>
      </c>
      <c r="CB151" s="22">
        <f t="shared" si="118"/>
        <v>657.59091647737216</v>
      </c>
      <c r="CC151" s="60">
        <f t="shared" si="119"/>
        <v>950.92424981070553</v>
      </c>
      <c r="CD151" s="60">
        <f ca="1">AVERAGE(OFFSET($CC$3,0,0,'Données projet'!$E$12+1,1))-AVERAGE(OFFSET($H$3,0,0,'Données projet'!$E$12+1,1))</f>
        <v>476.8965664931755</v>
      </c>
      <c r="CE151" s="60">
        <f t="shared" si="148"/>
        <v>254.25036207346591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2.4666666666666668</v>
      </c>
      <c r="CT151" s="13">
        <f>IF('Données projet'!$A$140&gt;35,CT150+CS151-DB150,IF(A151&lt;'Données projet'!$A$140,$CQ$205^A151,IF(A151='Données projet'!$A$140,'Données projet'!$B$140,CT150+CS151-DB150)))</f>
        <v>301.06666666666581</v>
      </c>
      <c r="CU151" s="18">
        <f>CT151*VLOOKUP('Données projet'!$B$13,Paramètres!$A$1:$I$89,3,0)*VLOOKUP('Données projet'!$B$13,Paramètres!$A$1:$I$89,5,0)</f>
        <v>291.19167999999917</v>
      </c>
      <c r="CV151" s="14">
        <f t="shared" si="149"/>
        <v>69.326710818315618</v>
      </c>
      <c r="CW151" s="22">
        <f t="shared" si="121"/>
        <v>627.90286400856496</v>
      </c>
      <c r="CX151" s="60">
        <f t="shared" si="122"/>
        <v>921.23619734189833</v>
      </c>
      <c r="CY151" s="60">
        <f ca="1">AVERAGE(OFFSET($CX$3,0,0,'Données projet'!$E$13+1,1))-AVERAGE(OFFSET($H$3,0,0,'Données projet'!$E$13+1,1))</f>
        <v>456.86147223520601</v>
      </c>
      <c r="CZ151" s="60">
        <f t="shared" si="150"/>
        <v>244.45149244446094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2.5579538487363607E-13</v>
      </c>
      <c r="DP151" s="18">
        <f>DO151*VLOOKUP('Données projet'!$B$14,Paramètres!$A$1:$I$89,3,0)*VLOOKUP('Données projet'!$B$14,Paramètres!$A$1:$I$89,5,0)</f>
        <v>2.4341488824575211E-13</v>
      </c>
      <c r="DQ151" s="14">
        <f t="shared" si="151"/>
        <v>3.2970717324875541E-12</v>
      </c>
      <c r="DR151" s="22">
        <f t="shared" si="124"/>
        <v>6.1663475311105072E-12</v>
      </c>
      <c r="DS151" s="60">
        <f t="shared" si="125"/>
        <v>293.33333333333945</v>
      </c>
      <c r="DT151" s="60">
        <f ca="1">AVERAGE(OFFSET($DS$3,0,0,'Données projet'!$E$14+1,1))-AVERAGE(OFFSET($H$3,0,0,'Données projet'!$E$14+1,1))</f>
        <v>300.36889324671682</v>
      </c>
      <c r="DU151" s="60">
        <f t="shared" si="152"/>
        <v>214.36051699039683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-4.9658410716801891E-14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202.46844517174412</v>
      </c>
      <c r="EP151" s="60">
        <f t="shared" si="154"/>
        <v>185.00219255324515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7.626113074366004E-14</v>
      </c>
      <c r="FG151" s="14">
        <f t="shared" si="155"/>
        <v>1.1823749172251317E-12</v>
      </c>
      <c r="FH151" s="22">
        <f t="shared" si="130"/>
        <v>2.1921244502123119E-12</v>
      </c>
      <c r="FI151" s="60">
        <f t="shared" si="131"/>
        <v>293.33333333333553</v>
      </c>
      <c r="FJ151" s="60">
        <f ca="1">AVERAGE(OFFSET($FI$3,0,0,'Données projet'!$E$16+1,1))-AVERAGE(OFFSET($H$3,0,0,'Données projet'!$E$16+1,1))</f>
        <v>344.87493856469382</v>
      </c>
      <c r="FK151" s="60">
        <f t="shared" si="156"/>
        <v>261.91036689641402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268.19959446602911</v>
      </c>
      <c r="GF151" s="60">
        <f t="shared" si="158"/>
        <v>691.2533336811855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13.889348196669227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13.889348196669227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1.1368683772161603E-13</v>
      </c>
      <c r="GV151" s="18">
        <f>GU151*VLOOKUP('Données projet'!$B$18,Paramètres!$A$1:$I$89,3,0)*VLOOKUP('Données projet'!$B$18,Paramètres!$A$1:$I$89,5,0)</f>
        <v>8.8675733422860506E-14</v>
      </c>
      <c r="GW151" s="14">
        <f t="shared" si="159"/>
        <v>1.3509285393066301E-12</v>
      </c>
      <c r="GX151" s="22">
        <f t="shared" si="136"/>
        <v>2.5073107750038623E-12</v>
      </c>
      <c r="GY151" s="60">
        <f t="shared" si="137"/>
        <v>293.33333333333582</v>
      </c>
      <c r="GZ151" s="60">
        <f ca="1">AVERAGE(OFFSET($GY$3,0,0,'Données projet'!$E$18+1,1))-AVERAGE(OFFSET($H$3,0,0,'Données projet'!$E$18+1,1))</f>
        <v>292.57482726862594</v>
      </c>
      <c r="HA151" s="60">
        <f t="shared" si="160"/>
        <v>283.48738729114024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399.92909819003523</v>
      </c>
      <c r="T152" s="60">
        <f t="shared" si="142"/>
        <v>163.7053537268381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-5.6843418860808015E-13</v>
      </c>
      <c r="AJ152" s="14">
        <f>AI152*VLOOKUP('Données projet'!$B$10,Paramètres!$A$1:$I$89,3,0)*VLOOKUP('Données projet'!$B$10,Paramètres!$A$1:$I$89,5,0)</f>
        <v>-3.39923644787632E-13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455.43477166687273</v>
      </c>
      <c r="AO152" s="60">
        <f t="shared" si="144"/>
        <v>312.81310692672895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2.4666666666666668</v>
      </c>
      <c r="BD152" s="13">
        <f>IF('Données projet'!$A$88&gt;35,BD151+BC152-BL151,IF(A152&lt;'Données projet'!$A$88,$BA$205^A152,IF(A152='Données projet'!$A$88,'Données projet'!$B$88,BD151+BC152-BL151)))</f>
        <v>303.53333333333245</v>
      </c>
      <c r="BE152" s="14">
        <f>BD152*VLOOKUP('Données projet'!$B$11,Paramètres!$A$1:$I$89,3,0)*VLOOKUP('Données projet'!$B$11,Paramètres!$A$1:$I$89,5,0)</f>
        <v>274.63695999999919</v>
      </c>
      <c r="BF152" s="14">
        <f t="shared" si="145"/>
        <v>65.83237184854913</v>
      </c>
      <c r="BG152" s="22">
        <f t="shared" si="115"/>
        <v>592.98408630288839</v>
      </c>
      <c r="BH152" s="60">
        <f t="shared" si="116"/>
        <v>886.31741963622176</v>
      </c>
      <c r="BI152" s="60">
        <f ca="1">AVERAGE(OFFSET($BH$3,0,0,'Données projet'!$E$11+1,1))-AVERAGE(OFFSET($H$3,0,0,'Données projet'!$E$11+1,1))</f>
        <v>430.11660085503223</v>
      </c>
      <c r="BJ152" s="60">
        <f t="shared" si="146"/>
        <v>231.36959598460686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2.4666666666666668</v>
      </c>
      <c r="BY152" s="13">
        <f>IF('Données projet'!$A$114&gt;35,BY151+BX152-CG151,IF(A152&lt;'Données projet'!$A$114,$BV$205^A152,IF(A152='Données projet'!$A$114,'Données projet'!$B$114,BY151+BX152-CG151)))</f>
        <v>303.53333333333245</v>
      </c>
      <c r="BZ152" s="14">
        <f>BY152*VLOOKUP('Données projet'!$B$12,Paramètres!$A$1:$I$89,3,0)*VLOOKUP('Données projet'!$B$12,Paramètres!$A$1:$I$89,5,0)</f>
        <v>307.78279999999916</v>
      </c>
      <c r="CA152" s="14">
        <f t="shared" si="147"/>
        <v>72.805597304305977</v>
      </c>
      <c r="CB152" s="22">
        <f t="shared" si="118"/>
        <v>662.858125304998</v>
      </c>
      <c r="CC152" s="60">
        <f t="shared" si="119"/>
        <v>956.19145863833137</v>
      </c>
      <c r="CD152" s="60">
        <f ca="1">AVERAGE(OFFSET($CC$3,0,0,'Données projet'!$E$12+1,1))-AVERAGE(OFFSET($H$3,0,0,'Données projet'!$E$12+1,1))</f>
        <v>476.8965664931755</v>
      </c>
      <c r="CE152" s="60">
        <f t="shared" si="148"/>
        <v>254.25036207346591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2.4666666666666668</v>
      </c>
      <c r="CT152" s="13">
        <f>IF('Données projet'!$A$140&gt;35,CT151+CS152-DB151,IF(A152&lt;'Données projet'!$A$140,$CQ$205^A152,IF(A152='Données projet'!$A$140,'Données projet'!$B$140,CT151+CS152-DB151)))</f>
        <v>303.53333333333245</v>
      </c>
      <c r="CU152" s="18">
        <f>CT152*VLOOKUP('Données projet'!$B$13,Paramètres!$A$1:$I$89,3,0)*VLOOKUP('Données projet'!$B$13,Paramètres!$A$1:$I$89,5,0)</f>
        <v>293.57743999999917</v>
      </c>
      <c r="CV152" s="14">
        <f t="shared" si="149"/>
        <v>69.828357085855131</v>
      </c>
      <c r="CW152" s="22">
        <f t="shared" si="121"/>
        <v>632.93176325786294</v>
      </c>
      <c r="CX152" s="60">
        <f t="shared" si="122"/>
        <v>926.2650965911962</v>
      </c>
      <c r="CY152" s="60">
        <f ca="1">AVERAGE(OFFSET($CX$3,0,0,'Données projet'!$E$13+1,1))-AVERAGE(OFFSET($H$3,0,0,'Données projet'!$E$13+1,1))</f>
        <v>456.86147223520601</v>
      </c>
      <c r="CZ152" s="60">
        <f t="shared" si="150"/>
        <v>244.45149244446094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2.5579538487363607E-13</v>
      </c>
      <c r="DP152" s="18">
        <f>DO152*VLOOKUP('Données projet'!$B$14,Paramètres!$A$1:$I$89,3,0)*VLOOKUP('Données projet'!$B$14,Paramètres!$A$1:$I$89,5,0)</f>
        <v>2.4341488824575211E-13</v>
      </c>
      <c r="DQ152" s="14">
        <f t="shared" si="151"/>
        <v>3.2970717324875541E-12</v>
      </c>
      <c r="DR152" s="22">
        <f t="shared" si="124"/>
        <v>6.1663475311105072E-12</v>
      </c>
      <c r="DS152" s="60">
        <f t="shared" si="125"/>
        <v>293.33333333333945</v>
      </c>
      <c r="DT152" s="60">
        <f ca="1">AVERAGE(OFFSET($DS$3,0,0,'Données projet'!$E$14+1,1))-AVERAGE(OFFSET($H$3,0,0,'Données projet'!$E$14+1,1))</f>
        <v>300.36889324671682</v>
      </c>
      <c r="DU152" s="60">
        <f t="shared" si="152"/>
        <v>214.36051699039683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-4.9658410716801891E-14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202.46844517174412</v>
      </c>
      <c r="EP152" s="60">
        <f t="shared" si="154"/>
        <v>185.00219255324515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7.626113074366004E-14</v>
      </c>
      <c r="FG152" s="14">
        <f t="shared" si="155"/>
        <v>1.1823749172251317E-12</v>
      </c>
      <c r="FH152" s="22">
        <f t="shared" si="130"/>
        <v>2.1921244502123119E-12</v>
      </c>
      <c r="FI152" s="60">
        <f t="shared" si="131"/>
        <v>293.33333333333553</v>
      </c>
      <c r="FJ152" s="60">
        <f ca="1">AVERAGE(OFFSET($FI$3,0,0,'Données projet'!$E$16+1,1))-AVERAGE(OFFSET($H$3,0,0,'Données projet'!$E$16+1,1))</f>
        <v>344.87493856469382</v>
      </c>
      <c r="FK152" s="60">
        <f t="shared" si="156"/>
        <v>261.91036689641402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268.19959446602911</v>
      </c>
      <c r="GF152" s="60">
        <f t="shared" si="158"/>
        <v>691.2533336811855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13.616986550198435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13.616986550198435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1.1368683772161603E-13</v>
      </c>
      <c r="GV152" s="18">
        <f>GU152*VLOOKUP('Données projet'!$B$18,Paramètres!$A$1:$I$89,3,0)*VLOOKUP('Données projet'!$B$18,Paramètres!$A$1:$I$89,5,0)</f>
        <v>8.8675733422860506E-14</v>
      </c>
      <c r="GW152" s="14">
        <f t="shared" si="159"/>
        <v>1.3509285393066301E-12</v>
      </c>
      <c r="GX152" s="22">
        <f t="shared" si="136"/>
        <v>2.5073107750038623E-12</v>
      </c>
      <c r="GY152" s="60">
        <f t="shared" si="137"/>
        <v>293.33333333333582</v>
      </c>
      <c r="GZ152" s="60">
        <f ca="1">AVERAGE(OFFSET($GY$3,0,0,'Données projet'!$E$18+1,1))-AVERAGE(OFFSET($H$3,0,0,'Données projet'!$E$18+1,1))</f>
        <v>292.57482726862594</v>
      </c>
      <c r="HA152" s="60">
        <f t="shared" si="160"/>
        <v>283.48738729114024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399.92909819003523</v>
      </c>
      <c r="T153" s="60">
        <f t="shared" si="142"/>
        <v>163.7053537268381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-5.6843418860808015E-13</v>
      </c>
      <c r="AJ153" s="14">
        <f>AI153*VLOOKUP('Données projet'!$B$10,Paramètres!$A$1:$I$89,3,0)*VLOOKUP('Données projet'!$B$10,Paramètres!$A$1:$I$89,5,0)</f>
        <v>-3.39923644787632E-13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455.43477166687273</v>
      </c>
      <c r="AO153" s="60">
        <f t="shared" si="144"/>
        <v>312.81310692672895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2.4666666666666668</v>
      </c>
      <c r="BC153" s="13">
        <f t="array" ref="BC153">INDEX(BB:BB,MIN(IF(ISNUMBER(BB153:BB349),ROW(BB153:BB349),"")))</f>
        <v>2.4666666666666668</v>
      </c>
      <c r="BD153" s="13">
        <f>IF('Données projet'!$A$88&gt;35,BD152+BC153-BL152,IF(A153&lt;'Données projet'!$A$88,$BA$205^A153,IF(A153='Données projet'!$A$88,'Données projet'!$B$88,BD152+BC153-BL152)))</f>
        <v>305.99999999999909</v>
      </c>
      <c r="BE153" s="14">
        <f>BD153*VLOOKUP('Données projet'!$B$11,Paramètres!$A$1:$I$89,3,0)*VLOOKUP('Données projet'!$B$11,Paramètres!$A$1:$I$89,5,0)</f>
        <v>276.86879999999917</v>
      </c>
      <c r="BF153" s="14">
        <f t="shared" si="145"/>
        <v>66.304863836318546</v>
      </c>
      <c r="BG153" s="22">
        <f t="shared" si="115"/>
        <v>597.69413118158661</v>
      </c>
      <c r="BH153" s="60">
        <f t="shared" si="116"/>
        <v>891.02746451491998</v>
      </c>
      <c r="BI153" s="60">
        <f ca="1">AVERAGE(OFFSET($BH$3,0,0,'Données projet'!$E$11+1,1))-AVERAGE(OFFSET($H$3,0,0,'Données projet'!$E$11+1,1))</f>
        <v>430.11660085503223</v>
      </c>
      <c r="BJ153" s="60">
        <f t="shared" si="146"/>
        <v>231.36959598460686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306</v>
      </c>
      <c r="BW153" s="13">
        <f>VLOOKUP(A153,'Données projet'!$A$113:$I$133,9,0)</f>
        <v>2.4666666666666668</v>
      </c>
      <c r="BX153" s="13">
        <f t="array" ref="BX153">INDEX(BW:BW,MIN(IF(ISNUMBER(BW153:BW349),ROW(BW153:BW349),"")))</f>
        <v>2.4666666666666668</v>
      </c>
      <c r="BY153" s="13">
        <f>IF('Données projet'!$A$114&gt;35,BY152+BX153-CG152,IF(A153&lt;'Données projet'!$A$114,$BV$205^A153,IF(A153='Données projet'!$A$114,'Données projet'!$B$114,BY152+BX153-CG152)))</f>
        <v>305.99999999999909</v>
      </c>
      <c r="BZ153" s="14">
        <f>BY153*VLOOKUP('Données projet'!$B$12,Paramètres!$A$1:$I$89,3,0)*VLOOKUP('Données projet'!$B$12,Paramètres!$A$1:$I$89,5,0)</f>
        <v>310.28399999999908</v>
      </c>
      <c r="CA153" s="14">
        <f t="shared" si="147"/>
        <v>73.328137514009967</v>
      </c>
      <c r="CB153" s="22">
        <f t="shared" si="118"/>
        <v>668.12447283689914</v>
      </c>
      <c r="CC153" s="60">
        <f t="shared" si="119"/>
        <v>961.45780617023252</v>
      </c>
      <c r="CD153" s="60">
        <f ca="1">AVERAGE(OFFSET($CC$3,0,0,'Données projet'!$E$12+1,1))-AVERAGE(OFFSET($H$3,0,0,'Données projet'!$E$12+1,1))</f>
        <v>476.8965664931755</v>
      </c>
      <c r="CE153" s="60">
        <f t="shared" si="148"/>
        <v>254.25036207346591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306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306</v>
      </c>
      <c r="CR153" s="13">
        <f>VLOOKUP(A153,'Données projet'!$A$139:$I$159,9,0)</f>
        <v>2.4666666666666668</v>
      </c>
      <c r="CS153" s="13">
        <f t="array" ref="CS153">INDEX(CR:CR,MIN(IF(ISNUMBER(CR153:CR349),ROW(CR153:CR349),"")))</f>
        <v>2.4666666666666668</v>
      </c>
      <c r="CT153" s="13">
        <f>IF('Données projet'!$A$140&gt;35,CT152+CS153-DB152,IF(A153&lt;'Données projet'!$A$140,$CQ$205^A153,IF(A153='Données projet'!$A$140,'Données projet'!$B$140,CT152+CS153-DB152)))</f>
        <v>305.99999999999909</v>
      </c>
      <c r="CU153" s="18">
        <f>CT153*VLOOKUP('Données projet'!$B$13,Paramètres!$A$1:$I$89,3,0)*VLOOKUP('Données projet'!$B$13,Paramètres!$A$1:$I$89,5,0)</f>
        <v>295.96319999999912</v>
      </c>
      <c r="CV153" s="14">
        <f t="shared" si="149"/>
        <v>70.329529052104064</v>
      </c>
      <c r="CW153" s="22">
        <f t="shared" si="121"/>
        <v>637.959836432413</v>
      </c>
      <c r="CX153" s="60">
        <f t="shared" si="122"/>
        <v>931.29316976574637</v>
      </c>
      <c r="CY153" s="60">
        <f ca="1">AVERAGE(OFFSET($CX$3,0,0,'Données projet'!$E$13+1,1))-AVERAGE(OFFSET($H$3,0,0,'Données projet'!$E$13+1,1))</f>
        <v>456.86147223520601</v>
      </c>
      <c r="CZ153" s="60">
        <f t="shared" si="150"/>
        <v>244.45149244446094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306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2.5579538487363607E-13</v>
      </c>
      <c r="DP153" s="18">
        <f>DO153*VLOOKUP('Données projet'!$B$14,Paramètres!$A$1:$I$89,3,0)*VLOOKUP('Données projet'!$B$14,Paramètres!$A$1:$I$89,5,0)</f>
        <v>2.4341488824575211E-13</v>
      </c>
      <c r="DQ153" s="14">
        <f t="shared" si="151"/>
        <v>3.2970717324875541E-12</v>
      </c>
      <c r="DR153" s="22">
        <f t="shared" si="124"/>
        <v>6.1663475311105072E-12</v>
      </c>
      <c r="DS153" s="60">
        <f t="shared" si="125"/>
        <v>293.33333333333945</v>
      </c>
      <c r="DT153" s="60">
        <f ca="1">AVERAGE(OFFSET($DS$3,0,0,'Données projet'!$E$14+1,1))-AVERAGE(OFFSET($H$3,0,0,'Données projet'!$E$14+1,1))</f>
        <v>300.36889324671682</v>
      </c>
      <c r="DU153" s="60">
        <f t="shared" si="152"/>
        <v>214.36051699039683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-4.9658410716801891E-14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202.46844517174412</v>
      </c>
      <c r="EP153" s="60">
        <f t="shared" si="154"/>
        <v>185.00219255324515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7.626113074366004E-14</v>
      </c>
      <c r="FG153" s="14">
        <f t="shared" si="155"/>
        <v>1.1823749172251317E-12</v>
      </c>
      <c r="FH153" s="22">
        <f t="shared" si="130"/>
        <v>2.1921244502123119E-12</v>
      </c>
      <c r="FI153" s="60">
        <f t="shared" si="131"/>
        <v>293.33333333333553</v>
      </c>
      <c r="FJ153" s="60">
        <f ca="1">AVERAGE(OFFSET($FI$3,0,0,'Données projet'!$E$16+1,1))-AVERAGE(OFFSET($H$3,0,0,'Données projet'!$E$16+1,1))</f>
        <v>344.87493856469382</v>
      </c>
      <c r="FK153" s="60">
        <f t="shared" si="156"/>
        <v>261.91036689641402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268.19959446602911</v>
      </c>
      <c r="GF153" s="60">
        <f t="shared" si="158"/>
        <v>691.2533336811855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13.349965749490735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13.349965749490735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1.1368683772161603E-13</v>
      </c>
      <c r="GV153" s="18">
        <f>GU153*VLOOKUP('Données projet'!$B$18,Paramètres!$A$1:$I$89,3,0)*VLOOKUP('Données projet'!$B$18,Paramètres!$A$1:$I$89,5,0)</f>
        <v>8.8675733422860506E-14</v>
      </c>
      <c r="GW153" s="14">
        <f t="shared" si="159"/>
        <v>1.3509285393066301E-12</v>
      </c>
      <c r="GX153" s="22">
        <f t="shared" si="136"/>
        <v>2.5073107750038623E-12</v>
      </c>
      <c r="GY153" s="60">
        <f t="shared" si="137"/>
        <v>293.33333333333582</v>
      </c>
      <c r="GZ153" s="60">
        <f ca="1">AVERAGE(OFFSET($GY$3,0,0,'Données projet'!$E$18+1,1))-AVERAGE(OFFSET($H$3,0,0,'Données projet'!$E$18+1,1))</f>
        <v>292.57482726862594</v>
      </c>
      <c r="HA153" s="60">
        <f t="shared" si="160"/>
        <v>283.48738729114024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399.92909819003523</v>
      </c>
      <c r="T154" s="60">
        <f t="shared" si="142"/>
        <v>163.7053537268381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-5.6843418860808015E-13</v>
      </c>
      <c r="AJ154" s="14">
        <f>AI154*VLOOKUP('Données projet'!$B$10,Paramètres!$A$1:$I$89,3,0)*VLOOKUP('Données projet'!$B$10,Paramètres!$A$1:$I$89,5,0)</f>
        <v>-3.39923644787632E-13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455.43477166687273</v>
      </c>
      <c r="AO154" s="60">
        <f t="shared" si="144"/>
        <v>312.81310692672895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-9.0949470177292824E-13</v>
      </c>
      <c r="BE154" s="14">
        <f>BD154*VLOOKUP('Données projet'!$B$11,Paramètres!$A$1:$I$89,3,0)*VLOOKUP('Données projet'!$B$11,Paramètres!$A$1:$I$89,5,0)</f>
        <v>-8.2291080616414541E-13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430.11660085503223</v>
      </c>
      <c r="BJ154" s="60">
        <f t="shared" si="146"/>
        <v>231.36959598460686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-9.0949470177292824E-13</v>
      </c>
      <c r="BZ154" s="14">
        <f>BY154*VLOOKUP('Données projet'!$B$12,Paramètres!$A$1:$I$89,3,0)*VLOOKUP('Données projet'!$B$12,Paramètres!$A$1:$I$89,5,0)</f>
        <v>-9.2222762759774924E-13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476.8965664931755</v>
      </c>
      <c r="CE154" s="60">
        <f t="shared" si="148"/>
        <v>254.25036207346591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-9.0949470177292824E-13</v>
      </c>
      <c r="CU154" s="18">
        <f>CT154*VLOOKUP('Données projet'!$B$13,Paramètres!$A$1:$I$89,3,0)*VLOOKUP('Données projet'!$B$13,Paramètres!$A$1:$I$89,5,0)</f>
        <v>-8.7966327555477625E-13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456.86147223520601</v>
      </c>
      <c r="CZ154" s="60">
        <f t="shared" si="150"/>
        <v>244.45149244446094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2.5579538487363607E-13</v>
      </c>
      <c r="DP154" s="18">
        <f>DO154*VLOOKUP('Données projet'!$B$14,Paramètres!$A$1:$I$89,3,0)*VLOOKUP('Données projet'!$B$14,Paramètres!$A$1:$I$89,5,0)</f>
        <v>2.4341488824575211E-13</v>
      </c>
      <c r="DQ154" s="14">
        <f t="shared" ref="DQ154:DQ203" si="176">EXP(-1.0587+0.8836*LN(DP154)+0.284)</f>
        <v>3.2970717324875541E-12</v>
      </c>
      <c r="DR154" s="22">
        <f t="shared" ref="DR154:DR203" si="177">(DP154+DQ154)*0.475*44/12</f>
        <v>6.1663475311105072E-12</v>
      </c>
      <c r="DS154" s="60">
        <f t="shared" si="125"/>
        <v>293.33333333333945</v>
      </c>
      <c r="DT154" s="60">
        <f ca="1">AVERAGE(OFFSET($DS$3,0,0,'Données projet'!$E$14+1,1))-AVERAGE(OFFSET($H$3,0,0,'Données projet'!$E$14+1,1))</f>
        <v>300.36889324671682</v>
      </c>
      <c r="DU154" s="60">
        <f t="shared" si="152"/>
        <v>214.36051699039683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-4.9658410716801891E-14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202.46844517174412</v>
      </c>
      <c r="EP154" s="60">
        <f t="shared" si="154"/>
        <v>185.00219255324515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7.626113074366004E-14</v>
      </c>
      <c r="FG154" s="14">
        <f t="shared" ref="FG154:FG203" si="182">EXP(-1.0587+0.8836*LN(FF154)+0.284)</f>
        <v>1.1823749172251317E-12</v>
      </c>
      <c r="FH154" s="22">
        <f t="shared" ref="FH154:FH203" si="183">(FF154+FG154)*0.475*44/12</f>
        <v>2.1921244502123119E-12</v>
      </c>
      <c r="FI154" s="60">
        <f t="shared" si="131"/>
        <v>293.33333333333553</v>
      </c>
      <c r="FJ154" s="60">
        <f ca="1">AVERAGE(OFFSET($FI$3,0,0,'Données projet'!$E$16+1,1))-AVERAGE(OFFSET($H$3,0,0,'Données projet'!$E$16+1,1))</f>
        <v>344.87493856469382</v>
      </c>
      <c r="FK154" s="60">
        <f t="shared" si="156"/>
        <v>261.91036689641402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268.19959446602911</v>
      </c>
      <c r="GF154" s="60">
        <f t="shared" si="158"/>
        <v>691.2533336811855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13.088181063818308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13.088181063818308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1.1368683772161603E-13</v>
      </c>
      <c r="GV154" s="18">
        <f>GU154*VLOOKUP('Données projet'!$B$18,Paramètres!$A$1:$I$89,3,0)*VLOOKUP('Données projet'!$B$18,Paramètres!$A$1:$I$89,5,0)</f>
        <v>8.8675733422860506E-14</v>
      </c>
      <c r="GW154" s="14">
        <f t="shared" ref="GW154:GW203" si="188">EXP(-1.0587+0.8836*LN(GV154)+0.284)</f>
        <v>1.3509285393066301E-12</v>
      </c>
      <c r="GX154" s="22">
        <f t="shared" ref="GX154:GX203" si="189">(GV154+GW154)*0.475*44/12</f>
        <v>2.5073107750038623E-12</v>
      </c>
      <c r="GY154" s="60">
        <f t="shared" si="137"/>
        <v>293.33333333333582</v>
      </c>
      <c r="GZ154" s="60">
        <f ca="1">AVERAGE(OFFSET($GY$3,0,0,'Données projet'!$E$18+1,1))-AVERAGE(OFFSET($H$3,0,0,'Données projet'!$E$18+1,1))</f>
        <v>292.57482726862594</v>
      </c>
      <c r="HA154" s="60">
        <f t="shared" si="160"/>
        <v>283.48738729114024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399.92909819003523</v>
      </c>
      <c r="T155" s="60">
        <f t="shared" si="142"/>
        <v>163.7053537268381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-5.6843418860808015E-13</v>
      </c>
      <c r="AJ155" s="14">
        <f>AI155*VLOOKUP('Données projet'!$B$10,Paramètres!$A$1:$I$89,3,0)*VLOOKUP('Données projet'!$B$10,Paramètres!$A$1:$I$89,5,0)</f>
        <v>-3.39923644787632E-13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455.43477166687273</v>
      </c>
      <c r="AO155" s="60">
        <f t="shared" si="144"/>
        <v>312.81310692672895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-9.0949470177292824E-13</v>
      </c>
      <c r="BE155" s="14">
        <f>BD155*VLOOKUP('Données projet'!$B$11,Paramètres!$A$1:$I$89,3,0)*VLOOKUP('Données projet'!$B$11,Paramètres!$A$1:$I$89,5,0)</f>
        <v>-8.2291080616414541E-13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430.11660085503223</v>
      </c>
      <c r="BJ155" s="60">
        <f t="shared" si="146"/>
        <v>231.36959598460686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-9.0949470177292824E-13</v>
      </c>
      <c r="BZ155" s="14">
        <f>BY155*VLOOKUP('Données projet'!$B$12,Paramètres!$A$1:$I$89,3,0)*VLOOKUP('Données projet'!$B$12,Paramètres!$A$1:$I$89,5,0)</f>
        <v>-9.2222762759774924E-13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476.8965664931755</v>
      </c>
      <c r="CE155" s="60">
        <f t="shared" si="148"/>
        <v>254.25036207346591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-9.0949470177292824E-13</v>
      </c>
      <c r="CU155" s="18">
        <f>CT155*VLOOKUP('Données projet'!$B$13,Paramètres!$A$1:$I$89,3,0)*VLOOKUP('Données projet'!$B$13,Paramètres!$A$1:$I$89,5,0)</f>
        <v>-8.7966327555477625E-13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456.86147223520601</v>
      </c>
      <c r="CZ155" s="60">
        <f t="shared" si="150"/>
        <v>244.45149244446094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2.5579538487363607E-13</v>
      </c>
      <c r="DP155" s="18">
        <f>DO155*VLOOKUP('Données projet'!$B$14,Paramètres!$A$1:$I$89,3,0)*VLOOKUP('Données projet'!$B$14,Paramètres!$A$1:$I$89,5,0)</f>
        <v>2.4341488824575211E-13</v>
      </c>
      <c r="DQ155" s="14">
        <f t="shared" si="176"/>
        <v>3.2970717324875541E-12</v>
      </c>
      <c r="DR155" s="22">
        <f t="shared" si="177"/>
        <v>6.1663475311105072E-12</v>
      </c>
      <c r="DS155" s="60">
        <f t="shared" si="125"/>
        <v>293.33333333333945</v>
      </c>
      <c r="DT155" s="60">
        <f ca="1">AVERAGE(OFFSET($DS$3,0,0,'Données projet'!$E$14+1,1))-AVERAGE(OFFSET($H$3,0,0,'Données projet'!$E$14+1,1))</f>
        <v>300.36889324671682</v>
      </c>
      <c r="DU155" s="60">
        <f t="shared" si="152"/>
        <v>214.36051699039683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-4.9658410716801891E-14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202.46844517174412</v>
      </c>
      <c r="EP155" s="60">
        <f t="shared" si="154"/>
        <v>185.00219255324515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7.626113074366004E-14</v>
      </c>
      <c r="FG155" s="14">
        <f t="shared" si="182"/>
        <v>1.1823749172251317E-12</v>
      </c>
      <c r="FH155" s="22">
        <f t="shared" si="183"/>
        <v>2.1921244502123119E-12</v>
      </c>
      <c r="FI155" s="60">
        <f t="shared" si="131"/>
        <v>293.33333333333553</v>
      </c>
      <c r="FJ155" s="60">
        <f ca="1">AVERAGE(OFFSET($FI$3,0,0,'Données projet'!$E$16+1,1))-AVERAGE(OFFSET($H$3,0,0,'Données projet'!$E$16+1,1))</f>
        <v>344.87493856469382</v>
      </c>
      <c r="FK155" s="60">
        <f t="shared" si="156"/>
        <v>261.91036689641402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268.19959446602911</v>
      </c>
      <c r="GF155" s="60">
        <f t="shared" si="158"/>
        <v>691.2533336811855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12.831529816159023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12.831529816159023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1.1368683772161603E-13</v>
      </c>
      <c r="GV155" s="18">
        <f>GU155*VLOOKUP('Données projet'!$B$18,Paramètres!$A$1:$I$89,3,0)*VLOOKUP('Données projet'!$B$18,Paramètres!$A$1:$I$89,5,0)</f>
        <v>8.8675733422860506E-14</v>
      </c>
      <c r="GW155" s="14">
        <f t="shared" si="188"/>
        <v>1.3509285393066301E-12</v>
      </c>
      <c r="GX155" s="22">
        <f t="shared" si="189"/>
        <v>2.5073107750038623E-12</v>
      </c>
      <c r="GY155" s="60">
        <f t="shared" si="137"/>
        <v>293.33333333333582</v>
      </c>
      <c r="GZ155" s="60">
        <f ca="1">AVERAGE(OFFSET($GY$3,0,0,'Données projet'!$E$18+1,1))-AVERAGE(OFFSET($H$3,0,0,'Données projet'!$E$18+1,1))</f>
        <v>292.57482726862594</v>
      </c>
      <c r="HA155" s="60">
        <f t="shared" si="160"/>
        <v>283.48738729114024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399.92909819003523</v>
      </c>
      <c r="T156" s="60">
        <f t="shared" si="142"/>
        <v>163.7053537268381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-5.6843418860808015E-13</v>
      </c>
      <c r="AJ156" s="14">
        <f>AI156*VLOOKUP('Données projet'!$B$10,Paramètres!$A$1:$I$89,3,0)*VLOOKUP('Données projet'!$B$10,Paramètres!$A$1:$I$89,5,0)</f>
        <v>-3.39923644787632E-13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455.43477166687273</v>
      </c>
      <c r="AO156" s="60">
        <f t="shared" si="144"/>
        <v>312.81310692672895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-9.0949470177292824E-13</v>
      </c>
      <c r="BE156" s="14">
        <f>BD156*VLOOKUP('Données projet'!$B$11,Paramètres!$A$1:$I$89,3,0)*VLOOKUP('Données projet'!$B$11,Paramètres!$A$1:$I$89,5,0)</f>
        <v>-8.2291080616414541E-13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430.11660085503223</v>
      </c>
      <c r="BJ156" s="60">
        <f t="shared" si="146"/>
        <v>231.36959598460686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-9.0949470177292824E-13</v>
      </c>
      <c r="BZ156" s="14">
        <f>BY156*VLOOKUP('Données projet'!$B$12,Paramètres!$A$1:$I$89,3,0)*VLOOKUP('Données projet'!$B$12,Paramètres!$A$1:$I$89,5,0)</f>
        <v>-9.2222762759774924E-13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476.8965664931755</v>
      </c>
      <c r="CE156" s="60">
        <f t="shared" si="148"/>
        <v>254.25036207346591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-9.0949470177292824E-13</v>
      </c>
      <c r="CU156" s="18">
        <f>CT156*VLOOKUP('Données projet'!$B$13,Paramètres!$A$1:$I$89,3,0)*VLOOKUP('Données projet'!$B$13,Paramètres!$A$1:$I$89,5,0)</f>
        <v>-8.7966327555477625E-13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456.86147223520601</v>
      </c>
      <c r="CZ156" s="60">
        <f t="shared" si="150"/>
        <v>244.45149244446094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2.5579538487363607E-13</v>
      </c>
      <c r="DP156" s="18">
        <f>DO156*VLOOKUP('Données projet'!$B$14,Paramètres!$A$1:$I$89,3,0)*VLOOKUP('Données projet'!$B$14,Paramètres!$A$1:$I$89,5,0)</f>
        <v>2.4341488824575211E-13</v>
      </c>
      <c r="DQ156" s="14">
        <f t="shared" si="176"/>
        <v>3.2970717324875541E-12</v>
      </c>
      <c r="DR156" s="22">
        <f t="shared" si="177"/>
        <v>6.1663475311105072E-12</v>
      </c>
      <c r="DS156" s="60">
        <f t="shared" si="125"/>
        <v>293.33333333333945</v>
      </c>
      <c r="DT156" s="60">
        <f ca="1">AVERAGE(OFFSET($DS$3,0,0,'Données projet'!$E$14+1,1))-AVERAGE(OFFSET($H$3,0,0,'Données projet'!$E$14+1,1))</f>
        <v>300.36889324671682</v>
      </c>
      <c r="DU156" s="60">
        <f t="shared" si="152"/>
        <v>214.36051699039683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-4.9658410716801891E-14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202.46844517174412</v>
      </c>
      <c r="EP156" s="60">
        <f t="shared" si="154"/>
        <v>185.00219255324515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7.626113074366004E-14</v>
      </c>
      <c r="FG156" s="14">
        <f t="shared" si="182"/>
        <v>1.1823749172251317E-12</v>
      </c>
      <c r="FH156" s="22">
        <f t="shared" si="183"/>
        <v>2.1921244502123119E-12</v>
      </c>
      <c r="FI156" s="60">
        <f t="shared" si="131"/>
        <v>293.33333333333553</v>
      </c>
      <c r="FJ156" s="60">
        <f ca="1">AVERAGE(OFFSET($FI$3,0,0,'Données projet'!$E$16+1,1))-AVERAGE(OFFSET($H$3,0,0,'Données projet'!$E$16+1,1))</f>
        <v>344.87493856469382</v>
      </c>
      <c r="FK156" s="60">
        <f t="shared" si="156"/>
        <v>261.91036689641402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268.19959446602911</v>
      </c>
      <c r="GF156" s="60">
        <f t="shared" si="158"/>
        <v>691.2533336811855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12.579911342924534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12.579911342924534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1.1368683772161603E-13</v>
      </c>
      <c r="GV156" s="18">
        <f>GU156*VLOOKUP('Données projet'!$B$18,Paramètres!$A$1:$I$89,3,0)*VLOOKUP('Données projet'!$B$18,Paramètres!$A$1:$I$89,5,0)</f>
        <v>8.8675733422860506E-14</v>
      </c>
      <c r="GW156" s="14">
        <f t="shared" si="188"/>
        <v>1.3509285393066301E-12</v>
      </c>
      <c r="GX156" s="22">
        <f t="shared" si="189"/>
        <v>2.5073107750038623E-12</v>
      </c>
      <c r="GY156" s="60">
        <f t="shared" si="137"/>
        <v>293.33333333333582</v>
      </c>
      <c r="GZ156" s="60">
        <f ca="1">AVERAGE(OFFSET($GY$3,0,0,'Données projet'!$E$18+1,1))-AVERAGE(OFFSET($H$3,0,0,'Données projet'!$E$18+1,1))</f>
        <v>292.57482726862594</v>
      </c>
      <c r="HA156" s="60">
        <f t="shared" si="160"/>
        <v>283.48738729114024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399.92909819003523</v>
      </c>
      <c r="T157" s="60">
        <f t="shared" si="142"/>
        <v>163.7053537268381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-5.6843418860808015E-13</v>
      </c>
      <c r="AJ157" s="14">
        <f>AI157*VLOOKUP('Données projet'!$B$10,Paramètres!$A$1:$I$89,3,0)*VLOOKUP('Données projet'!$B$10,Paramètres!$A$1:$I$89,5,0)</f>
        <v>-3.39923644787632E-13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455.43477166687273</v>
      </c>
      <c r="AO157" s="60">
        <f t="shared" si="144"/>
        <v>312.81310692672895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-9.0949470177292824E-13</v>
      </c>
      <c r="BE157" s="14">
        <f>BD157*VLOOKUP('Données projet'!$B$11,Paramètres!$A$1:$I$89,3,0)*VLOOKUP('Données projet'!$B$11,Paramètres!$A$1:$I$89,5,0)</f>
        <v>-8.2291080616414541E-13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430.11660085503223</v>
      </c>
      <c r="BJ157" s="60">
        <f t="shared" si="146"/>
        <v>231.36959598460686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-9.0949470177292824E-13</v>
      </c>
      <c r="BZ157" s="14">
        <f>BY157*VLOOKUP('Données projet'!$B$12,Paramètres!$A$1:$I$89,3,0)*VLOOKUP('Données projet'!$B$12,Paramètres!$A$1:$I$89,5,0)</f>
        <v>-9.2222762759774924E-13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476.8965664931755</v>
      </c>
      <c r="CE157" s="60">
        <f t="shared" si="148"/>
        <v>254.25036207346591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-9.0949470177292824E-13</v>
      </c>
      <c r="CU157" s="18">
        <f>CT157*VLOOKUP('Données projet'!$B$13,Paramètres!$A$1:$I$89,3,0)*VLOOKUP('Données projet'!$B$13,Paramètres!$A$1:$I$89,5,0)</f>
        <v>-8.7966327555477625E-13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456.86147223520601</v>
      </c>
      <c r="CZ157" s="60">
        <f t="shared" si="150"/>
        <v>244.45149244446094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2.5579538487363607E-13</v>
      </c>
      <c r="DP157" s="18">
        <f>DO157*VLOOKUP('Données projet'!$B$14,Paramètres!$A$1:$I$89,3,0)*VLOOKUP('Données projet'!$B$14,Paramètres!$A$1:$I$89,5,0)</f>
        <v>2.4341488824575211E-13</v>
      </c>
      <c r="DQ157" s="14">
        <f t="shared" si="176"/>
        <v>3.2970717324875541E-12</v>
      </c>
      <c r="DR157" s="22">
        <f t="shared" si="177"/>
        <v>6.1663475311105072E-12</v>
      </c>
      <c r="DS157" s="60">
        <f t="shared" si="125"/>
        <v>293.33333333333945</v>
      </c>
      <c r="DT157" s="60">
        <f ca="1">AVERAGE(OFFSET($DS$3,0,0,'Données projet'!$E$14+1,1))-AVERAGE(OFFSET($H$3,0,0,'Données projet'!$E$14+1,1))</f>
        <v>300.36889324671682</v>
      </c>
      <c r="DU157" s="60">
        <f t="shared" si="152"/>
        <v>214.36051699039683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-4.9658410716801891E-14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202.46844517174412</v>
      </c>
      <c r="EP157" s="60">
        <f t="shared" si="154"/>
        <v>185.00219255324515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7.626113074366004E-14</v>
      </c>
      <c r="FG157" s="14">
        <f t="shared" si="182"/>
        <v>1.1823749172251317E-12</v>
      </c>
      <c r="FH157" s="22">
        <f t="shared" si="183"/>
        <v>2.1921244502123119E-12</v>
      </c>
      <c r="FI157" s="60">
        <f t="shared" si="131"/>
        <v>293.33333333333553</v>
      </c>
      <c r="FJ157" s="60">
        <f ca="1">AVERAGE(OFFSET($FI$3,0,0,'Données projet'!$E$16+1,1))-AVERAGE(OFFSET($H$3,0,0,'Données projet'!$E$16+1,1))</f>
        <v>344.87493856469382</v>
      </c>
      <c r="FK157" s="60">
        <f t="shared" si="156"/>
        <v>261.91036689641402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268.19959446602911</v>
      </c>
      <c r="GF157" s="60">
        <f t="shared" si="158"/>
        <v>691.2533336811855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12.333226954478059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12.333226954478059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1.1368683772161603E-13</v>
      </c>
      <c r="GV157" s="18">
        <f>GU157*VLOOKUP('Données projet'!$B$18,Paramètres!$A$1:$I$89,3,0)*VLOOKUP('Données projet'!$B$18,Paramètres!$A$1:$I$89,5,0)</f>
        <v>8.8675733422860506E-14</v>
      </c>
      <c r="GW157" s="14">
        <f t="shared" si="188"/>
        <v>1.3509285393066301E-12</v>
      </c>
      <c r="GX157" s="22">
        <f t="shared" si="189"/>
        <v>2.5073107750038623E-12</v>
      </c>
      <c r="GY157" s="60">
        <f t="shared" si="137"/>
        <v>293.33333333333582</v>
      </c>
      <c r="GZ157" s="60">
        <f ca="1">AVERAGE(OFFSET($GY$3,0,0,'Données projet'!$E$18+1,1))-AVERAGE(OFFSET($H$3,0,0,'Données projet'!$E$18+1,1))</f>
        <v>292.57482726862594</v>
      </c>
      <c r="HA157" s="60">
        <f t="shared" si="160"/>
        <v>283.48738729114024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399.92909819003523</v>
      </c>
      <c r="T158" s="60">
        <f t="shared" si="142"/>
        <v>163.7053537268381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-5.6843418860808015E-13</v>
      </c>
      <c r="AJ158" s="14">
        <f>AI158*VLOOKUP('Données projet'!$B$10,Paramètres!$A$1:$I$89,3,0)*VLOOKUP('Données projet'!$B$10,Paramètres!$A$1:$I$89,5,0)</f>
        <v>-3.39923644787632E-13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455.43477166687273</v>
      </c>
      <c r="AO158" s="60">
        <f t="shared" si="144"/>
        <v>312.81310692672895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-9.0949470177292824E-13</v>
      </c>
      <c r="BE158" s="14">
        <f>BD158*VLOOKUP('Données projet'!$B$11,Paramètres!$A$1:$I$89,3,0)*VLOOKUP('Données projet'!$B$11,Paramètres!$A$1:$I$89,5,0)</f>
        <v>-8.2291080616414541E-13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430.11660085503223</v>
      </c>
      <c r="BJ158" s="60">
        <f t="shared" si="146"/>
        <v>231.36959598460686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-9.0949470177292824E-13</v>
      </c>
      <c r="BZ158" s="14">
        <f>BY158*VLOOKUP('Données projet'!$B$12,Paramètres!$A$1:$I$89,3,0)*VLOOKUP('Données projet'!$B$12,Paramètres!$A$1:$I$89,5,0)</f>
        <v>-9.2222762759774924E-13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476.8965664931755</v>
      </c>
      <c r="CE158" s="60">
        <f t="shared" si="148"/>
        <v>254.25036207346591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-9.0949470177292824E-13</v>
      </c>
      <c r="CU158" s="18">
        <f>CT158*VLOOKUP('Données projet'!$B$13,Paramètres!$A$1:$I$89,3,0)*VLOOKUP('Données projet'!$B$13,Paramètres!$A$1:$I$89,5,0)</f>
        <v>-8.7966327555477625E-13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456.86147223520601</v>
      </c>
      <c r="CZ158" s="60">
        <f t="shared" si="150"/>
        <v>244.45149244446094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2.5579538487363607E-13</v>
      </c>
      <c r="DP158" s="18">
        <f>DO158*VLOOKUP('Données projet'!$B$14,Paramètres!$A$1:$I$89,3,0)*VLOOKUP('Données projet'!$B$14,Paramètres!$A$1:$I$89,5,0)</f>
        <v>2.4341488824575211E-13</v>
      </c>
      <c r="DQ158" s="14">
        <f t="shared" si="176"/>
        <v>3.2970717324875541E-12</v>
      </c>
      <c r="DR158" s="22">
        <f t="shared" si="177"/>
        <v>6.1663475311105072E-12</v>
      </c>
      <c r="DS158" s="60">
        <f t="shared" si="125"/>
        <v>293.33333333333945</v>
      </c>
      <c r="DT158" s="60">
        <f ca="1">AVERAGE(OFFSET($DS$3,0,0,'Données projet'!$E$14+1,1))-AVERAGE(OFFSET($H$3,0,0,'Données projet'!$E$14+1,1))</f>
        <v>300.36889324671682</v>
      </c>
      <c r="DU158" s="60">
        <f t="shared" si="152"/>
        <v>214.36051699039683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-4.9658410716801891E-14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202.46844517174412</v>
      </c>
      <c r="EP158" s="60">
        <f t="shared" si="154"/>
        <v>185.00219255324515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7.626113074366004E-14</v>
      </c>
      <c r="FG158" s="14">
        <f t="shared" si="182"/>
        <v>1.1823749172251317E-12</v>
      </c>
      <c r="FH158" s="22">
        <f t="shared" si="183"/>
        <v>2.1921244502123119E-12</v>
      </c>
      <c r="FI158" s="60">
        <f t="shared" si="131"/>
        <v>293.33333333333553</v>
      </c>
      <c r="FJ158" s="60">
        <f ca="1">AVERAGE(OFFSET($FI$3,0,0,'Données projet'!$E$16+1,1))-AVERAGE(OFFSET($H$3,0,0,'Données projet'!$E$16+1,1))</f>
        <v>344.87493856469382</v>
      </c>
      <c r="FK158" s="60">
        <f t="shared" si="156"/>
        <v>261.91036689641402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268.19959446602911</v>
      </c>
      <c r="GF158" s="60">
        <f t="shared" si="158"/>
        <v>691.2533336811855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12.0913798964264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12.0913798964264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1.1368683772161603E-13</v>
      </c>
      <c r="GV158" s="18">
        <f>GU158*VLOOKUP('Données projet'!$B$18,Paramètres!$A$1:$I$89,3,0)*VLOOKUP('Données projet'!$B$18,Paramètres!$A$1:$I$89,5,0)</f>
        <v>8.8675733422860506E-14</v>
      </c>
      <c r="GW158" s="14">
        <f t="shared" si="188"/>
        <v>1.3509285393066301E-12</v>
      </c>
      <c r="GX158" s="22">
        <f t="shared" si="189"/>
        <v>2.5073107750038623E-12</v>
      </c>
      <c r="GY158" s="60">
        <f t="shared" si="137"/>
        <v>293.33333333333582</v>
      </c>
      <c r="GZ158" s="60">
        <f ca="1">AVERAGE(OFFSET($GY$3,0,0,'Données projet'!$E$18+1,1))-AVERAGE(OFFSET($H$3,0,0,'Données projet'!$E$18+1,1))</f>
        <v>292.57482726862594</v>
      </c>
      <c r="HA158" s="60">
        <f t="shared" si="160"/>
        <v>283.48738729114024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399.92909819003523</v>
      </c>
      <c r="T159" s="60">
        <f t="shared" si="142"/>
        <v>163.7053537268381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-5.6843418860808015E-13</v>
      </c>
      <c r="AJ159" s="14">
        <f>AI159*VLOOKUP('Données projet'!$B$10,Paramètres!$A$1:$I$89,3,0)*VLOOKUP('Données projet'!$B$10,Paramètres!$A$1:$I$89,5,0)</f>
        <v>-3.39923644787632E-13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455.43477166687273</v>
      </c>
      <c r="AO159" s="60">
        <f t="shared" si="144"/>
        <v>312.81310692672895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-9.0949470177292824E-13</v>
      </c>
      <c r="BE159" s="14">
        <f>BD159*VLOOKUP('Données projet'!$B$11,Paramètres!$A$1:$I$89,3,0)*VLOOKUP('Données projet'!$B$11,Paramètres!$A$1:$I$89,5,0)</f>
        <v>-8.2291080616414541E-13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430.11660085503223</v>
      </c>
      <c r="BJ159" s="60">
        <f t="shared" si="146"/>
        <v>231.36959598460686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-9.0949470177292824E-13</v>
      </c>
      <c r="BZ159" s="14">
        <f>BY159*VLOOKUP('Données projet'!$B$12,Paramètres!$A$1:$I$89,3,0)*VLOOKUP('Données projet'!$B$12,Paramètres!$A$1:$I$89,5,0)</f>
        <v>-9.2222762759774924E-13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476.8965664931755</v>
      </c>
      <c r="CE159" s="60">
        <f t="shared" si="148"/>
        <v>254.25036207346591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-9.0949470177292824E-13</v>
      </c>
      <c r="CU159" s="18">
        <f>CT159*VLOOKUP('Données projet'!$B$13,Paramètres!$A$1:$I$89,3,0)*VLOOKUP('Données projet'!$B$13,Paramètres!$A$1:$I$89,5,0)</f>
        <v>-8.7966327555477625E-13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456.86147223520601</v>
      </c>
      <c r="CZ159" s="60">
        <f t="shared" si="150"/>
        <v>244.45149244446094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2.5579538487363607E-13</v>
      </c>
      <c r="DP159" s="18">
        <f>DO159*VLOOKUP('Données projet'!$B$14,Paramètres!$A$1:$I$89,3,0)*VLOOKUP('Données projet'!$B$14,Paramètres!$A$1:$I$89,5,0)</f>
        <v>2.4341488824575211E-13</v>
      </c>
      <c r="DQ159" s="14">
        <f t="shared" si="176"/>
        <v>3.2970717324875541E-12</v>
      </c>
      <c r="DR159" s="22">
        <f t="shared" si="177"/>
        <v>6.1663475311105072E-12</v>
      </c>
      <c r="DS159" s="60">
        <f t="shared" si="125"/>
        <v>293.33333333333945</v>
      </c>
      <c r="DT159" s="60">
        <f ca="1">AVERAGE(OFFSET($DS$3,0,0,'Données projet'!$E$14+1,1))-AVERAGE(OFFSET($H$3,0,0,'Données projet'!$E$14+1,1))</f>
        <v>300.36889324671682</v>
      </c>
      <c r="DU159" s="60">
        <f t="shared" si="152"/>
        <v>214.36051699039683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-4.9658410716801891E-14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202.46844517174412</v>
      </c>
      <c r="EP159" s="60">
        <f t="shared" si="154"/>
        <v>185.00219255324515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7.626113074366004E-14</v>
      </c>
      <c r="FG159" s="14">
        <f t="shared" si="182"/>
        <v>1.1823749172251317E-12</v>
      </c>
      <c r="FH159" s="22">
        <f t="shared" si="183"/>
        <v>2.1921244502123119E-12</v>
      </c>
      <c r="FI159" s="60">
        <f t="shared" si="131"/>
        <v>293.33333333333553</v>
      </c>
      <c r="FJ159" s="60">
        <f ca="1">AVERAGE(OFFSET($FI$3,0,0,'Données projet'!$E$16+1,1))-AVERAGE(OFFSET($H$3,0,0,'Données projet'!$E$16+1,1))</f>
        <v>344.87493856469382</v>
      </c>
      <c r="FK159" s="60">
        <f t="shared" si="156"/>
        <v>261.91036689641402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268.19959446602911</v>
      </c>
      <c r="GF159" s="60">
        <f t="shared" si="158"/>
        <v>691.2533336811855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11.854275311670992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11.854275311670992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1.1368683772161603E-13</v>
      </c>
      <c r="GV159" s="18">
        <f>GU159*VLOOKUP('Données projet'!$B$18,Paramètres!$A$1:$I$89,3,0)*VLOOKUP('Données projet'!$B$18,Paramètres!$A$1:$I$89,5,0)</f>
        <v>8.8675733422860506E-14</v>
      </c>
      <c r="GW159" s="14">
        <f t="shared" si="188"/>
        <v>1.3509285393066301E-12</v>
      </c>
      <c r="GX159" s="22">
        <f t="shared" si="189"/>
        <v>2.5073107750038623E-12</v>
      </c>
      <c r="GY159" s="60">
        <f t="shared" si="137"/>
        <v>293.33333333333582</v>
      </c>
      <c r="GZ159" s="60">
        <f ca="1">AVERAGE(OFFSET($GY$3,0,0,'Données projet'!$E$18+1,1))-AVERAGE(OFFSET($H$3,0,0,'Données projet'!$E$18+1,1))</f>
        <v>292.57482726862594</v>
      </c>
      <c r="HA159" s="60">
        <f t="shared" si="160"/>
        <v>283.48738729114024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399.92909819003523</v>
      </c>
      <c r="T160" s="60">
        <f t="shared" si="142"/>
        <v>163.7053537268381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-5.6843418860808015E-13</v>
      </c>
      <c r="AJ160" s="14">
        <f>AI160*VLOOKUP('Données projet'!$B$10,Paramètres!$A$1:$I$89,3,0)*VLOOKUP('Données projet'!$B$10,Paramètres!$A$1:$I$89,5,0)</f>
        <v>-3.39923644787632E-13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455.43477166687273</v>
      </c>
      <c r="AO160" s="60">
        <f t="shared" si="144"/>
        <v>312.81310692672895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-9.0949470177292824E-13</v>
      </c>
      <c r="BE160" s="14">
        <f>BD160*VLOOKUP('Données projet'!$B$11,Paramètres!$A$1:$I$89,3,0)*VLOOKUP('Données projet'!$B$11,Paramètres!$A$1:$I$89,5,0)</f>
        <v>-8.2291080616414541E-13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430.11660085503223</v>
      </c>
      <c r="BJ160" s="60">
        <f t="shared" si="146"/>
        <v>231.36959598460686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-9.0949470177292824E-13</v>
      </c>
      <c r="BZ160" s="14">
        <f>BY160*VLOOKUP('Données projet'!$B$12,Paramètres!$A$1:$I$89,3,0)*VLOOKUP('Données projet'!$B$12,Paramètres!$A$1:$I$89,5,0)</f>
        <v>-9.2222762759774924E-13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476.8965664931755</v>
      </c>
      <c r="CE160" s="60">
        <f t="shared" si="148"/>
        <v>254.25036207346591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-9.0949470177292824E-13</v>
      </c>
      <c r="CU160" s="18">
        <f>CT160*VLOOKUP('Données projet'!$B$13,Paramètres!$A$1:$I$89,3,0)*VLOOKUP('Données projet'!$B$13,Paramètres!$A$1:$I$89,5,0)</f>
        <v>-8.7966327555477625E-13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456.86147223520601</v>
      </c>
      <c r="CZ160" s="60">
        <f t="shared" si="150"/>
        <v>244.45149244446094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2.5579538487363607E-13</v>
      </c>
      <c r="DP160" s="18">
        <f>DO160*VLOOKUP('Données projet'!$B$14,Paramètres!$A$1:$I$89,3,0)*VLOOKUP('Données projet'!$B$14,Paramètres!$A$1:$I$89,5,0)</f>
        <v>2.4341488824575211E-13</v>
      </c>
      <c r="DQ160" s="14">
        <f t="shared" si="176"/>
        <v>3.2970717324875541E-12</v>
      </c>
      <c r="DR160" s="22">
        <f t="shared" si="177"/>
        <v>6.1663475311105072E-12</v>
      </c>
      <c r="DS160" s="60">
        <f t="shared" si="125"/>
        <v>293.33333333333945</v>
      </c>
      <c r="DT160" s="60">
        <f ca="1">AVERAGE(OFFSET($DS$3,0,0,'Données projet'!$E$14+1,1))-AVERAGE(OFFSET($H$3,0,0,'Données projet'!$E$14+1,1))</f>
        <v>300.36889324671682</v>
      </c>
      <c r="DU160" s="60">
        <f t="shared" si="152"/>
        <v>214.36051699039683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-4.9658410716801891E-14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202.46844517174412</v>
      </c>
      <c r="EP160" s="60">
        <f t="shared" si="154"/>
        <v>185.00219255324515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7.626113074366004E-14</v>
      </c>
      <c r="FG160" s="14">
        <f t="shared" si="182"/>
        <v>1.1823749172251317E-12</v>
      </c>
      <c r="FH160" s="22">
        <f t="shared" si="183"/>
        <v>2.1921244502123119E-12</v>
      </c>
      <c r="FI160" s="60">
        <f t="shared" si="131"/>
        <v>293.33333333333553</v>
      </c>
      <c r="FJ160" s="60">
        <f ca="1">AVERAGE(OFFSET($FI$3,0,0,'Données projet'!$E$16+1,1))-AVERAGE(OFFSET($H$3,0,0,'Données projet'!$E$16+1,1))</f>
        <v>344.87493856469382</v>
      </c>
      <c r="FK160" s="60">
        <f t="shared" si="156"/>
        <v>261.91036689641402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268.19959446602911</v>
      </c>
      <c r="GF160" s="60">
        <f t="shared" si="158"/>
        <v>691.2533336811855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11.621820203203121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11.621820203203121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1.1368683772161603E-13</v>
      </c>
      <c r="GV160" s="18">
        <f>GU160*VLOOKUP('Données projet'!$B$18,Paramètres!$A$1:$I$89,3,0)*VLOOKUP('Données projet'!$B$18,Paramètres!$A$1:$I$89,5,0)</f>
        <v>8.8675733422860506E-14</v>
      </c>
      <c r="GW160" s="14">
        <f t="shared" si="188"/>
        <v>1.3509285393066301E-12</v>
      </c>
      <c r="GX160" s="22">
        <f t="shared" si="189"/>
        <v>2.5073107750038623E-12</v>
      </c>
      <c r="GY160" s="60">
        <f t="shared" si="137"/>
        <v>293.33333333333582</v>
      </c>
      <c r="GZ160" s="60">
        <f ca="1">AVERAGE(OFFSET($GY$3,0,0,'Données projet'!$E$18+1,1))-AVERAGE(OFFSET($H$3,0,0,'Données projet'!$E$18+1,1))</f>
        <v>292.57482726862594</v>
      </c>
      <c r="HA160" s="60">
        <f t="shared" si="160"/>
        <v>283.48738729114024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399.92909819003523</v>
      </c>
      <c r="T161" s="60">
        <f t="shared" si="142"/>
        <v>163.7053537268381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-5.6843418860808015E-13</v>
      </c>
      <c r="AJ161" s="14">
        <f>AI161*VLOOKUP('Données projet'!$B$10,Paramètres!$A$1:$I$89,3,0)*VLOOKUP('Données projet'!$B$10,Paramètres!$A$1:$I$89,5,0)</f>
        <v>-3.39923644787632E-13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455.43477166687273</v>
      </c>
      <c r="AO161" s="60">
        <f t="shared" si="144"/>
        <v>312.81310692672895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-9.0949470177292824E-13</v>
      </c>
      <c r="BE161" s="14">
        <f>BD161*VLOOKUP('Données projet'!$B$11,Paramètres!$A$1:$I$89,3,0)*VLOOKUP('Données projet'!$B$11,Paramètres!$A$1:$I$89,5,0)</f>
        <v>-8.2291080616414541E-13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430.11660085503223</v>
      </c>
      <c r="BJ161" s="60">
        <f t="shared" si="146"/>
        <v>231.36959598460686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-9.0949470177292824E-13</v>
      </c>
      <c r="BZ161" s="14">
        <f>BY161*VLOOKUP('Données projet'!$B$12,Paramètres!$A$1:$I$89,3,0)*VLOOKUP('Données projet'!$B$12,Paramètres!$A$1:$I$89,5,0)</f>
        <v>-9.2222762759774924E-13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476.8965664931755</v>
      </c>
      <c r="CE161" s="60">
        <f t="shared" si="148"/>
        <v>254.25036207346591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-9.0949470177292824E-13</v>
      </c>
      <c r="CU161" s="18">
        <f>CT161*VLOOKUP('Données projet'!$B$13,Paramètres!$A$1:$I$89,3,0)*VLOOKUP('Données projet'!$B$13,Paramètres!$A$1:$I$89,5,0)</f>
        <v>-8.7966327555477625E-13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456.86147223520601</v>
      </c>
      <c r="CZ161" s="60">
        <f t="shared" si="150"/>
        <v>244.45149244446094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2.5579538487363607E-13</v>
      </c>
      <c r="DP161" s="18">
        <f>DO161*VLOOKUP('Données projet'!$B$14,Paramètres!$A$1:$I$89,3,0)*VLOOKUP('Données projet'!$B$14,Paramètres!$A$1:$I$89,5,0)</f>
        <v>2.4341488824575211E-13</v>
      </c>
      <c r="DQ161" s="14">
        <f t="shared" si="176"/>
        <v>3.2970717324875541E-12</v>
      </c>
      <c r="DR161" s="22">
        <f t="shared" si="177"/>
        <v>6.1663475311105072E-12</v>
      </c>
      <c r="DS161" s="60">
        <f t="shared" si="125"/>
        <v>293.33333333333945</v>
      </c>
      <c r="DT161" s="60">
        <f ca="1">AVERAGE(OFFSET($DS$3,0,0,'Données projet'!$E$14+1,1))-AVERAGE(OFFSET($H$3,0,0,'Données projet'!$E$14+1,1))</f>
        <v>300.36889324671682</v>
      </c>
      <c r="DU161" s="60">
        <f t="shared" si="152"/>
        <v>214.36051699039683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-4.9658410716801891E-14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202.46844517174412</v>
      </c>
      <c r="EP161" s="60">
        <f t="shared" si="154"/>
        <v>185.00219255324515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7.626113074366004E-14</v>
      </c>
      <c r="FG161" s="14">
        <f t="shared" si="182"/>
        <v>1.1823749172251317E-12</v>
      </c>
      <c r="FH161" s="22">
        <f t="shared" si="183"/>
        <v>2.1921244502123119E-12</v>
      </c>
      <c r="FI161" s="60">
        <f t="shared" si="131"/>
        <v>293.33333333333553</v>
      </c>
      <c r="FJ161" s="60">
        <f ca="1">AVERAGE(OFFSET($FI$3,0,0,'Données projet'!$E$16+1,1))-AVERAGE(OFFSET($H$3,0,0,'Données projet'!$E$16+1,1))</f>
        <v>344.87493856469382</v>
      </c>
      <c r="FK161" s="60">
        <f t="shared" si="156"/>
        <v>261.91036689641402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268.19959446602911</v>
      </c>
      <c r="GF161" s="60">
        <f t="shared" si="158"/>
        <v>691.2533336811855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11.39392339762869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11.39392339762869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1.1368683772161603E-13</v>
      </c>
      <c r="GV161" s="18">
        <f>GU161*VLOOKUP('Données projet'!$B$18,Paramètres!$A$1:$I$89,3,0)*VLOOKUP('Données projet'!$B$18,Paramètres!$A$1:$I$89,5,0)</f>
        <v>8.8675733422860506E-14</v>
      </c>
      <c r="GW161" s="14">
        <f t="shared" si="188"/>
        <v>1.3509285393066301E-12</v>
      </c>
      <c r="GX161" s="22">
        <f t="shared" si="189"/>
        <v>2.5073107750038623E-12</v>
      </c>
      <c r="GY161" s="60">
        <f t="shared" si="137"/>
        <v>293.33333333333582</v>
      </c>
      <c r="GZ161" s="60">
        <f ca="1">AVERAGE(OFFSET($GY$3,0,0,'Données projet'!$E$18+1,1))-AVERAGE(OFFSET($H$3,0,0,'Données projet'!$E$18+1,1))</f>
        <v>292.57482726862594</v>
      </c>
      <c r="HA161" s="60">
        <f t="shared" si="160"/>
        <v>283.48738729114024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399.92909819003523</v>
      </c>
      <c r="T162" s="60">
        <f t="shared" si="142"/>
        <v>163.7053537268381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-5.6843418860808015E-13</v>
      </c>
      <c r="AJ162" s="14">
        <f>AI162*VLOOKUP('Données projet'!$B$10,Paramètres!$A$1:$I$89,3,0)*VLOOKUP('Données projet'!$B$10,Paramètres!$A$1:$I$89,5,0)</f>
        <v>-3.39923644787632E-13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455.43477166687273</v>
      </c>
      <c r="AO162" s="60">
        <f t="shared" si="144"/>
        <v>312.81310692672895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-9.0949470177292824E-13</v>
      </c>
      <c r="BE162" s="14">
        <f>BD162*VLOOKUP('Données projet'!$B$11,Paramètres!$A$1:$I$89,3,0)*VLOOKUP('Données projet'!$B$11,Paramètres!$A$1:$I$89,5,0)</f>
        <v>-8.2291080616414541E-13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430.11660085503223</v>
      </c>
      <c r="BJ162" s="60">
        <f t="shared" si="146"/>
        <v>231.36959598460686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-9.0949470177292824E-13</v>
      </c>
      <c r="BZ162" s="14">
        <f>BY162*VLOOKUP('Données projet'!$B$12,Paramètres!$A$1:$I$89,3,0)*VLOOKUP('Données projet'!$B$12,Paramètres!$A$1:$I$89,5,0)</f>
        <v>-9.2222762759774924E-13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476.8965664931755</v>
      </c>
      <c r="CE162" s="60">
        <f t="shared" si="148"/>
        <v>254.25036207346591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-9.0949470177292824E-13</v>
      </c>
      <c r="CU162" s="18">
        <f>CT162*VLOOKUP('Données projet'!$B$13,Paramètres!$A$1:$I$89,3,0)*VLOOKUP('Données projet'!$B$13,Paramètres!$A$1:$I$89,5,0)</f>
        <v>-8.7966327555477625E-13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456.86147223520601</v>
      </c>
      <c r="CZ162" s="60">
        <f t="shared" si="150"/>
        <v>244.45149244446094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2.5579538487363607E-13</v>
      </c>
      <c r="DP162" s="18">
        <f>DO162*VLOOKUP('Données projet'!$B$14,Paramètres!$A$1:$I$89,3,0)*VLOOKUP('Données projet'!$B$14,Paramètres!$A$1:$I$89,5,0)</f>
        <v>2.4341488824575211E-13</v>
      </c>
      <c r="DQ162" s="14">
        <f t="shared" si="176"/>
        <v>3.2970717324875541E-12</v>
      </c>
      <c r="DR162" s="22">
        <f t="shared" si="177"/>
        <v>6.1663475311105072E-12</v>
      </c>
      <c r="DS162" s="60">
        <f t="shared" si="125"/>
        <v>293.33333333333945</v>
      </c>
      <c r="DT162" s="60">
        <f ca="1">AVERAGE(OFFSET($DS$3,0,0,'Données projet'!$E$14+1,1))-AVERAGE(OFFSET($H$3,0,0,'Données projet'!$E$14+1,1))</f>
        <v>300.36889324671682</v>
      </c>
      <c r="DU162" s="60">
        <f t="shared" si="152"/>
        <v>214.36051699039683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-4.9658410716801891E-14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202.46844517174412</v>
      </c>
      <c r="EP162" s="60">
        <f t="shared" si="154"/>
        <v>185.00219255324515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7.626113074366004E-14</v>
      </c>
      <c r="FG162" s="14">
        <f t="shared" si="182"/>
        <v>1.1823749172251317E-12</v>
      </c>
      <c r="FH162" s="22">
        <f t="shared" si="183"/>
        <v>2.1921244502123119E-12</v>
      </c>
      <c r="FI162" s="60">
        <f t="shared" si="131"/>
        <v>293.33333333333553</v>
      </c>
      <c r="FJ162" s="60">
        <f ca="1">AVERAGE(OFFSET($FI$3,0,0,'Données projet'!$E$16+1,1))-AVERAGE(OFFSET($H$3,0,0,'Données projet'!$E$16+1,1))</f>
        <v>344.87493856469382</v>
      </c>
      <c r="FK162" s="60">
        <f t="shared" si="156"/>
        <v>261.91036689641402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268.19959446602911</v>
      </c>
      <c r="GF162" s="60">
        <f t="shared" si="158"/>
        <v>691.2533336811855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11.170495509408248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11.170495509408248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1.1368683772161603E-13</v>
      </c>
      <c r="GV162" s="18">
        <f>GU162*VLOOKUP('Données projet'!$B$18,Paramètres!$A$1:$I$89,3,0)*VLOOKUP('Données projet'!$B$18,Paramètres!$A$1:$I$89,5,0)</f>
        <v>8.8675733422860506E-14</v>
      </c>
      <c r="GW162" s="14">
        <f t="shared" si="188"/>
        <v>1.3509285393066301E-12</v>
      </c>
      <c r="GX162" s="22">
        <f t="shared" si="189"/>
        <v>2.5073107750038623E-12</v>
      </c>
      <c r="GY162" s="60">
        <f t="shared" si="137"/>
        <v>293.33333333333582</v>
      </c>
      <c r="GZ162" s="60">
        <f ca="1">AVERAGE(OFFSET($GY$3,0,0,'Données projet'!$E$18+1,1))-AVERAGE(OFFSET($H$3,0,0,'Données projet'!$E$18+1,1))</f>
        <v>292.57482726862594</v>
      </c>
      <c r="HA162" s="60">
        <f t="shared" si="160"/>
        <v>283.48738729114024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399.92909819003523</v>
      </c>
      <c r="T163" s="60">
        <f t="shared" si="142"/>
        <v>163.7053537268381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-5.6843418860808015E-13</v>
      </c>
      <c r="AJ163" s="14">
        <f>AI163*VLOOKUP('Données projet'!$B$10,Paramètres!$A$1:$I$89,3,0)*VLOOKUP('Données projet'!$B$10,Paramètres!$A$1:$I$89,5,0)</f>
        <v>-3.39923644787632E-13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455.43477166687273</v>
      </c>
      <c r="AO163" s="60">
        <f t="shared" si="144"/>
        <v>312.81310692672895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-9.0949470177292824E-13</v>
      </c>
      <c r="BE163" s="14">
        <f>BD163*VLOOKUP('Données projet'!$B$11,Paramètres!$A$1:$I$89,3,0)*VLOOKUP('Données projet'!$B$11,Paramètres!$A$1:$I$89,5,0)</f>
        <v>-8.2291080616414541E-13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430.11660085503223</v>
      </c>
      <c r="BJ163" s="60">
        <f t="shared" si="146"/>
        <v>231.36959598460686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-9.0949470177292824E-13</v>
      </c>
      <c r="BZ163" s="14">
        <f>BY163*VLOOKUP('Données projet'!$B$12,Paramètres!$A$1:$I$89,3,0)*VLOOKUP('Données projet'!$B$12,Paramètres!$A$1:$I$89,5,0)</f>
        <v>-9.2222762759774924E-13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476.8965664931755</v>
      </c>
      <c r="CE163" s="60">
        <f t="shared" si="148"/>
        <v>254.25036207346591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-9.0949470177292824E-13</v>
      </c>
      <c r="CU163" s="18">
        <f>CT163*VLOOKUP('Données projet'!$B$13,Paramètres!$A$1:$I$89,3,0)*VLOOKUP('Données projet'!$B$13,Paramètres!$A$1:$I$89,5,0)</f>
        <v>-8.7966327555477625E-13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456.86147223520601</v>
      </c>
      <c r="CZ163" s="60">
        <f t="shared" si="150"/>
        <v>244.45149244446094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2.5579538487363607E-13</v>
      </c>
      <c r="DP163" s="18">
        <f>DO163*VLOOKUP('Données projet'!$B$14,Paramètres!$A$1:$I$89,3,0)*VLOOKUP('Données projet'!$B$14,Paramètres!$A$1:$I$89,5,0)</f>
        <v>2.4341488824575211E-13</v>
      </c>
      <c r="DQ163" s="14">
        <f t="shared" si="176"/>
        <v>3.2970717324875541E-12</v>
      </c>
      <c r="DR163" s="22">
        <f t="shared" si="177"/>
        <v>6.1663475311105072E-12</v>
      </c>
      <c r="DS163" s="60">
        <f t="shared" si="125"/>
        <v>293.33333333333945</v>
      </c>
      <c r="DT163" s="60">
        <f ca="1">AVERAGE(OFFSET($DS$3,0,0,'Données projet'!$E$14+1,1))-AVERAGE(OFFSET($H$3,0,0,'Données projet'!$E$14+1,1))</f>
        <v>300.36889324671682</v>
      </c>
      <c r="DU163" s="60">
        <f t="shared" si="152"/>
        <v>214.36051699039683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-4.9658410716801891E-14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202.46844517174412</v>
      </c>
      <c r="EP163" s="60">
        <f t="shared" si="154"/>
        <v>185.00219255324515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7.626113074366004E-14</v>
      </c>
      <c r="FG163" s="14">
        <f t="shared" si="182"/>
        <v>1.1823749172251317E-12</v>
      </c>
      <c r="FH163" s="22">
        <f t="shared" si="183"/>
        <v>2.1921244502123119E-12</v>
      </c>
      <c r="FI163" s="60">
        <f t="shared" si="131"/>
        <v>293.33333333333553</v>
      </c>
      <c r="FJ163" s="60">
        <f ca="1">AVERAGE(OFFSET($FI$3,0,0,'Données projet'!$E$16+1,1))-AVERAGE(OFFSET($H$3,0,0,'Données projet'!$E$16+1,1))</f>
        <v>344.87493856469382</v>
      </c>
      <c r="FK163" s="60">
        <f t="shared" si="156"/>
        <v>261.91036689641402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268.19959446602911</v>
      </c>
      <c r="GF163" s="60">
        <f t="shared" si="158"/>
        <v>691.2533336811855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10.951448905798252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10.951448905798252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1.1368683772161603E-13</v>
      </c>
      <c r="GV163" s="18">
        <f>GU163*VLOOKUP('Données projet'!$B$18,Paramètres!$A$1:$I$89,3,0)*VLOOKUP('Données projet'!$B$18,Paramètres!$A$1:$I$89,5,0)</f>
        <v>8.8675733422860506E-14</v>
      </c>
      <c r="GW163" s="14">
        <f t="shared" si="188"/>
        <v>1.3509285393066301E-12</v>
      </c>
      <c r="GX163" s="22">
        <f t="shared" si="189"/>
        <v>2.5073107750038623E-12</v>
      </c>
      <c r="GY163" s="60">
        <f t="shared" si="137"/>
        <v>293.33333333333582</v>
      </c>
      <c r="GZ163" s="60">
        <f ca="1">AVERAGE(OFFSET($GY$3,0,0,'Données projet'!$E$18+1,1))-AVERAGE(OFFSET($H$3,0,0,'Données projet'!$E$18+1,1))</f>
        <v>292.57482726862594</v>
      </c>
      <c r="HA163" s="60">
        <f t="shared" si="160"/>
        <v>283.48738729114024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399.92909819003523</v>
      </c>
      <c r="T164" s="60">
        <f t="shared" si="142"/>
        <v>163.7053537268381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-5.6843418860808015E-13</v>
      </c>
      <c r="AJ164" s="14">
        <f>AI164*VLOOKUP('Données projet'!$B$10,Paramètres!$A$1:$I$89,3,0)*VLOOKUP('Données projet'!$B$10,Paramètres!$A$1:$I$89,5,0)</f>
        <v>-3.39923644787632E-13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455.43477166687273</v>
      </c>
      <c r="AO164" s="60">
        <f t="shared" si="144"/>
        <v>312.81310692672895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-9.0949470177292824E-13</v>
      </c>
      <c r="BE164" s="14">
        <f>BD164*VLOOKUP('Données projet'!$B$11,Paramètres!$A$1:$I$89,3,0)*VLOOKUP('Données projet'!$B$11,Paramètres!$A$1:$I$89,5,0)</f>
        <v>-8.2291080616414541E-13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430.11660085503223</v>
      </c>
      <c r="BJ164" s="60">
        <f t="shared" si="146"/>
        <v>231.36959598460686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-9.0949470177292824E-13</v>
      </c>
      <c r="BZ164" s="14">
        <f>BY164*VLOOKUP('Données projet'!$B$12,Paramètres!$A$1:$I$89,3,0)*VLOOKUP('Données projet'!$B$12,Paramètres!$A$1:$I$89,5,0)</f>
        <v>-9.2222762759774924E-13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476.8965664931755</v>
      </c>
      <c r="CE164" s="60">
        <f t="shared" si="148"/>
        <v>254.25036207346591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-9.0949470177292824E-13</v>
      </c>
      <c r="CU164" s="18">
        <f>CT164*VLOOKUP('Données projet'!$B$13,Paramètres!$A$1:$I$89,3,0)*VLOOKUP('Données projet'!$B$13,Paramètres!$A$1:$I$89,5,0)</f>
        <v>-8.7966327555477625E-13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456.86147223520601</v>
      </c>
      <c r="CZ164" s="60">
        <f t="shared" si="150"/>
        <v>244.45149244446094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2.5579538487363607E-13</v>
      </c>
      <c r="DP164" s="18">
        <f>DO164*VLOOKUP('Données projet'!$B$14,Paramètres!$A$1:$I$89,3,0)*VLOOKUP('Données projet'!$B$14,Paramètres!$A$1:$I$89,5,0)</f>
        <v>2.4341488824575211E-13</v>
      </c>
      <c r="DQ164" s="14">
        <f t="shared" si="176"/>
        <v>3.2970717324875541E-12</v>
      </c>
      <c r="DR164" s="22">
        <f t="shared" si="177"/>
        <v>6.1663475311105072E-12</v>
      </c>
      <c r="DS164" s="60">
        <f t="shared" si="125"/>
        <v>293.33333333333945</v>
      </c>
      <c r="DT164" s="60">
        <f ca="1">AVERAGE(OFFSET($DS$3,0,0,'Données projet'!$E$14+1,1))-AVERAGE(OFFSET($H$3,0,0,'Données projet'!$E$14+1,1))</f>
        <v>300.36889324671682</v>
      </c>
      <c r="DU164" s="60">
        <f t="shared" si="152"/>
        <v>214.36051699039683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-4.9658410716801891E-14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202.46844517174412</v>
      </c>
      <c r="EP164" s="60">
        <f t="shared" si="154"/>
        <v>185.00219255324515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7.626113074366004E-14</v>
      </c>
      <c r="FG164" s="14">
        <f t="shared" si="182"/>
        <v>1.1823749172251317E-12</v>
      </c>
      <c r="FH164" s="22">
        <f t="shared" si="183"/>
        <v>2.1921244502123119E-12</v>
      </c>
      <c r="FI164" s="60">
        <f t="shared" si="131"/>
        <v>293.33333333333553</v>
      </c>
      <c r="FJ164" s="60">
        <f ca="1">AVERAGE(OFFSET($FI$3,0,0,'Données projet'!$E$16+1,1))-AVERAGE(OFFSET($H$3,0,0,'Données projet'!$E$16+1,1))</f>
        <v>344.87493856469382</v>
      </c>
      <c r="FK164" s="60">
        <f t="shared" si="156"/>
        <v>261.91036689641402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268.19959446602911</v>
      </c>
      <c r="GF164" s="60">
        <f t="shared" si="158"/>
        <v>691.2533336811855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10.736697672479812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10.736697672479812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1.1368683772161603E-13</v>
      </c>
      <c r="GV164" s="18">
        <f>GU164*VLOOKUP('Données projet'!$B$18,Paramètres!$A$1:$I$89,3,0)*VLOOKUP('Données projet'!$B$18,Paramètres!$A$1:$I$89,5,0)</f>
        <v>8.8675733422860506E-14</v>
      </c>
      <c r="GW164" s="14">
        <f t="shared" si="188"/>
        <v>1.3509285393066301E-12</v>
      </c>
      <c r="GX164" s="22">
        <f t="shared" si="189"/>
        <v>2.5073107750038623E-12</v>
      </c>
      <c r="GY164" s="60">
        <f t="shared" si="137"/>
        <v>293.33333333333582</v>
      </c>
      <c r="GZ164" s="60">
        <f ca="1">AVERAGE(OFFSET($GY$3,0,0,'Données projet'!$E$18+1,1))-AVERAGE(OFFSET($H$3,0,0,'Données projet'!$E$18+1,1))</f>
        <v>292.57482726862594</v>
      </c>
      <c r="HA164" s="60">
        <f t="shared" si="160"/>
        <v>283.48738729114024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399.92909819003523</v>
      </c>
      <c r="T165" s="60">
        <f t="shared" si="142"/>
        <v>163.7053537268381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-5.6843418860808015E-13</v>
      </c>
      <c r="AJ165" s="14">
        <f>AI165*VLOOKUP('Données projet'!$B$10,Paramètres!$A$1:$I$89,3,0)*VLOOKUP('Données projet'!$B$10,Paramètres!$A$1:$I$89,5,0)</f>
        <v>-3.39923644787632E-13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455.43477166687273</v>
      </c>
      <c r="AO165" s="60">
        <f t="shared" si="144"/>
        <v>312.81310692672895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-9.0949470177292824E-13</v>
      </c>
      <c r="BE165" s="14">
        <f>BD165*VLOOKUP('Données projet'!$B$11,Paramètres!$A$1:$I$89,3,0)*VLOOKUP('Données projet'!$B$11,Paramètres!$A$1:$I$89,5,0)</f>
        <v>-8.2291080616414541E-13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430.11660085503223</v>
      </c>
      <c r="BJ165" s="60">
        <f t="shared" si="146"/>
        <v>231.36959598460686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-9.0949470177292824E-13</v>
      </c>
      <c r="BZ165" s="14">
        <f>BY165*VLOOKUP('Données projet'!$B$12,Paramètres!$A$1:$I$89,3,0)*VLOOKUP('Données projet'!$B$12,Paramètres!$A$1:$I$89,5,0)</f>
        <v>-9.2222762759774924E-13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476.8965664931755</v>
      </c>
      <c r="CE165" s="60">
        <f t="shared" si="148"/>
        <v>254.25036207346591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-9.0949470177292824E-13</v>
      </c>
      <c r="CU165" s="18">
        <f>CT165*VLOOKUP('Données projet'!$B$13,Paramètres!$A$1:$I$89,3,0)*VLOOKUP('Données projet'!$B$13,Paramètres!$A$1:$I$89,5,0)</f>
        <v>-8.7966327555477625E-13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456.86147223520601</v>
      </c>
      <c r="CZ165" s="60">
        <f t="shared" si="150"/>
        <v>244.45149244446094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2.5579538487363607E-13</v>
      </c>
      <c r="DP165" s="18">
        <f>DO165*VLOOKUP('Données projet'!$B$14,Paramètres!$A$1:$I$89,3,0)*VLOOKUP('Données projet'!$B$14,Paramètres!$A$1:$I$89,5,0)</f>
        <v>2.4341488824575211E-13</v>
      </c>
      <c r="DQ165" s="14">
        <f t="shared" si="176"/>
        <v>3.2970717324875541E-12</v>
      </c>
      <c r="DR165" s="22">
        <f t="shared" si="177"/>
        <v>6.1663475311105072E-12</v>
      </c>
      <c r="DS165" s="60">
        <f t="shared" si="125"/>
        <v>293.33333333333945</v>
      </c>
      <c r="DT165" s="60">
        <f ca="1">AVERAGE(OFFSET($DS$3,0,0,'Données projet'!$E$14+1,1))-AVERAGE(OFFSET($H$3,0,0,'Données projet'!$E$14+1,1))</f>
        <v>300.36889324671682</v>
      </c>
      <c r="DU165" s="60">
        <f t="shared" si="152"/>
        <v>214.36051699039683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-4.9658410716801891E-14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202.46844517174412</v>
      </c>
      <c r="EP165" s="60">
        <f t="shared" si="154"/>
        <v>185.00219255324515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7.626113074366004E-14</v>
      </c>
      <c r="FG165" s="14">
        <f t="shared" si="182"/>
        <v>1.1823749172251317E-12</v>
      </c>
      <c r="FH165" s="22">
        <f t="shared" si="183"/>
        <v>2.1921244502123119E-12</v>
      </c>
      <c r="FI165" s="60">
        <f t="shared" si="131"/>
        <v>293.33333333333553</v>
      </c>
      <c r="FJ165" s="60">
        <f ca="1">AVERAGE(OFFSET($FI$3,0,0,'Données projet'!$E$16+1,1))-AVERAGE(OFFSET($H$3,0,0,'Données projet'!$E$16+1,1))</f>
        <v>344.87493856469382</v>
      </c>
      <c r="FK165" s="60">
        <f t="shared" si="156"/>
        <v>261.91036689641402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268.19959446602911</v>
      </c>
      <c r="GF165" s="60">
        <f t="shared" si="158"/>
        <v>691.2533336811855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10.526157579861428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10.526157579861428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1.1368683772161603E-13</v>
      </c>
      <c r="GV165" s="18">
        <f>GU165*VLOOKUP('Données projet'!$B$18,Paramètres!$A$1:$I$89,3,0)*VLOOKUP('Données projet'!$B$18,Paramètres!$A$1:$I$89,5,0)</f>
        <v>8.8675733422860506E-14</v>
      </c>
      <c r="GW165" s="14">
        <f t="shared" si="188"/>
        <v>1.3509285393066301E-12</v>
      </c>
      <c r="GX165" s="22">
        <f t="shared" si="189"/>
        <v>2.5073107750038623E-12</v>
      </c>
      <c r="GY165" s="60">
        <f t="shared" si="137"/>
        <v>293.33333333333582</v>
      </c>
      <c r="GZ165" s="60">
        <f ca="1">AVERAGE(OFFSET($GY$3,0,0,'Données projet'!$E$18+1,1))-AVERAGE(OFFSET($H$3,0,0,'Données projet'!$E$18+1,1))</f>
        <v>292.57482726862594</v>
      </c>
      <c r="HA165" s="60">
        <f t="shared" si="160"/>
        <v>283.48738729114024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399.92909819003523</v>
      </c>
      <c r="T166" s="60">
        <f t="shared" si="142"/>
        <v>163.7053537268381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-5.6843418860808015E-13</v>
      </c>
      <c r="AJ166" s="14">
        <f>AI166*VLOOKUP('Données projet'!$B$10,Paramètres!$A$1:$I$89,3,0)*VLOOKUP('Données projet'!$B$10,Paramètres!$A$1:$I$89,5,0)</f>
        <v>-3.39923644787632E-13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455.43477166687273</v>
      </c>
      <c r="AO166" s="60">
        <f t="shared" si="144"/>
        <v>312.81310692672895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-9.0949470177292824E-13</v>
      </c>
      <c r="BE166" s="14">
        <f>BD166*VLOOKUP('Données projet'!$B$11,Paramètres!$A$1:$I$89,3,0)*VLOOKUP('Données projet'!$B$11,Paramètres!$A$1:$I$89,5,0)</f>
        <v>-8.2291080616414541E-13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430.11660085503223</v>
      </c>
      <c r="BJ166" s="60">
        <f t="shared" si="146"/>
        <v>231.36959598460686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-9.0949470177292824E-13</v>
      </c>
      <c r="BZ166" s="14">
        <f>BY166*VLOOKUP('Données projet'!$B$12,Paramètres!$A$1:$I$89,3,0)*VLOOKUP('Données projet'!$B$12,Paramètres!$A$1:$I$89,5,0)</f>
        <v>-9.2222762759774924E-13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476.8965664931755</v>
      </c>
      <c r="CE166" s="60">
        <f t="shared" si="148"/>
        <v>254.25036207346591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-9.0949470177292824E-13</v>
      </c>
      <c r="CU166" s="18">
        <f>CT166*VLOOKUP('Données projet'!$B$13,Paramètres!$A$1:$I$89,3,0)*VLOOKUP('Données projet'!$B$13,Paramètres!$A$1:$I$89,5,0)</f>
        <v>-8.7966327555477625E-13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456.86147223520601</v>
      </c>
      <c r="CZ166" s="60">
        <f t="shared" si="150"/>
        <v>244.45149244446094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2.5579538487363607E-13</v>
      </c>
      <c r="DP166" s="18">
        <f>DO166*VLOOKUP('Données projet'!$B$14,Paramètres!$A$1:$I$89,3,0)*VLOOKUP('Données projet'!$B$14,Paramètres!$A$1:$I$89,5,0)</f>
        <v>2.4341488824575211E-13</v>
      </c>
      <c r="DQ166" s="14">
        <f t="shared" si="176"/>
        <v>3.2970717324875541E-12</v>
      </c>
      <c r="DR166" s="22">
        <f t="shared" si="177"/>
        <v>6.1663475311105072E-12</v>
      </c>
      <c r="DS166" s="60">
        <f t="shared" si="125"/>
        <v>293.33333333333945</v>
      </c>
      <c r="DT166" s="60">
        <f ca="1">AVERAGE(OFFSET($DS$3,0,0,'Données projet'!$E$14+1,1))-AVERAGE(OFFSET($H$3,0,0,'Données projet'!$E$14+1,1))</f>
        <v>300.36889324671682</v>
      </c>
      <c r="DU166" s="60">
        <f t="shared" si="152"/>
        <v>214.36051699039683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-4.9658410716801891E-14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202.46844517174412</v>
      </c>
      <c r="EP166" s="60">
        <f t="shared" si="154"/>
        <v>185.00219255324515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7.626113074366004E-14</v>
      </c>
      <c r="FG166" s="14">
        <f t="shared" si="182"/>
        <v>1.1823749172251317E-12</v>
      </c>
      <c r="FH166" s="22">
        <f t="shared" si="183"/>
        <v>2.1921244502123119E-12</v>
      </c>
      <c r="FI166" s="60">
        <f t="shared" si="131"/>
        <v>293.33333333333553</v>
      </c>
      <c r="FJ166" s="60">
        <f ca="1">AVERAGE(OFFSET($FI$3,0,0,'Données projet'!$E$16+1,1))-AVERAGE(OFFSET($H$3,0,0,'Données projet'!$E$16+1,1))</f>
        <v>344.87493856469382</v>
      </c>
      <c r="FK166" s="60">
        <f t="shared" si="156"/>
        <v>261.91036689641402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268.19959446602911</v>
      </c>
      <c r="GF166" s="60">
        <f t="shared" si="158"/>
        <v>691.2533336811855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10.319746050042514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10.319746050042514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1.1368683772161603E-13</v>
      </c>
      <c r="GV166" s="18">
        <f>GU166*VLOOKUP('Données projet'!$B$18,Paramètres!$A$1:$I$89,3,0)*VLOOKUP('Données projet'!$B$18,Paramètres!$A$1:$I$89,5,0)</f>
        <v>8.8675733422860506E-14</v>
      </c>
      <c r="GW166" s="14">
        <f t="shared" si="188"/>
        <v>1.3509285393066301E-12</v>
      </c>
      <c r="GX166" s="22">
        <f t="shared" si="189"/>
        <v>2.5073107750038623E-12</v>
      </c>
      <c r="GY166" s="60">
        <f t="shared" si="137"/>
        <v>293.33333333333582</v>
      </c>
      <c r="GZ166" s="60">
        <f ca="1">AVERAGE(OFFSET($GY$3,0,0,'Données projet'!$E$18+1,1))-AVERAGE(OFFSET($H$3,0,0,'Données projet'!$E$18+1,1))</f>
        <v>292.57482726862594</v>
      </c>
      <c r="HA166" s="60">
        <f t="shared" si="160"/>
        <v>283.48738729114024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399.92909819003523</v>
      </c>
      <c r="T167" s="60">
        <f t="shared" si="142"/>
        <v>163.7053537268381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-5.6843418860808015E-13</v>
      </c>
      <c r="AJ167" s="14">
        <f>AI167*VLOOKUP('Données projet'!$B$10,Paramètres!$A$1:$I$89,3,0)*VLOOKUP('Données projet'!$B$10,Paramètres!$A$1:$I$89,5,0)</f>
        <v>-3.39923644787632E-13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455.43477166687273</v>
      </c>
      <c r="AO167" s="60">
        <f t="shared" si="144"/>
        <v>312.81310692672895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-9.0949470177292824E-13</v>
      </c>
      <c r="BE167" s="14">
        <f>BD167*VLOOKUP('Données projet'!$B$11,Paramètres!$A$1:$I$89,3,0)*VLOOKUP('Données projet'!$B$11,Paramètres!$A$1:$I$89,5,0)</f>
        <v>-8.2291080616414541E-13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430.11660085503223</v>
      </c>
      <c r="BJ167" s="60">
        <f t="shared" si="146"/>
        <v>231.36959598460686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-9.0949470177292824E-13</v>
      </c>
      <c r="BZ167" s="14">
        <f>BY167*VLOOKUP('Données projet'!$B$12,Paramètres!$A$1:$I$89,3,0)*VLOOKUP('Données projet'!$B$12,Paramètres!$A$1:$I$89,5,0)</f>
        <v>-9.2222762759774924E-13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476.8965664931755</v>
      </c>
      <c r="CE167" s="60">
        <f t="shared" si="148"/>
        <v>254.25036207346591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-9.0949470177292824E-13</v>
      </c>
      <c r="CU167" s="18">
        <f>CT167*VLOOKUP('Données projet'!$B$13,Paramètres!$A$1:$I$89,3,0)*VLOOKUP('Données projet'!$B$13,Paramètres!$A$1:$I$89,5,0)</f>
        <v>-8.7966327555477625E-13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456.86147223520601</v>
      </c>
      <c r="CZ167" s="60">
        <f t="shared" si="150"/>
        <v>244.45149244446094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2.5579538487363607E-13</v>
      </c>
      <c r="DP167" s="18">
        <f>DO167*VLOOKUP('Données projet'!$B$14,Paramètres!$A$1:$I$89,3,0)*VLOOKUP('Données projet'!$B$14,Paramètres!$A$1:$I$89,5,0)</f>
        <v>2.4341488824575211E-13</v>
      </c>
      <c r="DQ167" s="14">
        <f t="shared" si="176"/>
        <v>3.2970717324875541E-12</v>
      </c>
      <c r="DR167" s="22">
        <f t="shared" si="177"/>
        <v>6.1663475311105072E-12</v>
      </c>
      <c r="DS167" s="60">
        <f t="shared" si="125"/>
        <v>293.33333333333945</v>
      </c>
      <c r="DT167" s="60">
        <f ca="1">AVERAGE(OFFSET($DS$3,0,0,'Données projet'!$E$14+1,1))-AVERAGE(OFFSET($H$3,0,0,'Données projet'!$E$14+1,1))</f>
        <v>300.36889324671682</v>
      </c>
      <c r="DU167" s="60">
        <f t="shared" si="152"/>
        <v>214.36051699039683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-4.9658410716801891E-14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202.46844517174412</v>
      </c>
      <c r="EP167" s="60">
        <f t="shared" si="154"/>
        <v>185.00219255324515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7.626113074366004E-14</v>
      </c>
      <c r="FG167" s="14">
        <f t="shared" si="182"/>
        <v>1.1823749172251317E-12</v>
      </c>
      <c r="FH167" s="22">
        <f t="shared" si="183"/>
        <v>2.1921244502123119E-12</v>
      </c>
      <c r="FI167" s="60">
        <f t="shared" si="131"/>
        <v>293.33333333333553</v>
      </c>
      <c r="FJ167" s="60">
        <f ca="1">AVERAGE(OFFSET($FI$3,0,0,'Données projet'!$E$16+1,1))-AVERAGE(OFFSET($H$3,0,0,'Données projet'!$E$16+1,1))</f>
        <v>344.87493856469382</v>
      </c>
      <c r="FK167" s="60">
        <f t="shared" si="156"/>
        <v>261.91036689641402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268.19959446602911</v>
      </c>
      <c r="GF167" s="60">
        <f t="shared" si="158"/>
        <v>691.2533336811855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10.117382124424749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10.117382124424749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1.1368683772161603E-13</v>
      </c>
      <c r="GV167" s="18">
        <f>GU167*VLOOKUP('Données projet'!$B$18,Paramètres!$A$1:$I$89,3,0)*VLOOKUP('Données projet'!$B$18,Paramètres!$A$1:$I$89,5,0)</f>
        <v>8.8675733422860506E-14</v>
      </c>
      <c r="GW167" s="14">
        <f t="shared" si="188"/>
        <v>1.3509285393066301E-12</v>
      </c>
      <c r="GX167" s="22">
        <f t="shared" si="189"/>
        <v>2.5073107750038623E-12</v>
      </c>
      <c r="GY167" s="60">
        <f t="shared" si="137"/>
        <v>293.33333333333582</v>
      </c>
      <c r="GZ167" s="60">
        <f ca="1">AVERAGE(OFFSET($GY$3,0,0,'Données projet'!$E$18+1,1))-AVERAGE(OFFSET($H$3,0,0,'Données projet'!$E$18+1,1))</f>
        <v>292.57482726862594</v>
      </c>
      <c r="HA167" s="60">
        <f t="shared" si="160"/>
        <v>283.48738729114024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399.92909819003523</v>
      </c>
      <c r="T168" s="60">
        <f t="shared" si="142"/>
        <v>163.7053537268381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-5.6843418860808015E-13</v>
      </c>
      <c r="AJ168" s="14">
        <f>AI168*VLOOKUP('Données projet'!$B$10,Paramètres!$A$1:$I$89,3,0)*VLOOKUP('Données projet'!$B$10,Paramètres!$A$1:$I$89,5,0)</f>
        <v>-3.39923644787632E-13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455.43477166687273</v>
      </c>
      <c r="AO168" s="60">
        <f t="shared" si="144"/>
        <v>312.81310692672895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-9.0949470177292824E-13</v>
      </c>
      <c r="BE168" s="14">
        <f>BD168*VLOOKUP('Données projet'!$B$11,Paramètres!$A$1:$I$89,3,0)*VLOOKUP('Données projet'!$B$11,Paramètres!$A$1:$I$89,5,0)</f>
        <v>-8.2291080616414541E-13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430.11660085503223</v>
      </c>
      <c r="BJ168" s="60">
        <f t="shared" si="146"/>
        <v>231.36959598460686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-9.0949470177292824E-13</v>
      </c>
      <c r="BZ168" s="14">
        <f>BY168*VLOOKUP('Données projet'!$B$12,Paramètres!$A$1:$I$89,3,0)*VLOOKUP('Données projet'!$B$12,Paramètres!$A$1:$I$89,5,0)</f>
        <v>-9.2222762759774924E-13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476.8965664931755</v>
      </c>
      <c r="CE168" s="60">
        <f t="shared" si="148"/>
        <v>254.25036207346591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-9.0949470177292824E-13</v>
      </c>
      <c r="CU168" s="18">
        <f>CT168*VLOOKUP('Données projet'!$B$13,Paramètres!$A$1:$I$89,3,0)*VLOOKUP('Données projet'!$B$13,Paramètres!$A$1:$I$89,5,0)</f>
        <v>-8.7966327555477625E-13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456.86147223520601</v>
      </c>
      <c r="CZ168" s="60">
        <f t="shared" si="150"/>
        <v>244.45149244446094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2.5579538487363607E-13</v>
      </c>
      <c r="DP168" s="18">
        <f>DO168*VLOOKUP('Données projet'!$B$14,Paramètres!$A$1:$I$89,3,0)*VLOOKUP('Données projet'!$B$14,Paramètres!$A$1:$I$89,5,0)</f>
        <v>2.4341488824575211E-13</v>
      </c>
      <c r="DQ168" s="14">
        <f t="shared" si="176"/>
        <v>3.2970717324875541E-12</v>
      </c>
      <c r="DR168" s="22">
        <f t="shared" si="177"/>
        <v>6.1663475311105072E-12</v>
      </c>
      <c r="DS168" s="60">
        <f t="shared" si="125"/>
        <v>293.33333333333945</v>
      </c>
      <c r="DT168" s="60">
        <f ca="1">AVERAGE(OFFSET($DS$3,0,0,'Données projet'!$E$14+1,1))-AVERAGE(OFFSET($H$3,0,0,'Données projet'!$E$14+1,1))</f>
        <v>300.36889324671682</v>
      </c>
      <c r="DU168" s="60">
        <f t="shared" si="152"/>
        <v>214.36051699039683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-4.9658410716801891E-14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202.46844517174412</v>
      </c>
      <c r="EP168" s="60">
        <f t="shared" si="154"/>
        <v>185.00219255324515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7.626113074366004E-14</v>
      </c>
      <c r="FG168" s="14">
        <f t="shared" si="182"/>
        <v>1.1823749172251317E-12</v>
      </c>
      <c r="FH168" s="22">
        <f t="shared" si="183"/>
        <v>2.1921244502123119E-12</v>
      </c>
      <c r="FI168" s="60">
        <f t="shared" si="131"/>
        <v>293.33333333333553</v>
      </c>
      <c r="FJ168" s="60">
        <f ca="1">AVERAGE(OFFSET($FI$3,0,0,'Données projet'!$E$16+1,1))-AVERAGE(OFFSET($H$3,0,0,'Données projet'!$E$16+1,1))</f>
        <v>344.87493856469382</v>
      </c>
      <c r="FK168" s="60">
        <f t="shared" si="156"/>
        <v>261.91036689641402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268.19959446602911</v>
      </c>
      <c r="GF168" s="60">
        <f t="shared" si="158"/>
        <v>691.2533336811855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9.9189864319585404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9.9189864319585404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1.1368683772161603E-13</v>
      </c>
      <c r="GV168" s="18">
        <f>GU168*VLOOKUP('Données projet'!$B$18,Paramètres!$A$1:$I$89,3,0)*VLOOKUP('Données projet'!$B$18,Paramètres!$A$1:$I$89,5,0)</f>
        <v>8.8675733422860506E-14</v>
      </c>
      <c r="GW168" s="14">
        <f t="shared" si="188"/>
        <v>1.3509285393066301E-12</v>
      </c>
      <c r="GX168" s="22">
        <f t="shared" si="189"/>
        <v>2.5073107750038623E-12</v>
      </c>
      <c r="GY168" s="60">
        <f t="shared" si="137"/>
        <v>293.33333333333582</v>
      </c>
      <c r="GZ168" s="60">
        <f ca="1">AVERAGE(OFFSET($GY$3,0,0,'Données projet'!$E$18+1,1))-AVERAGE(OFFSET($H$3,0,0,'Données projet'!$E$18+1,1))</f>
        <v>292.57482726862594</v>
      </c>
      <c r="HA168" s="60">
        <f t="shared" si="160"/>
        <v>283.48738729114024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399.92909819003523</v>
      </c>
      <c r="T169" s="60">
        <f t="shared" si="142"/>
        <v>163.7053537268381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-5.6843418860808015E-13</v>
      </c>
      <c r="AJ169" s="14">
        <f>AI169*VLOOKUP('Données projet'!$B$10,Paramètres!$A$1:$I$89,3,0)*VLOOKUP('Données projet'!$B$10,Paramètres!$A$1:$I$89,5,0)</f>
        <v>-3.39923644787632E-13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455.43477166687273</v>
      </c>
      <c r="AO169" s="60">
        <f t="shared" si="144"/>
        <v>312.81310692672895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-9.0949470177292824E-13</v>
      </c>
      <c r="BE169" s="14">
        <f>BD169*VLOOKUP('Données projet'!$B$11,Paramètres!$A$1:$I$89,3,0)*VLOOKUP('Données projet'!$B$11,Paramètres!$A$1:$I$89,5,0)</f>
        <v>-8.2291080616414541E-13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430.11660085503223</v>
      </c>
      <c r="BJ169" s="60">
        <f t="shared" si="146"/>
        <v>231.36959598460686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-9.0949470177292824E-13</v>
      </c>
      <c r="BZ169" s="14">
        <f>BY169*VLOOKUP('Données projet'!$B$12,Paramètres!$A$1:$I$89,3,0)*VLOOKUP('Données projet'!$B$12,Paramètres!$A$1:$I$89,5,0)</f>
        <v>-9.2222762759774924E-13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476.8965664931755</v>
      </c>
      <c r="CE169" s="60">
        <f t="shared" si="148"/>
        <v>254.25036207346591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-9.0949470177292824E-13</v>
      </c>
      <c r="CU169" s="18">
        <f>CT169*VLOOKUP('Données projet'!$B$13,Paramètres!$A$1:$I$89,3,0)*VLOOKUP('Données projet'!$B$13,Paramètres!$A$1:$I$89,5,0)</f>
        <v>-8.7966327555477625E-13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456.86147223520601</v>
      </c>
      <c r="CZ169" s="60">
        <f t="shared" si="150"/>
        <v>244.45149244446094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2.5579538487363607E-13</v>
      </c>
      <c r="DP169" s="18">
        <f>DO169*VLOOKUP('Données projet'!$B$14,Paramètres!$A$1:$I$89,3,0)*VLOOKUP('Données projet'!$B$14,Paramètres!$A$1:$I$89,5,0)</f>
        <v>2.4341488824575211E-13</v>
      </c>
      <c r="DQ169" s="14">
        <f t="shared" si="176"/>
        <v>3.2970717324875541E-12</v>
      </c>
      <c r="DR169" s="22">
        <f t="shared" si="177"/>
        <v>6.1663475311105072E-12</v>
      </c>
      <c r="DS169" s="60">
        <f t="shared" si="125"/>
        <v>293.33333333333945</v>
      </c>
      <c r="DT169" s="60">
        <f ca="1">AVERAGE(OFFSET($DS$3,0,0,'Données projet'!$E$14+1,1))-AVERAGE(OFFSET($H$3,0,0,'Données projet'!$E$14+1,1))</f>
        <v>300.36889324671682</v>
      </c>
      <c r="DU169" s="60">
        <f t="shared" si="152"/>
        <v>214.36051699039683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-4.9658410716801891E-14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202.46844517174412</v>
      </c>
      <c r="EP169" s="60">
        <f t="shared" si="154"/>
        <v>185.00219255324515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7.626113074366004E-14</v>
      </c>
      <c r="FG169" s="14">
        <f t="shared" si="182"/>
        <v>1.1823749172251317E-12</v>
      </c>
      <c r="FH169" s="22">
        <f t="shared" si="183"/>
        <v>2.1921244502123119E-12</v>
      </c>
      <c r="FI169" s="60">
        <f t="shared" si="131"/>
        <v>293.33333333333553</v>
      </c>
      <c r="FJ169" s="60">
        <f ca="1">AVERAGE(OFFSET($FI$3,0,0,'Données projet'!$E$16+1,1))-AVERAGE(OFFSET($H$3,0,0,'Données projet'!$E$16+1,1))</f>
        <v>344.87493856469382</v>
      </c>
      <c r="FK169" s="60">
        <f t="shared" si="156"/>
        <v>261.91036689641402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268.19959446602911</v>
      </c>
      <c r="GF169" s="60">
        <f t="shared" si="158"/>
        <v>691.2533336811855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9.7244811580121713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9.7244811580121713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1.1368683772161603E-13</v>
      </c>
      <c r="GV169" s="18">
        <f>GU169*VLOOKUP('Données projet'!$B$18,Paramètres!$A$1:$I$89,3,0)*VLOOKUP('Données projet'!$B$18,Paramètres!$A$1:$I$89,5,0)</f>
        <v>8.8675733422860506E-14</v>
      </c>
      <c r="GW169" s="14">
        <f t="shared" si="188"/>
        <v>1.3509285393066301E-12</v>
      </c>
      <c r="GX169" s="22">
        <f t="shared" si="189"/>
        <v>2.5073107750038623E-12</v>
      </c>
      <c r="GY169" s="60">
        <f t="shared" si="137"/>
        <v>293.33333333333582</v>
      </c>
      <c r="GZ169" s="60">
        <f ca="1">AVERAGE(OFFSET($GY$3,0,0,'Données projet'!$E$18+1,1))-AVERAGE(OFFSET($H$3,0,0,'Données projet'!$E$18+1,1))</f>
        <v>292.57482726862594</v>
      </c>
      <c r="HA169" s="60">
        <f t="shared" si="160"/>
        <v>283.48738729114024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399.92909819003523</v>
      </c>
      <c r="T170" s="60">
        <f t="shared" si="142"/>
        <v>163.7053537268381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-5.6843418860808015E-13</v>
      </c>
      <c r="AJ170" s="14">
        <f>AI170*VLOOKUP('Données projet'!$B$10,Paramètres!$A$1:$I$89,3,0)*VLOOKUP('Données projet'!$B$10,Paramètres!$A$1:$I$89,5,0)</f>
        <v>-3.39923644787632E-13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455.43477166687273</v>
      </c>
      <c r="AO170" s="60">
        <f t="shared" si="144"/>
        <v>312.81310692672895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-9.0949470177292824E-13</v>
      </c>
      <c r="BE170" s="14">
        <f>BD170*VLOOKUP('Données projet'!$B$11,Paramètres!$A$1:$I$89,3,0)*VLOOKUP('Données projet'!$B$11,Paramètres!$A$1:$I$89,5,0)</f>
        <v>-8.2291080616414541E-13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430.11660085503223</v>
      </c>
      <c r="BJ170" s="60">
        <f t="shared" si="146"/>
        <v>231.36959598460686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-9.0949470177292824E-13</v>
      </c>
      <c r="BZ170" s="14">
        <f>BY170*VLOOKUP('Données projet'!$B$12,Paramètres!$A$1:$I$89,3,0)*VLOOKUP('Données projet'!$B$12,Paramètres!$A$1:$I$89,5,0)</f>
        <v>-9.2222762759774924E-13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476.8965664931755</v>
      </c>
      <c r="CE170" s="60">
        <f t="shared" si="148"/>
        <v>254.25036207346591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-9.0949470177292824E-13</v>
      </c>
      <c r="CU170" s="18">
        <f>CT170*VLOOKUP('Données projet'!$B$13,Paramètres!$A$1:$I$89,3,0)*VLOOKUP('Données projet'!$B$13,Paramètres!$A$1:$I$89,5,0)</f>
        <v>-8.7966327555477625E-13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456.86147223520601</v>
      </c>
      <c r="CZ170" s="60">
        <f t="shared" si="150"/>
        <v>244.45149244446094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2.5579538487363607E-13</v>
      </c>
      <c r="DP170" s="18">
        <f>DO170*VLOOKUP('Données projet'!$B$14,Paramètres!$A$1:$I$89,3,0)*VLOOKUP('Données projet'!$B$14,Paramètres!$A$1:$I$89,5,0)</f>
        <v>2.4341488824575211E-13</v>
      </c>
      <c r="DQ170" s="14">
        <f t="shared" si="176"/>
        <v>3.2970717324875541E-12</v>
      </c>
      <c r="DR170" s="22">
        <f t="shared" si="177"/>
        <v>6.1663475311105072E-12</v>
      </c>
      <c r="DS170" s="60">
        <f t="shared" si="125"/>
        <v>293.33333333333945</v>
      </c>
      <c r="DT170" s="60">
        <f ca="1">AVERAGE(OFFSET($DS$3,0,0,'Données projet'!$E$14+1,1))-AVERAGE(OFFSET($H$3,0,0,'Données projet'!$E$14+1,1))</f>
        <v>300.36889324671682</v>
      </c>
      <c r="DU170" s="60">
        <f t="shared" si="152"/>
        <v>214.36051699039683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-4.9658410716801891E-14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202.46844517174412</v>
      </c>
      <c r="EP170" s="60">
        <f t="shared" si="154"/>
        <v>185.00219255324515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7.626113074366004E-14</v>
      </c>
      <c r="FG170" s="14">
        <f t="shared" si="182"/>
        <v>1.1823749172251317E-12</v>
      </c>
      <c r="FH170" s="22">
        <f t="shared" si="183"/>
        <v>2.1921244502123119E-12</v>
      </c>
      <c r="FI170" s="60">
        <f t="shared" si="131"/>
        <v>293.33333333333553</v>
      </c>
      <c r="FJ170" s="60">
        <f ca="1">AVERAGE(OFFSET($FI$3,0,0,'Données projet'!$E$16+1,1))-AVERAGE(OFFSET($H$3,0,0,'Données projet'!$E$16+1,1))</f>
        <v>344.87493856469382</v>
      </c>
      <c r="FK170" s="60">
        <f t="shared" si="156"/>
        <v>261.91036689641402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268.19959446602911</v>
      </c>
      <c r="GF170" s="60">
        <f t="shared" si="158"/>
        <v>691.2533336811855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9.5337900138513874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9.5337900138513874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1.1368683772161603E-13</v>
      </c>
      <c r="GV170" s="18">
        <f>GU170*VLOOKUP('Données projet'!$B$18,Paramètres!$A$1:$I$89,3,0)*VLOOKUP('Données projet'!$B$18,Paramètres!$A$1:$I$89,5,0)</f>
        <v>8.8675733422860506E-14</v>
      </c>
      <c r="GW170" s="14">
        <f t="shared" si="188"/>
        <v>1.3509285393066301E-12</v>
      </c>
      <c r="GX170" s="22">
        <f t="shared" si="189"/>
        <v>2.5073107750038623E-12</v>
      </c>
      <c r="GY170" s="60">
        <f t="shared" si="137"/>
        <v>293.33333333333582</v>
      </c>
      <c r="GZ170" s="60">
        <f ca="1">AVERAGE(OFFSET($GY$3,0,0,'Données projet'!$E$18+1,1))-AVERAGE(OFFSET($H$3,0,0,'Données projet'!$E$18+1,1))</f>
        <v>292.57482726862594</v>
      </c>
      <c r="HA170" s="60">
        <f t="shared" si="160"/>
        <v>283.48738729114024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399.92909819003523</v>
      </c>
      <c r="T171" s="60">
        <f t="shared" si="142"/>
        <v>163.7053537268381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-5.6843418860808015E-13</v>
      </c>
      <c r="AJ171" s="14">
        <f>AI171*VLOOKUP('Données projet'!$B$10,Paramètres!$A$1:$I$89,3,0)*VLOOKUP('Données projet'!$B$10,Paramètres!$A$1:$I$89,5,0)</f>
        <v>-3.39923644787632E-13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455.43477166687273</v>
      </c>
      <c r="AO171" s="60">
        <f t="shared" si="144"/>
        <v>312.81310692672895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-9.0949470177292824E-13</v>
      </c>
      <c r="BE171" s="14">
        <f>BD171*VLOOKUP('Données projet'!$B$11,Paramètres!$A$1:$I$89,3,0)*VLOOKUP('Données projet'!$B$11,Paramètres!$A$1:$I$89,5,0)</f>
        <v>-8.2291080616414541E-13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430.11660085503223</v>
      </c>
      <c r="BJ171" s="60">
        <f t="shared" si="146"/>
        <v>231.36959598460686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-9.0949470177292824E-13</v>
      </c>
      <c r="BZ171" s="14">
        <f>BY171*VLOOKUP('Données projet'!$B$12,Paramètres!$A$1:$I$89,3,0)*VLOOKUP('Données projet'!$B$12,Paramètres!$A$1:$I$89,5,0)</f>
        <v>-9.2222762759774924E-13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476.8965664931755</v>
      </c>
      <c r="CE171" s="60">
        <f t="shared" si="148"/>
        <v>254.25036207346591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-9.0949470177292824E-13</v>
      </c>
      <c r="CU171" s="18">
        <f>CT171*VLOOKUP('Données projet'!$B$13,Paramètres!$A$1:$I$89,3,0)*VLOOKUP('Données projet'!$B$13,Paramètres!$A$1:$I$89,5,0)</f>
        <v>-8.7966327555477625E-13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456.86147223520601</v>
      </c>
      <c r="CZ171" s="60">
        <f t="shared" si="150"/>
        <v>244.45149244446094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2.5579538487363607E-13</v>
      </c>
      <c r="DP171" s="18">
        <f>DO171*VLOOKUP('Données projet'!$B$14,Paramètres!$A$1:$I$89,3,0)*VLOOKUP('Données projet'!$B$14,Paramètres!$A$1:$I$89,5,0)</f>
        <v>2.4341488824575211E-13</v>
      </c>
      <c r="DQ171" s="14">
        <f t="shared" si="176"/>
        <v>3.2970717324875541E-12</v>
      </c>
      <c r="DR171" s="22">
        <f t="shared" si="177"/>
        <v>6.1663475311105072E-12</v>
      </c>
      <c r="DS171" s="60">
        <f t="shared" si="125"/>
        <v>293.33333333333945</v>
      </c>
      <c r="DT171" s="60">
        <f ca="1">AVERAGE(OFFSET($DS$3,0,0,'Données projet'!$E$14+1,1))-AVERAGE(OFFSET($H$3,0,0,'Données projet'!$E$14+1,1))</f>
        <v>300.36889324671682</v>
      </c>
      <c r="DU171" s="60">
        <f t="shared" si="152"/>
        <v>214.36051699039683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-4.9658410716801891E-14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202.46844517174412</v>
      </c>
      <c r="EP171" s="60">
        <f t="shared" si="154"/>
        <v>185.00219255324515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7.626113074366004E-14</v>
      </c>
      <c r="FG171" s="14">
        <f t="shared" si="182"/>
        <v>1.1823749172251317E-12</v>
      </c>
      <c r="FH171" s="22">
        <f t="shared" si="183"/>
        <v>2.1921244502123119E-12</v>
      </c>
      <c r="FI171" s="60">
        <f t="shared" si="131"/>
        <v>293.33333333333553</v>
      </c>
      <c r="FJ171" s="60">
        <f ca="1">AVERAGE(OFFSET($FI$3,0,0,'Données projet'!$E$16+1,1))-AVERAGE(OFFSET($H$3,0,0,'Données projet'!$E$16+1,1))</f>
        <v>344.87493856469382</v>
      </c>
      <c r="FK171" s="60">
        <f t="shared" si="156"/>
        <v>261.91036689641402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268.19959446602911</v>
      </c>
      <c r="GF171" s="60">
        <f t="shared" si="158"/>
        <v>691.2533336811855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9.3468382067174822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9.3468382067174822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1.1368683772161603E-13</v>
      </c>
      <c r="GV171" s="18">
        <f>GU171*VLOOKUP('Données projet'!$B$18,Paramètres!$A$1:$I$89,3,0)*VLOOKUP('Données projet'!$B$18,Paramètres!$A$1:$I$89,5,0)</f>
        <v>8.8675733422860506E-14</v>
      </c>
      <c r="GW171" s="14">
        <f t="shared" si="188"/>
        <v>1.3509285393066301E-12</v>
      </c>
      <c r="GX171" s="22">
        <f t="shared" si="189"/>
        <v>2.5073107750038623E-12</v>
      </c>
      <c r="GY171" s="60">
        <f t="shared" si="137"/>
        <v>293.33333333333582</v>
      </c>
      <c r="GZ171" s="60">
        <f ca="1">AVERAGE(OFFSET($GY$3,0,0,'Données projet'!$E$18+1,1))-AVERAGE(OFFSET($H$3,0,0,'Données projet'!$E$18+1,1))</f>
        <v>292.57482726862594</v>
      </c>
      <c r="HA171" s="60">
        <f t="shared" si="160"/>
        <v>283.48738729114024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399.92909819003523</v>
      </c>
      <c r="T172" s="60">
        <f t="shared" si="142"/>
        <v>163.7053537268381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-5.6843418860808015E-13</v>
      </c>
      <c r="AJ172" s="14">
        <f>AI172*VLOOKUP('Données projet'!$B$10,Paramètres!$A$1:$I$89,3,0)*VLOOKUP('Données projet'!$B$10,Paramètres!$A$1:$I$89,5,0)</f>
        <v>-3.39923644787632E-13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455.43477166687273</v>
      </c>
      <c r="AO172" s="60">
        <f t="shared" si="144"/>
        <v>312.81310692672895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-9.0949470177292824E-13</v>
      </c>
      <c r="BE172" s="14">
        <f>BD172*VLOOKUP('Données projet'!$B$11,Paramètres!$A$1:$I$89,3,0)*VLOOKUP('Données projet'!$B$11,Paramètres!$A$1:$I$89,5,0)</f>
        <v>-8.2291080616414541E-13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430.11660085503223</v>
      </c>
      <c r="BJ172" s="60">
        <f t="shared" si="146"/>
        <v>231.36959598460686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-9.0949470177292824E-13</v>
      </c>
      <c r="BZ172" s="14">
        <f>BY172*VLOOKUP('Données projet'!$B$12,Paramètres!$A$1:$I$89,3,0)*VLOOKUP('Données projet'!$B$12,Paramètres!$A$1:$I$89,5,0)</f>
        <v>-9.2222762759774924E-13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476.8965664931755</v>
      </c>
      <c r="CE172" s="60">
        <f t="shared" si="148"/>
        <v>254.25036207346591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-9.0949470177292824E-13</v>
      </c>
      <c r="CU172" s="18">
        <f>CT172*VLOOKUP('Données projet'!$B$13,Paramètres!$A$1:$I$89,3,0)*VLOOKUP('Données projet'!$B$13,Paramètres!$A$1:$I$89,5,0)</f>
        <v>-8.7966327555477625E-13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456.86147223520601</v>
      </c>
      <c r="CZ172" s="60">
        <f t="shared" si="150"/>
        <v>244.45149244446094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2.5579538487363607E-13</v>
      </c>
      <c r="DP172" s="18">
        <f>DO172*VLOOKUP('Données projet'!$B$14,Paramètres!$A$1:$I$89,3,0)*VLOOKUP('Données projet'!$B$14,Paramètres!$A$1:$I$89,5,0)</f>
        <v>2.4341488824575211E-13</v>
      </c>
      <c r="DQ172" s="14">
        <f t="shared" si="176"/>
        <v>3.2970717324875541E-12</v>
      </c>
      <c r="DR172" s="22">
        <f t="shared" si="177"/>
        <v>6.1663475311105072E-12</v>
      </c>
      <c r="DS172" s="60">
        <f t="shared" si="125"/>
        <v>293.33333333333945</v>
      </c>
      <c r="DT172" s="60">
        <f ca="1">AVERAGE(OFFSET($DS$3,0,0,'Données projet'!$E$14+1,1))-AVERAGE(OFFSET($H$3,0,0,'Données projet'!$E$14+1,1))</f>
        <v>300.36889324671682</v>
      </c>
      <c r="DU172" s="60">
        <f t="shared" si="152"/>
        <v>214.36051699039683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-4.9658410716801891E-14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202.46844517174412</v>
      </c>
      <c r="EP172" s="60">
        <f t="shared" si="154"/>
        <v>185.00219255324515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7.626113074366004E-14</v>
      </c>
      <c r="FG172" s="14">
        <f t="shared" si="182"/>
        <v>1.1823749172251317E-12</v>
      </c>
      <c r="FH172" s="22">
        <f t="shared" si="183"/>
        <v>2.1921244502123119E-12</v>
      </c>
      <c r="FI172" s="60">
        <f t="shared" si="131"/>
        <v>293.33333333333553</v>
      </c>
      <c r="FJ172" s="60">
        <f ca="1">AVERAGE(OFFSET($FI$3,0,0,'Données projet'!$E$16+1,1))-AVERAGE(OFFSET($H$3,0,0,'Données projet'!$E$16+1,1))</f>
        <v>344.87493856469382</v>
      </c>
      <c r="FK172" s="60">
        <f t="shared" si="156"/>
        <v>261.91036689641402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268.19959446602911</v>
      </c>
      <c r="GF172" s="60">
        <f t="shared" si="158"/>
        <v>691.2533336811855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9.1635524104921302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9.1635524104921302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1.1368683772161603E-13</v>
      </c>
      <c r="GV172" s="18">
        <f>GU172*VLOOKUP('Données projet'!$B$18,Paramètres!$A$1:$I$89,3,0)*VLOOKUP('Données projet'!$B$18,Paramètres!$A$1:$I$89,5,0)</f>
        <v>8.8675733422860506E-14</v>
      </c>
      <c r="GW172" s="14">
        <f t="shared" si="188"/>
        <v>1.3509285393066301E-12</v>
      </c>
      <c r="GX172" s="22">
        <f t="shared" si="189"/>
        <v>2.5073107750038623E-12</v>
      </c>
      <c r="GY172" s="60">
        <f t="shared" si="137"/>
        <v>293.33333333333582</v>
      </c>
      <c r="GZ172" s="60">
        <f ca="1">AVERAGE(OFFSET($GY$3,0,0,'Données projet'!$E$18+1,1))-AVERAGE(OFFSET($H$3,0,0,'Données projet'!$E$18+1,1))</f>
        <v>292.57482726862594</v>
      </c>
      <c r="HA172" s="60">
        <f t="shared" si="160"/>
        <v>283.48738729114024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399.92909819003523</v>
      </c>
      <c r="T173" s="60">
        <f t="shared" si="142"/>
        <v>163.7053537268381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-5.6843418860808015E-13</v>
      </c>
      <c r="AJ173" s="14">
        <f>AI173*VLOOKUP('Données projet'!$B$10,Paramètres!$A$1:$I$89,3,0)*VLOOKUP('Données projet'!$B$10,Paramètres!$A$1:$I$89,5,0)</f>
        <v>-3.39923644787632E-13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455.43477166687273</v>
      </c>
      <c r="AO173" s="60">
        <f t="shared" si="144"/>
        <v>312.81310692672895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-9.0949470177292824E-13</v>
      </c>
      <c r="BE173" s="14">
        <f>BD173*VLOOKUP('Données projet'!$B$11,Paramètres!$A$1:$I$89,3,0)*VLOOKUP('Données projet'!$B$11,Paramètres!$A$1:$I$89,5,0)</f>
        <v>-8.2291080616414541E-13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430.11660085503223</v>
      </c>
      <c r="BJ173" s="60">
        <f t="shared" si="146"/>
        <v>231.36959598460686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-9.0949470177292824E-13</v>
      </c>
      <c r="BZ173" s="14">
        <f>BY173*VLOOKUP('Données projet'!$B$12,Paramètres!$A$1:$I$89,3,0)*VLOOKUP('Données projet'!$B$12,Paramètres!$A$1:$I$89,5,0)</f>
        <v>-9.2222762759774924E-13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476.8965664931755</v>
      </c>
      <c r="CE173" s="60">
        <f t="shared" si="148"/>
        <v>254.25036207346591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-9.0949470177292824E-13</v>
      </c>
      <c r="CU173" s="18">
        <f>CT173*VLOOKUP('Données projet'!$B$13,Paramètres!$A$1:$I$89,3,0)*VLOOKUP('Données projet'!$B$13,Paramètres!$A$1:$I$89,5,0)</f>
        <v>-8.7966327555477625E-13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456.86147223520601</v>
      </c>
      <c r="CZ173" s="60">
        <f t="shared" si="150"/>
        <v>244.45149244446094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2.5579538487363607E-13</v>
      </c>
      <c r="DP173" s="18">
        <f>DO173*VLOOKUP('Données projet'!$B$14,Paramètres!$A$1:$I$89,3,0)*VLOOKUP('Données projet'!$B$14,Paramètres!$A$1:$I$89,5,0)</f>
        <v>2.4341488824575211E-13</v>
      </c>
      <c r="DQ173" s="14">
        <f t="shared" si="176"/>
        <v>3.2970717324875541E-12</v>
      </c>
      <c r="DR173" s="22">
        <f t="shared" si="177"/>
        <v>6.1663475311105072E-12</v>
      </c>
      <c r="DS173" s="60">
        <f t="shared" si="125"/>
        <v>293.33333333333945</v>
      </c>
      <c r="DT173" s="60">
        <f ca="1">AVERAGE(OFFSET($DS$3,0,0,'Données projet'!$E$14+1,1))-AVERAGE(OFFSET($H$3,0,0,'Données projet'!$E$14+1,1))</f>
        <v>300.36889324671682</v>
      </c>
      <c r="DU173" s="60">
        <f t="shared" si="152"/>
        <v>214.36051699039683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-4.9658410716801891E-14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202.46844517174412</v>
      </c>
      <c r="EP173" s="60">
        <f t="shared" si="154"/>
        <v>185.00219255324515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7.626113074366004E-14</v>
      </c>
      <c r="FG173" s="14">
        <f t="shared" si="182"/>
        <v>1.1823749172251317E-12</v>
      </c>
      <c r="FH173" s="22">
        <f t="shared" si="183"/>
        <v>2.1921244502123119E-12</v>
      </c>
      <c r="FI173" s="60">
        <f t="shared" si="131"/>
        <v>293.33333333333553</v>
      </c>
      <c r="FJ173" s="60">
        <f ca="1">AVERAGE(OFFSET($FI$3,0,0,'Données projet'!$E$16+1,1))-AVERAGE(OFFSET($H$3,0,0,'Données projet'!$E$16+1,1))</f>
        <v>344.87493856469382</v>
      </c>
      <c r="FK173" s="60">
        <f t="shared" si="156"/>
        <v>261.91036689641402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268.19959446602911</v>
      </c>
      <c r="GF173" s="60">
        <f t="shared" si="158"/>
        <v>691.2533336811855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8.9838607369374603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8.9838607369374603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1.1368683772161603E-13</v>
      </c>
      <c r="GV173" s="18">
        <f>GU173*VLOOKUP('Données projet'!$B$18,Paramètres!$A$1:$I$89,3,0)*VLOOKUP('Données projet'!$B$18,Paramètres!$A$1:$I$89,5,0)</f>
        <v>8.8675733422860506E-14</v>
      </c>
      <c r="GW173" s="14">
        <f t="shared" si="188"/>
        <v>1.3509285393066301E-12</v>
      </c>
      <c r="GX173" s="22">
        <f t="shared" si="189"/>
        <v>2.5073107750038623E-12</v>
      </c>
      <c r="GY173" s="60">
        <f t="shared" si="137"/>
        <v>293.33333333333582</v>
      </c>
      <c r="GZ173" s="60">
        <f ca="1">AVERAGE(OFFSET($GY$3,0,0,'Données projet'!$E$18+1,1))-AVERAGE(OFFSET($H$3,0,0,'Données projet'!$E$18+1,1))</f>
        <v>292.57482726862594</v>
      </c>
      <c r="HA173" s="60">
        <f t="shared" si="160"/>
        <v>283.48738729114024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399.92909819003523</v>
      </c>
      <c r="T174" s="60">
        <f t="shared" si="142"/>
        <v>163.7053537268381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-5.6843418860808015E-13</v>
      </c>
      <c r="AJ174" s="14">
        <f>AI174*VLOOKUP('Données projet'!$B$10,Paramètres!$A$1:$I$89,3,0)*VLOOKUP('Données projet'!$B$10,Paramètres!$A$1:$I$89,5,0)</f>
        <v>-3.39923644787632E-13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455.43477166687273</v>
      </c>
      <c r="AO174" s="60">
        <f t="shared" si="144"/>
        <v>312.81310692672895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-9.0949470177292824E-13</v>
      </c>
      <c r="BE174" s="14">
        <f>BD174*VLOOKUP('Données projet'!$B$11,Paramètres!$A$1:$I$89,3,0)*VLOOKUP('Données projet'!$B$11,Paramètres!$A$1:$I$89,5,0)</f>
        <v>-8.2291080616414541E-13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430.11660085503223</v>
      </c>
      <c r="BJ174" s="60">
        <f t="shared" si="146"/>
        <v>231.36959598460686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-9.0949470177292824E-13</v>
      </c>
      <c r="BZ174" s="14">
        <f>BY174*VLOOKUP('Données projet'!$B$12,Paramètres!$A$1:$I$89,3,0)*VLOOKUP('Données projet'!$B$12,Paramètres!$A$1:$I$89,5,0)</f>
        <v>-9.2222762759774924E-13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476.8965664931755</v>
      </c>
      <c r="CE174" s="60">
        <f t="shared" si="148"/>
        <v>254.25036207346591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-9.0949470177292824E-13</v>
      </c>
      <c r="CU174" s="18">
        <f>CT174*VLOOKUP('Données projet'!$B$13,Paramètres!$A$1:$I$89,3,0)*VLOOKUP('Données projet'!$B$13,Paramètres!$A$1:$I$89,5,0)</f>
        <v>-8.7966327555477625E-13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456.86147223520601</v>
      </c>
      <c r="CZ174" s="60">
        <f t="shared" si="150"/>
        <v>244.45149244446094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2.5579538487363607E-13</v>
      </c>
      <c r="DP174" s="18">
        <f>DO174*VLOOKUP('Données projet'!$B$14,Paramètres!$A$1:$I$89,3,0)*VLOOKUP('Données projet'!$B$14,Paramètres!$A$1:$I$89,5,0)</f>
        <v>2.4341488824575211E-13</v>
      </c>
      <c r="DQ174" s="14">
        <f t="shared" si="176"/>
        <v>3.2970717324875541E-12</v>
      </c>
      <c r="DR174" s="22">
        <f t="shared" si="177"/>
        <v>6.1663475311105072E-12</v>
      </c>
      <c r="DS174" s="60">
        <f t="shared" si="125"/>
        <v>293.33333333333945</v>
      </c>
      <c r="DT174" s="60">
        <f ca="1">AVERAGE(OFFSET($DS$3,0,0,'Données projet'!$E$14+1,1))-AVERAGE(OFFSET($H$3,0,0,'Données projet'!$E$14+1,1))</f>
        <v>300.36889324671682</v>
      </c>
      <c r="DU174" s="60">
        <f t="shared" si="152"/>
        <v>214.36051699039683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-4.9658410716801891E-14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202.46844517174412</v>
      </c>
      <c r="EP174" s="60">
        <f t="shared" si="154"/>
        <v>185.00219255324515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7.626113074366004E-14</v>
      </c>
      <c r="FG174" s="14">
        <f t="shared" si="182"/>
        <v>1.1823749172251317E-12</v>
      </c>
      <c r="FH174" s="22">
        <f t="shared" si="183"/>
        <v>2.1921244502123119E-12</v>
      </c>
      <c r="FI174" s="60">
        <f t="shared" si="131"/>
        <v>293.33333333333553</v>
      </c>
      <c r="FJ174" s="60">
        <f ca="1">AVERAGE(OFFSET($FI$3,0,0,'Données projet'!$E$16+1,1))-AVERAGE(OFFSET($H$3,0,0,'Données projet'!$E$16+1,1))</f>
        <v>344.87493856469382</v>
      </c>
      <c r="FK174" s="60">
        <f t="shared" si="156"/>
        <v>261.91036689641402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268.19959446602911</v>
      </c>
      <c r="GF174" s="60">
        <f t="shared" si="158"/>
        <v>691.2533336811855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8.8076927075000988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8.8076927075000988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1.1368683772161603E-13</v>
      </c>
      <c r="GV174" s="18">
        <f>GU174*VLOOKUP('Données projet'!$B$18,Paramètres!$A$1:$I$89,3,0)*VLOOKUP('Données projet'!$B$18,Paramètres!$A$1:$I$89,5,0)</f>
        <v>8.8675733422860506E-14</v>
      </c>
      <c r="GW174" s="14">
        <f t="shared" si="188"/>
        <v>1.3509285393066301E-12</v>
      </c>
      <c r="GX174" s="22">
        <f t="shared" si="189"/>
        <v>2.5073107750038623E-12</v>
      </c>
      <c r="GY174" s="60">
        <f t="shared" si="137"/>
        <v>293.33333333333582</v>
      </c>
      <c r="GZ174" s="60">
        <f ca="1">AVERAGE(OFFSET($GY$3,0,0,'Données projet'!$E$18+1,1))-AVERAGE(OFFSET($H$3,0,0,'Données projet'!$E$18+1,1))</f>
        <v>292.57482726862594</v>
      </c>
      <c r="HA174" s="60">
        <f t="shared" si="160"/>
        <v>283.48738729114024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399.92909819003523</v>
      </c>
      <c r="T175" s="60">
        <f t="shared" si="142"/>
        <v>163.7053537268381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-5.6843418860808015E-13</v>
      </c>
      <c r="AJ175" s="14">
        <f>AI175*VLOOKUP('Données projet'!$B$10,Paramètres!$A$1:$I$89,3,0)*VLOOKUP('Données projet'!$B$10,Paramètres!$A$1:$I$89,5,0)</f>
        <v>-3.39923644787632E-13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455.43477166687273</v>
      </c>
      <c r="AO175" s="60">
        <f t="shared" si="144"/>
        <v>312.81310692672895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-9.0949470177292824E-13</v>
      </c>
      <c r="BE175" s="14">
        <f>BD175*VLOOKUP('Données projet'!$B$11,Paramètres!$A$1:$I$89,3,0)*VLOOKUP('Données projet'!$B$11,Paramètres!$A$1:$I$89,5,0)</f>
        <v>-8.2291080616414541E-13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430.11660085503223</v>
      </c>
      <c r="BJ175" s="60">
        <f t="shared" si="146"/>
        <v>231.36959598460686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-9.0949470177292824E-13</v>
      </c>
      <c r="BZ175" s="14">
        <f>BY175*VLOOKUP('Données projet'!$B$12,Paramètres!$A$1:$I$89,3,0)*VLOOKUP('Données projet'!$B$12,Paramètres!$A$1:$I$89,5,0)</f>
        <v>-9.2222762759774924E-13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476.8965664931755</v>
      </c>
      <c r="CE175" s="60">
        <f t="shared" si="148"/>
        <v>254.25036207346591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-9.0949470177292824E-13</v>
      </c>
      <c r="CU175" s="18">
        <f>CT175*VLOOKUP('Données projet'!$B$13,Paramètres!$A$1:$I$89,3,0)*VLOOKUP('Données projet'!$B$13,Paramètres!$A$1:$I$89,5,0)</f>
        <v>-8.7966327555477625E-13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456.86147223520601</v>
      </c>
      <c r="CZ175" s="60">
        <f t="shared" si="150"/>
        <v>244.45149244446094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2.5579538487363607E-13</v>
      </c>
      <c r="DP175" s="18">
        <f>DO175*VLOOKUP('Données projet'!$B$14,Paramètres!$A$1:$I$89,3,0)*VLOOKUP('Données projet'!$B$14,Paramètres!$A$1:$I$89,5,0)</f>
        <v>2.4341488824575211E-13</v>
      </c>
      <c r="DQ175" s="14">
        <f t="shared" si="176"/>
        <v>3.2970717324875541E-12</v>
      </c>
      <c r="DR175" s="22">
        <f t="shared" si="177"/>
        <v>6.1663475311105072E-12</v>
      </c>
      <c r="DS175" s="60">
        <f t="shared" si="125"/>
        <v>293.33333333333945</v>
      </c>
      <c r="DT175" s="60">
        <f ca="1">AVERAGE(OFFSET($DS$3,0,0,'Données projet'!$E$14+1,1))-AVERAGE(OFFSET($H$3,0,0,'Données projet'!$E$14+1,1))</f>
        <v>300.36889324671682</v>
      </c>
      <c r="DU175" s="60">
        <f t="shared" si="152"/>
        <v>214.36051699039683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-4.9658410716801891E-14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202.46844517174412</v>
      </c>
      <c r="EP175" s="60">
        <f t="shared" si="154"/>
        <v>185.00219255324515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7.626113074366004E-14</v>
      </c>
      <c r="FG175" s="14">
        <f t="shared" si="182"/>
        <v>1.1823749172251317E-12</v>
      </c>
      <c r="FH175" s="22">
        <f t="shared" si="183"/>
        <v>2.1921244502123119E-12</v>
      </c>
      <c r="FI175" s="60">
        <f t="shared" si="131"/>
        <v>293.33333333333553</v>
      </c>
      <c r="FJ175" s="60">
        <f ca="1">AVERAGE(OFFSET($FI$3,0,0,'Données projet'!$E$16+1,1))-AVERAGE(OFFSET($H$3,0,0,'Données projet'!$E$16+1,1))</f>
        <v>344.87493856469382</v>
      </c>
      <c r="FK175" s="60">
        <f t="shared" si="156"/>
        <v>261.91036689641402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268.19959446602911</v>
      </c>
      <c r="GF175" s="60">
        <f t="shared" si="158"/>
        <v>691.2533336811855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8.6349792256681166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8.6349792256681166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1.1368683772161603E-13</v>
      </c>
      <c r="GV175" s="18">
        <f>GU175*VLOOKUP('Données projet'!$B$18,Paramètres!$A$1:$I$89,3,0)*VLOOKUP('Données projet'!$B$18,Paramètres!$A$1:$I$89,5,0)</f>
        <v>8.8675733422860506E-14</v>
      </c>
      <c r="GW175" s="14">
        <f t="shared" si="188"/>
        <v>1.3509285393066301E-12</v>
      </c>
      <c r="GX175" s="22">
        <f t="shared" si="189"/>
        <v>2.5073107750038623E-12</v>
      </c>
      <c r="GY175" s="60">
        <f t="shared" si="137"/>
        <v>293.33333333333582</v>
      </c>
      <c r="GZ175" s="60">
        <f ca="1">AVERAGE(OFFSET($GY$3,0,0,'Données projet'!$E$18+1,1))-AVERAGE(OFFSET($H$3,0,0,'Données projet'!$E$18+1,1))</f>
        <v>292.57482726862594</v>
      </c>
      <c r="HA175" s="60">
        <f t="shared" si="160"/>
        <v>283.48738729114024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399.92909819003523</v>
      </c>
      <c r="T176" s="60">
        <f t="shared" si="142"/>
        <v>163.7053537268381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-5.6843418860808015E-13</v>
      </c>
      <c r="AJ176" s="14">
        <f>AI176*VLOOKUP('Données projet'!$B$10,Paramètres!$A$1:$I$89,3,0)*VLOOKUP('Données projet'!$B$10,Paramètres!$A$1:$I$89,5,0)</f>
        <v>-3.39923644787632E-13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455.43477166687273</v>
      </c>
      <c r="AO176" s="60">
        <f t="shared" si="144"/>
        <v>312.81310692672895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-9.0949470177292824E-13</v>
      </c>
      <c r="BE176" s="14">
        <f>BD176*VLOOKUP('Données projet'!$B$11,Paramètres!$A$1:$I$89,3,0)*VLOOKUP('Données projet'!$B$11,Paramètres!$A$1:$I$89,5,0)</f>
        <v>-8.2291080616414541E-13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430.11660085503223</v>
      </c>
      <c r="BJ176" s="60">
        <f t="shared" si="146"/>
        <v>231.36959598460686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-9.0949470177292824E-13</v>
      </c>
      <c r="BZ176" s="14">
        <f>BY176*VLOOKUP('Données projet'!$B$12,Paramètres!$A$1:$I$89,3,0)*VLOOKUP('Données projet'!$B$12,Paramètres!$A$1:$I$89,5,0)</f>
        <v>-9.2222762759774924E-13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476.8965664931755</v>
      </c>
      <c r="CE176" s="60">
        <f t="shared" si="148"/>
        <v>254.25036207346591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-9.0949470177292824E-13</v>
      </c>
      <c r="CU176" s="18">
        <f>CT176*VLOOKUP('Données projet'!$B$13,Paramètres!$A$1:$I$89,3,0)*VLOOKUP('Données projet'!$B$13,Paramètres!$A$1:$I$89,5,0)</f>
        <v>-8.7966327555477625E-13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456.86147223520601</v>
      </c>
      <c r="CZ176" s="60">
        <f t="shared" si="150"/>
        <v>244.45149244446094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2.5579538487363607E-13</v>
      </c>
      <c r="DP176" s="18">
        <f>DO176*VLOOKUP('Données projet'!$B$14,Paramètres!$A$1:$I$89,3,0)*VLOOKUP('Données projet'!$B$14,Paramètres!$A$1:$I$89,5,0)</f>
        <v>2.4341488824575211E-13</v>
      </c>
      <c r="DQ176" s="14">
        <f t="shared" si="176"/>
        <v>3.2970717324875541E-12</v>
      </c>
      <c r="DR176" s="22">
        <f t="shared" si="177"/>
        <v>6.1663475311105072E-12</v>
      </c>
      <c r="DS176" s="60">
        <f t="shared" si="125"/>
        <v>293.33333333333945</v>
      </c>
      <c r="DT176" s="60">
        <f ca="1">AVERAGE(OFFSET($DS$3,0,0,'Données projet'!$E$14+1,1))-AVERAGE(OFFSET($H$3,0,0,'Données projet'!$E$14+1,1))</f>
        <v>300.36889324671682</v>
      </c>
      <c r="DU176" s="60">
        <f t="shared" si="152"/>
        <v>214.36051699039683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-4.9658410716801891E-14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202.46844517174412</v>
      </c>
      <c r="EP176" s="60">
        <f t="shared" si="154"/>
        <v>185.00219255324515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7.626113074366004E-14</v>
      </c>
      <c r="FG176" s="14">
        <f t="shared" si="182"/>
        <v>1.1823749172251317E-12</v>
      </c>
      <c r="FH176" s="22">
        <f t="shared" si="183"/>
        <v>2.1921244502123119E-12</v>
      </c>
      <c r="FI176" s="60">
        <f t="shared" si="131"/>
        <v>293.33333333333553</v>
      </c>
      <c r="FJ176" s="60">
        <f ca="1">AVERAGE(OFFSET($FI$3,0,0,'Données projet'!$E$16+1,1))-AVERAGE(OFFSET($H$3,0,0,'Données projet'!$E$16+1,1))</f>
        <v>344.87493856469382</v>
      </c>
      <c r="FK176" s="60">
        <f t="shared" si="156"/>
        <v>261.91036689641402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268.19959446602911</v>
      </c>
      <c r="GF176" s="60">
        <f t="shared" si="158"/>
        <v>691.2533336811855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8.4656525498700379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8.4656525498700379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1.1368683772161603E-13</v>
      </c>
      <c r="GV176" s="18">
        <f>GU176*VLOOKUP('Données projet'!$B$18,Paramètres!$A$1:$I$89,3,0)*VLOOKUP('Données projet'!$B$18,Paramètres!$A$1:$I$89,5,0)</f>
        <v>8.8675733422860506E-14</v>
      </c>
      <c r="GW176" s="14">
        <f t="shared" si="188"/>
        <v>1.3509285393066301E-12</v>
      </c>
      <c r="GX176" s="22">
        <f t="shared" si="189"/>
        <v>2.5073107750038623E-12</v>
      </c>
      <c r="GY176" s="60">
        <f t="shared" si="137"/>
        <v>293.33333333333582</v>
      </c>
      <c r="GZ176" s="60">
        <f ca="1">AVERAGE(OFFSET($GY$3,0,0,'Données projet'!$E$18+1,1))-AVERAGE(OFFSET($H$3,0,0,'Données projet'!$E$18+1,1))</f>
        <v>292.57482726862594</v>
      </c>
      <c r="HA176" s="60">
        <f t="shared" si="160"/>
        <v>283.48738729114024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399.92909819003523</v>
      </c>
      <c r="T177" s="60">
        <f t="shared" si="142"/>
        <v>163.7053537268381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-5.6843418860808015E-13</v>
      </c>
      <c r="AJ177" s="14">
        <f>AI177*VLOOKUP('Données projet'!$B$10,Paramètres!$A$1:$I$89,3,0)*VLOOKUP('Données projet'!$B$10,Paramètres!$A$1:$I$89,5,0)</f>
        <v>-3.39923644787632E-13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455.43477166687273</v>
      </c>
      <c r="AO177" s="60">
        <f t="shared" si="144"/>
        <v>312.81310692672895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-9.0949470177292824E-13</v>
      </c>
      <c r="BE177" s="14">
        <f>BD177*VLOOKUP('Données projet'!$B$11,Paramètres!$A$1:$I$89,3,0)*VLOOKUP('Données projet'!$B$11,Paramètres!$A$1:$I$89,5,0)</f>
        <v>-8.2291080616414541E-13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430.11660085503223</v>
      </c>
      <c r="BJ177" s="60">
        <f t="shared" si="146"/>
        <v>231.36959598460686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-9.0949470177292824E-13</v>
      </c>
      <c r="BZ177" s="14">
        <f>BY177*VLOOKUP('Données projet'!$B$12,Paramètres!$A$1:$I$89,3,0)*VLOOKUP('Données projet'!$B$12,Paramètres!$A$1:$I$89,5,0)</f>
        <v>-9.2222762759774924E-13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476.8965664931755</v>
      </c>
      <c r="CE177" s="60">
        <f t="shared" si="148"/>
        <v>254.25036207346591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-9.0949470177292824E-13</v>
      </c>
      <c r="CU177" s="18">
        <f>CT177*VLOOKUP('Données projet'!$B$13,Paramètres!$A$1:$I$89,3,0)*VLOOKUP('Données projet'!$B$13,Paramètres!$A$1:$I$89,5,0)</f>
        <v>-8.7966327555477625E-13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456.86147223520601</v>
      </c>
      <c r="CZ177" s="60">
        <f t="shared" si="150"/>
        <v>244.45149244446094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2.5579538487363607E-13</v>
      </c>
      <c r="DP177" s="18">
        <f>DO177*VLOOKUP('Données projet'!$B$14,Paramètres!$A$1:$I$89,3,0)*VLOOKUP('Données projet'!$B$14,Paramètres!$A$1:$I$89,5,0)</f>
        <v>2.4341488824575211E-13</v>
      </c>
      <c r="DQ177" s="14">
        <f t="shared" si="176"/>
        <v>3.2970717324875541E-12</v>
      </c>
      <c r="DR177" s="22">
        <f t="shared" si="177"/>
        <v>6.1663475311105072E-12</v>
      </c>
      <c r="DS177" s="60">
        <f t="shared" si="125"/>
        <v>293.33333333333945</v>
      </c>
      <c r="DT177" s="60">
        <f ca="1">AVERAGE(OFFSET($DS$3,0,0,'Données projet'!$E$14+1,1))-AVERAGE(OFFSET($H$3,0,0,'Données projet'!$E$14+1,1))</f>
        <v>300.36889324671682</v>
      </c>
      <c r="DU177" s="60">
        <f t="shared" si="152"/>
        <v>214.36051699039683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-4.9658410716801891E-14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202.46844517174412</v>
      </c>
      <c r="EP177" s="60">
        <f t="shared" si="154"/>
        <v>185.00219255324515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7.626113074366004E-14</v>
      </c>
      <c r="FG177" s="14">
        <f t="shared" si="182"/>
        <v>1.1823749172251317E-12</v>
      </c>
      <c r="FH177" s="22">
        <f t="shared" si="183"/>
        <v>2.1921244502123119E-12</v>
      </c>
      <c r="FI177" s="60">
        <f t="shared" si="131"/>
        <v>293.33333333333553</v>
      </c>
      <c r="FJ177" s="60">
        <f ca="1">AVERAGE(OFFSET($FI$3,0,0,'Données projet'!$E$16+1,1))-AVERAGE(OFFSET($H$3,0,0,'Données projet'!$E$16+1,1))</f>
        <v>344.87493856469382</v>
      </c>
      <c r="FK177" s="60">
        <f t="shared" si="156"/>
        <v>261.91036689641402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268.19959446602911</v>
      </c>
      <c r="GF177" s="60">
        <f t="shared" si="158"/>
        <v>691.2533336811855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8.2996462669052846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8.2996462669052846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1.1368683772161603E-13</v>
      </c>
      <c r="GV177" s="18">
        <f>GU177*VLOOKUP('Données projet'!$B$18,Paramètres!$A$1:$I$89,3,0)*VLOOKUP('Données projet'!$B$18,Paramètres!$A$1:$I$89,5,0)</f>
        <v>8.8675733422860506E-14</v>
      </c>
      <c r="GW177" s="14">
        <f t="shared" si="188"/>
        <v>1.3509285393066301E-12</v>
      </c>
      <c r="GX177" s="22">
        <f t="shared" si="189"/>
        <v>2.5073107750038623E-12</v>
      </c>
      <c r="GY177" s="60">
        <f t="shared" si="137"/>
        <v>293.33333333333582</v>
      </c>
      <c r="GZ177" s="60">
        <f ca="1">AVERAGE(OFFSET($GY$3,0,0,'Données projet'!$E$18+1,1))-AVERAGE(OFFSET($H$3,0,0,'Données projet'!$E$18+1,1))</f>
        <v>292.57482726862594</v>
      </c>
      <c r="HA177" s="60">
        <f t="shared" si="160"/>
        <v>283.48738729114024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399.92909819003523</v>
      </c>
      <c r="T178" s="60">
        <f t="shared" si="142"/>
        <v>163.7053537268381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-5.6843418860808015E-13</v>
      </c>
      <c r="AJ178" s="14">
        <f>AI178*VLOOKUP('Données projet'!$B$10,Paramètres!$A$1:$I$89,3,0)*VLOOKUP('Données projet'!$B$10,Paramètres!$A$1:$I$89,5,0)</f>
        <v>-3.39923644787632E-13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455.43477166687273</v>
      </c>
      <c r="AO178" s="60">
        <f t="shared" si="144"/>
        <v>312.81310692672895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-9.0949470177292824E-13</v>
      </c>
      <c r="BE178" s="14">
        <f>BD178*VLOOKUP('Données projet'!$B$11,Paramètres!$A$1:$I$89,3,0)*VLOOKUP('Données projet'!$B$11,Paramètres!$A$1:$I$89,5,0)</f>
        <v>-8.2291080616414541E-13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430.11660085503223</v>
      </c>
      <c r="BJ178" s="60">
        <f t="shared" si="146"/>
        <v>231.36959598460686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-9.0949470177292824E-13</v>
      </c>
      <c r="BZ178" s="14">
        <f>BY178*VLOOKUP('Données projet'!$B$12,Paramètres!$A$1:$I$89,3,0)*VLOOKUP('Données projet'!$B$12,Paramètres!$A$1:$I$89,5,0)</f>
        <v>-9.2222762759774924E-13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476.8965664931755</v>
      </c>
      <c r="CE178" s="60">
        <f t="shared" si="148"/>
        <v>254.25036207346591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-9.0949470177292824E-13</v>
      </c>
      <c r="CU178" s="18">
        <f>CT178*VLOOKUP('Données projet'!$B$13,Paramètres!$A$1:$I$89,3,0)*VLOOKUP('Données projet'!$B$13,Paramètres!$A$1:$I$89,5,0)</f>
        <v>-8.7966327555477625E-13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456.86147223520601</v>
      </c>
      <c r="CZ178" s="60">
        <f t="shared" si="150"/>
        <v>244.45149244446094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2.5579538487363607E-13</v>
      </c>
      <c r="DP178" s="18">
        <f>DO178*VLOOKUP('Données projet'!$B$14,Paramètres!$A$1:$I$89,3,0)*VLOOKUP('Données projet'!$B$14,Paramètres!$A$1:$I$89,5,0)</f>
        <v>2.4341488824575211E-13</v>
      </c>
      <c r="DQ178" s="14">
        <f t="shared" si="176"/>
        <v>3.2970717324875541E-12</v>
      </c>
      <c r="DR178" s="22">
        <f t="shared" si="177"/>
        <v>6.1663475311105072E-12</v>
      </c>
      <c r="DS178" s="60">
        <f t="shared" si="125"/>
        <v>293.33333333333945</v>
      </c>
      <c r="DT178" s="60">
        <f ca="1">AVERAGE(OFFSET($DS$3,0,0,'Données projet'!$E$14+1,1))-AVERAGE(OFFSET($H$3,0,0,'Données projet'!$E$14+1,1))</f>
        <v>300.36889324671682</v>
      </c>
      <c r="DU178" s="60">
        <f t="shared" si="152"/>
        <v>214.36051699039683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-4.9658410716801891E-14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202.46844517174412</v>
      </c>
      <c r="EP178" s="60">
        <f t="shared" si="154"/>
        <v>185.00219255324515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7.626113074366004E-14</v>
      </c>
      <c r="FG178" s="14">
        <f t="shared" si="182"/>
        <v>1.1823749172251317E-12</v>
      </c>
      <c r="FH178" s="22">
        <f t="shared" si="183"/>
        <v>2.1921244502123119E-12</v>
      </c>
      <c r="FI178" s="60">
        <f t="shared" si="131"/>
        <v>293.33333333333553</v>
      </c>
      <c r="FJ178" s="60">
        <f ca="1">AVERAGE(OFFSET($FI$3,0,0,'Données projet'!$E$16+1,1))-AVERAGE(OFFSET($H$3,0,0,'Données projet'!$E$16+1,1))</f>
        <v>344.87493856469382</v>
      </c>
      <c r="FK178" s="60">
        <f t="shared" si="156"/>
        <v>261.91036689641402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268.19959446602911</v>
      </c>
      <c r="GF178" s="60">
        <f t="shared" si="158"/>
        <v>691.2533336811855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8.1368952658956353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8.1368952658956353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1.1368683772161603E-13</v>
      </c>
      <c r="GV178" s="18">
        <f>GU178*VLOOKUP('Données projet'!$B$18,Paramètres!$A$1:$I$89,3,0)*VLOOKUP('Données projet'!$B$18,Paramètres!$A$1:$I$89,5,0)</f>
        <v>8.8675733422860506E-14</v>
      </c>
      <c r="GW178" s="14">
        <f t="shared" si="188"/>
        <v>1.3509285393066301E-12</v>
      </c>
      <c r="GX178" s="22">
        <f t="shared" si="189"/>
        <v>2.5073107750038623E-12</v>
      </c>
      <c r="GY178" s="60">
        <f t="shared" si="137"/>
        <v>293.33333333333582</v>
      </c>
      <c r="GZ178" s="60">
        <f ca="1">AVERAGE(OFFSET($GY$3,0,0,'Données projet'!$E$18+1,1))-AVERAGE(OFFSET($H$3,0,0,'Données projet'!$E$18+1,1))</f>
        <v>292.57482726862594</v>
      </c>
      <c r="HA178" s="60">
        <f t="shared" si="160"/>
        <v>283.48738729114024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399.92909819003523</v>
      </c>
      <c r="T179" s="60">
        <f t="shared" si="142"/>
        <v>163.7053537268381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-5.6843418860808015E-13</v>
      </c>
      <c r="AJ179" s="14">
        <f>AI179*VLOOKUP('Données projet'!$B$10,Paramètres!$A$1:$I$89,3,0)*VLOOKUP('Données projet'!$B$10,Paramètres!$A$1:$I$89,5,0)</f>
        <v>-3.39923644787632E-13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455.43477166687273</v>
      </c>
      <c r="AO179" s="60">
        <f t="shared" si="144"/>
        <v>312.81310692672895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-9.0949470177292824E-13</v>
      </c>
      <c r="BE179" s="14">
        <f>BD179*VLOOKUP('Données projet'!$B$11,Paramètres!$A$1:$I$89,3,0)*VLOOKUP('Données projet'!$B$11,Paramètres!$A$1:$I$89,5,0)</f>
        <v>-8.2291080616414541E-13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430.11660085503223</v>
      </c>
      <c r="BJ179" s="60">
        <f t="shared" si="146"/>
        <v>231.36959598460686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-9.0949470177292824E-13</v>
      </c>
      <c r="BZ179" s="14">
        <f>BY179*VLOOKUP('Données projet'!$B$12,Paramètres!$A$1:$I$89,3,0)*VLOOKUP('Données projet'!$B$12,Paramètres!$A$1:$I$89,5,0)</f>
        <v>-9.2222762759774924E-13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476.8965664931755</v>
      </c>
      <c r="CE179" s="60">
        <f t="shared" si="148"/>
        <v>254.25036207346591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-9.0949470177292824E-13</v>
      </c>
      <c r="CU179" s="18">
        <f>CT179*VLOOKUP('Données projet'!$B$13,Paramètres!$A$1:$I$89,3,0)*VLOOKUP('Données projet'!$B$13,Paramètres!$A$1:$I$89,5,0)</f>
        <v>-8.7966327555477625E-13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456.86147223520601</v>
      </c>
      <c r="CZ179" s="60">
        <f t="shared" si="150"/>
        <v>244.45149244446094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2.5579538487363607E-13</v>
      </c>
      <c r="DP179" s="18">
        <f>DO179*VLOOKUP('Données projet'!$B$14,Paramètres!$A$1:$I$89,3,0)*VLOOKUP('Données projet'!$B$14,Paramètres!$A$1:$I$89,5,0)</f>
        <v>2.4341488824575211E-13</v>
      </c>
      <c r="DQ179" s="14">
        <f t="shared" si="176"/>
        <v>3.2970717324875541E-12</v>
      </c>
      <c r="DR179" s="22">
        <f t="shared" si="177"/>
        <v>6.1663475311105072E-12</v>
      </c>
      <c r="DS179" s="60">
        <f t="shared" si="125"/>
        <v>293.33333333333945</v>
      </c>
      <c r="DT179" s="60">
        <f ca="1">AVERAGE(OFFSET($DS$3,0,0,'Données projet'!$E$14+1,1))-AVERAGE(OFFSET($H$3,0,0,'Données projet'!$E$14+1,1))</f>
        <v>300.36889324671682</v>
      </c>
      <c r="DU179" s="60">
        <f t="shared" si="152"/>
        <v>214.36051699039683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-4.9658410716801891E-14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202.46844517174412</v>
      </c>
      <c r="EP179" s="60">
        <f t="shared" si="154"/>
        <v>185.00219255324515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7.626113074366004E-14</v>
      </c>
      <c r="FG179" s="14">
        <f t="shared" si="182"/>
        <v>1.1823749172251317E-12</v>
      </c>
      <c r="FH179" s="22">
        <f t="shared" si="183"/>
        <v>2.1921244502123119E-12</v>
      </c>
      <c r="FI179" s="60">
        <f t="shared" si="131"/>
        <v>293.33333333333553</v>
      </c>
      <c r="FJ179" s="60">
        <f ca="1">AVERAGE(OFFSET($FI$3,0,0,'Données projet'!$E$16+1,1))-AVERAGE(OFFSET($H$3,0,0,'Données projet'!$E$16+1,1))</f>
        <v>344.87493856469382</v>
      </c>
      <c r="FK179" s="60">
        <f t="shared" si="156"/>
        <v>261.91036689641402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268.19959446602911</v>
      </c>
      <c r="GF179" s="60">
        <f t="shared" si="158"/>
        <v>691.2533336811855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7.9773357127474771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7.9773357127474771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1.1368683772161603E-13</v>
      </c>
      <c r="GV179" s="18">
        <f>GU179*VLOOKUP('Données projet'!$B$18,Paramètres!$A$1:$I$89,3,0)*VLOOKUP('Données projet'!$B$18,Paramètres!$A$1:$I$89,5,0)</f>
        <v>8.8675733422860506E-14</v>
      </c>
      <c r="GW179" s="14">
        <f t="shared" si="188"/>
        <v>1.3509285393066301E-12</v>
      </c>
      <c r="GX179" s="22">
        <f t="shared" si="189"/>
        <v>2.5073107750038623E-12</v>
      </c>
      <c r="GY179" s="60">
        <f t="shared" si="137"/>
        <v>293.33333333333582</v>
      </c>
      <c r="GZ179" s="60">
        <f ca="1">AVERAGE(OFFSET($GY$3,0,0,'Données projet'!$E$18+1,1))-AVERAGE(OFFSET($H$3,0,0,'Données projet'!$E$18+1,1))</f>
        <v>292.57482726862594</v>
      </c>
      <c r="HA179" s="60">
        <f t="shared" si="160"/>
        <v>283.48738729114024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399.92909819003523</v>
      </c>
      <c r="T180" s="60">
        <f t="shared" si="142"/>
        <v>163.7053537268381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-5.6843418860808015E-13</v>
      </c>
      <c r="AJ180" s="14">
        <f>AI180*VLOOKUP('Données projet'!$B$10,Paramètres!$A$1:$I$89,3,0)*VLOOKUP('Données projet'!$B$10,Paramètres!$A$1:$I$89,5,0)</f>
        <v>-3.39923644787632E-13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455.43477166687273</v>
      </c>
      <c r="AO180" s="60">
        <f t="shared" si="144"/>
        <v>312.81310692672895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-9.0949470177292824E-13</v>
      </c>
      <c r="BE180" s="14">
        <f>BD180*VLOOKUP('Données projet'!$B$11,Paramètres!$A$1:$I$89,3,0)*VLOOKUP('Données projet'!$B$11,Paramètres!$A$1:$I$89,5,0)</f>
        <v>-8.2291080616414541E-13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430.11660085503223</v>
      </c>
      <c r="BJ180" s="60">
        <f t="shared" si="146"/>
        <v>231.36959598460686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-9.0949470177292824E-13</v>
      </c>
      <c r="BZ180" s="14">
        <f>BY180*VLOOKUP('Données projet'!$B$12,Paramètres!$A$1:$I$89,3,0)*VLOOKUP('Données projet'!$B$12,Paramètres!$A$1:$I$89,5,0)</f>
        <v>-9.2222762759774924E-13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476.8965664931755</v>
      </c>
      <c r="CE180" s="60">
        <f t="shared" si="148"/>
        <v>254.25036207346591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-9.0949470177292824E-13</v>
      </c>
      <c r="CU180" s="18">
        <f>CT180*VLOOKUP('Données projet'!$B$13,Paramètres!$A$1:$I$89,3,0)*VLOOKUP('Données projet'!$B$13,Paramètres!$A$1:$I$89,5,0)</f>
        <v>-8.7966327555477625E-13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456.86147223520601</v>
      </c>
      <c r="CZ180" s="60">
        <f t="shared" si="150"/>
        <v>244.45149244446094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2.5579538487363607E-13</v>
      </c>
      <c r="DP180" s="18">
        <f>DO180*VLOOKUP('Données projet'!$B$14,Paramètres!$A$1:$I$89,3,0)*VLOOKUP('Données projet'!$B$14,Paramètres!$A$1:$I$89,5,0)</f>
        <v>2.4341488824575211E-13</v>
      </c>
      <c r="DQ180" s="14">
        <f t="shared" si="176"/>
        <v>3.2970717324875541E-12</v>
      </c>
      <c r="DR180" s="22">
        <f t="shared" si="177"/>
        <v>6.1663475311105072E-12</v>
      </c>
      <c r="DS180" s="60">
        <f t="shared" si="125"/>
        <v>293.33333333333945</v>
      </c>
      <c r="DT180" s="60">
        <f ca="1">AVERAGE(OFFSET($DS$3,0,0,'Données projet'!$E$14+1,1))-AVERAGE(OFFSET($H$3,0,0,'Données projet'!$E$14+1,1))</f>
        <v>300.36889324671682</v>
      </c>
      <c r="DU180" s="60">
        <f t="shared" si="152"/>
        <v>214.36051699039683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-4.9658410716801891E-14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202.46844517174412</v>
      </c>
      <c r="EP180" s="60">
        <f t="shared" si="154"/>
        <v>185.00219255324515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7.626113074366004E-14</v>
      </c>
      <c r="FG180" s="14">
        <f t="shared" si="182"/>
        <v>1.1823749172251317E-12</v>
      </c>
      <c r="FH180" s="22">
        <f t="shared" si="183"/>
        <v>2.1921244502123119E-12</v>
      </c>
      <c r="FI180" s="60">
        <f t="shared" si="131"/>
        <v>293.33333333333553</v>
      </c>
      <c r="FJ180" s="60">
        <f ca="1">AVERAGE(OFFSET($FI$3,0,0,'Données projet'!$E$16+1,1))-AVERAGE(OFFSET($H$3,0,0,'Données projet'!$E$16+1,1))</f>
        <v>344.87493856469382</v>
      </c>
      <c r="FK180" s="60">
        <f t="shared" si="156"/>
        <v>261.91036689641402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268.19959446602911</v>
      </c>
      <c r="GF180" s="60">
        <f t="shared" si="158"/>
        <v>691.2533336811855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7.8209050251148362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7.8209050251148362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1.1368683772161603E-13</v>
      </c>
      <c r="GV180" s="18">
        <f>GU180*VLOOKUP('Données projet'!$B$18,Paramètres!$A$1:$I$89,3,0)*VLOOKUP('Données projet'!$B$18,Paramètres!$A$1:$I$89,5,0)</f>
        <v>8.8675733422860506E-14</v>
      </c>
      <c r="GW180" s="14">
        <f t="shared" si="188"/>
        <v>1.3509285393066301E-12</v>
      </c>
      <c r="GX180" s="22">
        <f t="shared" si="189"/>
        <v>2.5073107750038623E-12</v>
      </c>
      <c r="GY180" s="60">
        <f t="shared" si="137"/>
        <v>293.33333333333582</v>
      </c>
      <c r="GZ180" s="60">
        <f ca="1">AVERAGE(OFFSET($GY$3,0,0,'Données projet'!$E$18+1,1))-AVERAGE(OFFSET($H$3,0,0,'Données projet'!$E$18+1,1))</f>
        <v>292.57482726862594</v>
      </c>
      <c r="HA180" s="60">
        <f t="shared" si="160"/>
        <v>283.48738729114024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399.92909819003523</v>
      </c>
      <c r="T181" s="60">
        <f t="shared" si="142"/>
        <v>163.7053537268381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-5.6843418860808015E-13</v>
      </c>
      <c r="AJ181" s="14">
        <f>AI181*VLOOKUP('Données projet'!$B$10,Paramètres!$A$1:$I$89,3,0)*VLOOKUP('Données projet'!$B$10,Paramètres!$A$1:$I$89,5,0)</f>
        <v>-3.39923644787632E-13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455.43477166687273</v>
      </c>
      <c r="AO181" s="60">
        <f t="shared" si="144"/>
        <v>312.81310692672895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-9.0949470177292824E-13</v>
      </c>
      <c r="BE181" s="14">
        <f>BD181*VLOOKUP('Données projet'!$B$11,Paramètres!$A$1:$I$89,3,0)*VLOOKUP('Données projet'!$B$11,Paramètres!$A$1:$I$89,5,0)</f>
        <v>-8.2291080616414541E-13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430.11660085503223</v>
      </c>
      <c r="BJ181" s="60">
        <f t="shared" si="146"/>
        <v>231.36959598460686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-9.0949470177292824E-13</v>
      </c>
      <c r="BZ181" s="14">
        <f>BY181*VLOOKUP('Données projet'!$B$12,Paramètres!$A$1:$I$89,3,0)*VLOOKUP('Données projet'!$B$12,Paramètres!$A$1:$I$89,5,0)</f>
        <v>-9.2222762759774924E-13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476.8965664931755</v>
      </c>
      <c r="CE181" s="60">
        <f t="shared" si="148"/>
        <v>254.25036207346591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-9.0949470177292824E-13</v>
      </c>
      <c r="CU181" s="18">
        <f>CT181*VLOOKUP('Données projet'!$B$13,Paramètres!$A$1:$I$89,3,0)*VLOOKUP('Données projet'!$B$13,Paramètres!$A$1:$I$89,5,0)</f>
        <v>-8.7966327555477625E-13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456.86147223520601</v>
      </c>
      <c r="CZ181" s="60">
        <f t="shared" si="150"/>
        <v>244.45149244446094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2.5579538487363607E-13</v>
      </c>
      <c r="DP181" s="18">
        <f>DO181*VLOOKUP('Données projet'!$B$14,Paramètres!$A$1:$I$89,3,0)*VLOOKUP('Données projet'!$B$14,Paramètres!$A$1:$I$89,5,0)</f>
        <v>2.4341488824575211E-13</v>
      </c>
      <c r="DQ181" s="14">
        <f t="shared" si="176"/>
        <v>3.2970717324875541E-12</v>
      </c>
      <c r="DR181" s="22">
        <f t="shared" si="177"/>
        <v>6.1663475311105072E-12</v>
      </c>
      <c r="DS181" s="60">
        <f t="shared" si="125"/>
        <v>293.33333333333945</v>
      </c>
      <c r="DT181" s="60">
        <f ca="1">AVERAGE(OFFSET($DS$3,0,0,'Données projet'!$E$14+1,1))-AVERAGE(OFFSET($H$3,0,0,'Données projet'!$E$14+1,1))</f>
        <v>300.36889324671682</v>
      </c>
      <c r="DU181" s="60">
        <f t="shared" si="152"/>
        <v>214.36051699039683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-4.9658410716801891E-14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202.46844517174412</v>
      </c>
      <c r="EP181" s="60">
        <f t="shared" si="154"/>
        <v>185.00219255324515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7.626113074366004E-14</v>
      </c>
      <c r="FG181" s="14">
        <f t="shared" si="182"/>
        <v>1.1823749172251317E-12</v>
      </c>
      <c r="FH181" s="22">
        <f t="shared" si="183"/>
        <v>2.1921244502123119E-12</v>
      </c>
      <c r="FI181" s="60">
        <f t="shared" si="131"/>
        <v>293.33333333333553</v>
      </c>
      <c r="FJ181" s="60">
        <f ca="1">AVERAGE(OFFSET($FI$3,0,0,'Données projet'!$E$16+1,1))-AVERAGE(OFFSET($H$3,0,0,'Données projet'!$E$16+1,1))</f>
        <v>344.87493856469382</v>
      </c>
      <c r="FK181" s="60">
        <f t="shared" si="156"/>
        <v>261.91036689641402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268.19959446602911</v>
      </c>
      <c r="GF181" s="60">
        <f t="shared" si="158"/>
        <v>691.2533336811855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7.6675418478533732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7.6675418478533732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1.1368683772161603E-13</v>
      </c>
      <c r="GV181" s="18">
        <f>GU181*VLOOKUP('Données projet'!$B$18,Paramètres!$A$1:$I$89,3,0)*VLOOKUP('Données projet'!$B$18,Paramètres!$A$1:$I$89,5,0)</f>
        <v>8.8675733422860506E-14</v>
      </c>
      <c r="GW181" s="14">
        <f t="shared" si="188"/>
        <v>1.3509285393066301E-12</v>
      </c>
      <c r="GX181" s="22">
        <f t="shared" si="189"/>
        <v>2.5073107750038623E-12</v>
      </c>
      <c r="GY181" s="60">
        <f t="shared" si="137"/>
        <v>293.33333333333582</v>
      </c>
      <c r="GZ181" s="60">
        <f ca="1">AVERAGE(OFFSET($GY$3,0,0,'Données projet'!$E$18+1,1))-AVERAGE(OFFSET($H$3,0,0,'Données projet'!$E$18+1,1))</f>
        <v>292.57482726862594</v>
      </c>
      <c r="HA181" s="60">
        <f t="shared" si="160"/>
        <v>283.48738729114024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399.92909819003523</v>
      </c>
      <c r="T182" s="60">
        <f t="shared" si="142"/>
        <v>163.7053537268381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-5.6843418860808015E-13</v>
      </c>
      <c r="AJ182" s="14">
        <f>AI182*VLOOKUP('Données projet'!$B$10,Paramètres!$A$1:$I$89,3,0)*VLOOKUP('Données projet'!$B$10,Paramètres!$A$1:$I$89,5,0)</f>
        <v>-3.39923644787632E-13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455.43477166687273</v>
      </c>
      <c r="AO182" s="60">
        <f t="shared" si="144"/>
        <v>312.81310692672895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-9.0949470177292824E-13</v>
      </c>
      <c r="BE182" s="14">
        <f>BD182*VLOOKUP('Données projet'!$B$11,Paramètres!$A$1:$I$89,3,0)*VLOOKUP('Données projet'!$B$11,Paramètres!$A$1:$I$89,5,0)</f>
        <v>-8.2291080616414541E-13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430.11660085503223</v>
      </c>
      <c r="BJ182" s="60">
        <f t="shared" si="146"/>
        <v>231.36959598460686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-9.0949470177292824E-13</v>
      </c>
      <c r="BZ182" s="14">
        <f>BY182*VLOOKUP('Données projet'!$B$12,Paramètres!$A$1:$I$89,3,0)*VLOOKUP('Données projet'!$B$12,Paramètres!$A$1:$I$89,5,0)</f>
        <v>-9.2222762759774924E-13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476.8965664931755</v>
      </c>
      <c r="CE182" s="60">
        <f t="shared" si="148"/>
        <v>254.25036207346591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-9.0949470177292824E-13</v>
      </c>
      <c r="CU182" s="18">
        <f>CT182*VLOOKUP('Données projet'!$B$13,Paramètres!$A$1:$I$89,3,0)*VLOOKUP('Données projet'!$B$13,Paramètres!$A$1:$I$89,5,0)</f>
        <v>-8.7966327555477625E-13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456.86147223520601</v>
      </c>
      <c r="CZ182" s="60">
        <f t="shared" si="150"/>
        <v>244.45149244446094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2.5579538487363607E-13</v>
      </c>
      <c r="DP182" s="18">
        <f>DO182*VLOOKUP('Données projet'!$B$14,Paramètres!$A$1:$I$89,3,0)*VLOOKUP('Données projet'!$B$14,Paramètres!$A$1:$I$89,5,0)</f>
        <v>2.4341488824575211E-13</v>
      </c>
      <c r="DQ182" s="14">
        <f t="shared" si="176"/>
        <v>3.2970717324875541E-12</v>
      </c>
      <c r="DR182" s="22">
        <f t="shared" si="177"/>
        <v>6.1663475311105072E-12</v>
      </c>
      <c r="DS182" s="60">
        <f t="shared" si="125"/>
        <v>293.33333333333945</v>
      </c>
      <c r="DT182" s="60">
        <f ca="1">AVERAGE(OFFSET($DS$3,0,0,'Données projet'!$E$14+1,1))-AVERAGE(OFFSET($H$3,0,0,'Données projet'!$E$14+1,1))</f>
        <v>300.36889324671682</v>
      </c>
      <c r="DU182" s="60">
        <f t="shared" si="152"/>
        <v>214.36051699039683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-4.9658410716801891E-14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202.46844517174412</v>
      </c>
      <c r="EP182" s="60">
        <f t="shared" si="154"/>
        <v>185.00219255324515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7.626113074366004E-14</v>
      </c>
      <c r="FG182" s="14">
        <f t="shared" si="182"/>
        <v>1.1823749172251317E-12</v>
      </c>
      <c r="FH182" s="22">
        <f t="shared" si="183"/>
        <v>2.1921244502123119E-12</v>
      </c>
      <c r="FI182" s="60">
        <f t="shared" si="131"/>
        <v>293.33333333333553</v>
      </c>
      <c r="FJ182" s="60">
        <f ca="1">AVERAGE(OFFSET($FI$3,0,0,'Données projet'!$E$16+1,1))-AVERAGE(OFFSET($H$3,0,0,'Données projet'!$E$16+1,1))</f>
        <v>344.87493856469382</v>
      </c>
      <c r="FK182" s="60">
        <f t="shared" si="156"/>
        <v>261.91036689641402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268.19959446602911</v>
      </c>
      <c r="GF182" s="60">
        <f t="shared" si="158"/>
        <v>691.2533336811855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7.517186028955706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7.517186028955706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1.1368683772161603E-13</v>
      </c>
      <c r="GV182" s="18">
        <f>GU182*VLOOKUP('Données projet'!$B$18,Paramètres!$A$1:$I$89,3,0)*VLOOKUP('Données projet'!$B$18,Paramètres!$A$1:$I$89,5,0)</f>
        <v>8.8675733422860506E-14</v>
      </c>
      <c r="GW182" s="14">
        <f t="shared" si="188"/>
        <v>1.3509285393066301E-12</v>
      </c>
      <c r="GX182" s="22">
        <f t="shared" si="189"/>
        <v>2.5073107750038623E-12</v>
      </c>
      <c r="GY182" s="60">
        <f t="shared" si="137"/>
        <v>293.33333333333582</v>
      </c>
      <c r="GZ182" s="60">
        <f ca="1">AVERAGE(OFFSET($GY$3,0,0,'Données projet'!$E$18+1,1))-AVERAGE(OFFSET($H$3,0,0,'Données projet'!$E$18+1,1))</f>
        <v>292.57482726862594</v>
      </c>
      <c r="HA182" s="60">
        <f t="shared" si="160"/>
        <v>283.48738729114024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399.92909819003523</v>
      </c>
      <c r="T183" s="60">
        <f t="shared" si="142"/>
        <v>163.7053537268381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-5.6843418860808015E-13</v>
      </c>
      <c r="AJ183" s="14">
        <f>AI183*VLOOKUP('Données projet'!$B$10,Paramètres!$A$1:$I$89,3,0)*VLOOKUP('Données projet'!$B$10,Paramètres!$A$1:$I$89,5,0)</f>
        <v>-3.39923644787632E-13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455.43477166687273</v>
      </c>
      <c r="AO183" s="60">
        <f t="shared" si="144"/>
        <v>312.81310692672895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-9.0949470177292824E-13</v>
      </c>
      <c r="BE183" s="14">
        <f>BD183*VLOOKUP('Données projet'!$B$11,Paramètres!$A$1:$I$89,3,0)*VLOOKUP('Données projet'!$B$11,Paramètres!$A$1:$I$89,5,0)</f>
        <v>-8.2291080616414541E-13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430.11660085503223</v>
      </c>
      <c r="BJ183" s="60">
        <f t="shared" si="146"/>
        <v>231.36959598460686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-9.0949470177292824E-13</v>
      </c>
      <c r="BZ183" s="14">
        <f>BY183*VLOOKUP('Données projet'!$B$12,Paramètres!$A$1:$I$89,3,0)*VLOOKUP('Données projet'!$B$12,Paramètres!$A$1:$I$89,5,0)</f>
        <v>-9.2222762759774924E-13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476.8965664931755</v>
      </c>
      <c r="CE183" s="60">
        <f t="shared" si="148"/>
        <v>254.25036207346591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-9.0949470177292824E-13</v>
      </c>
      <c r="CU183" s="18">
        <f>CT183*VLOOKUP('Données projet'!$B$13,Paramètres!$A$1:$I$89,3,0)*VLOOKUP('Données projet'!$B$13,Paramètres!$A$1:$I$89,5,0)</f>
        <v>-8.7966327555477625E-13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456.86147223520601</v>
      </c>
      <c r="CZ183" s="60">
        <f t="shared" si="150"/>
        <v>244.45149244446094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2.5579538487363607E-13</v>
      </c>
      <c r="DP183" s="18">
        <f>DO183*VLOOKUP('Données projet'!$B$14,Paramètres!$A$1:$I$89,3,0)*VLOOKUP('Données projet'!$B$14,Paramètres!$A$1:$I$89,5,0)</f>
        <v>2.4341488824575211E-13</v>
      </c>
      <c r="DQ183" s="14">
        <f t="shared" si="176"/>
        <v>3.2970717324875541E-12</v>
      </c>
      <c r="DR183" s="22">
        <f t="shared" si="177"/>
        <v>6.1663475311105072E-12</v>
      </c>
      <c r="DS183" s="60">
        <f t="shared" si="125"/>
        <v>293.33333333333945</v>
      </c>
      <c r="DT183" s="60">
        <f ca="1">AVERAGE(OFFSET($DS$3,0,0,'Données projet'!$E$14+1,1))-AVERAGE(OFFSET($H$3,0,0,'Données projet'!$E$14+1,1))</f>
        <v>300.36889324671682</v>
      </c>
      <c r="DU183" s="60">
        <f t="shared" si="152"/>
        <v>214.36051699039683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-4.9658410716801891E-14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202.46844517174412</v>
      </c>
      <c r="EP183" s="60">
        <f t="shared" si="154"/>
        <v>185.00219255324515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7.626113074366004E-14</v>
      </c>
      <c r="FG183" s="14">
        <f t="shared" si="182"/>
        <v>1.1823749172251317E-12</v>
      </c>
      <c r="FH183" s="22">
        <f t="shared" si="183"/>
        <v>2.1921244502123119E-12</v>
      </c>
      <c r="FI183" s="60">
        <f t="shared" si="131"/>
        <v>293.33333333333553</v>
      </c>
      <c r="FJ183" s="60">
        <f ca="1">AVERAGE(OFFSET($FI$3,0,0,'Données projet'!$E$16+1,1))-AVERAGE(OFFSET($H$3,0,0,'Données projet'!$E$16+1,1))</f>
        <v>344.87493856469382</v>
      </c>
      <c r="FK183" s="60">
        <f t="shared" si="156"/>
        <v>261.91036689641402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268.19959446602911</v>
      </c>
      <c r="GF183" s="60">
        <f t="shared" si="158"/>
        <v>691.2533336811855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7.3697785959586284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7.3697785959586284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1.1368683772161603E-13</v>
      </c>
      <c r="GV183" s="18">
        <f>GU183*VLOOKUP('Données projet'!$B$18,Paramètres!$A$1:$I$89,3,0)*VLOOKUP('Données projet'!$B$18,Paramètres!$A$1:$I$89,5,0)</f>
        <v>8.8675733422860506E-14</v>
      </c>
      <c r="GW183" s="14">
        <f t="shared" si="188"/>
        <v>1.3509285393066301E-12</v>
      </c>
      <c r="GX183" s="22">
        <f t="shared" si="189"/>
        <v>2.5073107750038623E-12</v>
      </c>
      <c r="GY183" s="60">
        <f t="shared" si="137"/>
        <v>293.33333333333582</v>
      </c>
      <c r="GZ183" s="60">
        <f ca="1">AVERAGE(OFFSET($GY$3,0,0,'Données projet'!$E$18+1,1))-AVERAGE(OFFSET($H$3,0,0,'Données projet'!$E$18+1,1))</f>
        <v>292.57482726862594</v>
      </c>
      <c r="HA183" s="60">
        <f t="shared" si="160"/>
        <v>283.48738729114024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399.92909819003523</v>
      </c>
      <c r="T184" s="60">
        <f t="shared" si="142"/>
        <v>163.7053537268381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-5.6843418860808015E-13</v>
      </c>
      <c r="AJ184" s="14">
        <f>AI184*VLOOKUP('Données projet'!$B$10,Paramètres!$A$1:$I$89,3,0)*VLOOKUP('Données projet'!$B$10,Paramètres!$A$1:$I$89,5,0)</f>
        <v>-3.39923644787632E-13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455.43477166687273</v>
      </c>
      <c r="AO184" s="60">
        <f t="shared" si="144"/>
        <v>312.81310692672895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-9.0949470177292824E-13</v>
      </c>
      <c r="BE184" s="14">
        <f>BD184*VLOOKUP('Données projet'!$B$11,Paramètres!$A$1:$I$89,3,0)*VLOOKUP('Données projet'!$B$11,Paramètres!$A$1:$I$89,5,0)</f>
        <v>-8.2291080616414541E-13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430.11660085503223</v>
      </c>
      <c r="BJ184" s="60">
        <f t="shared" si="146"/>
        <v>231.36959598460686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-9.0949470177292824E-13</v>
      </c>
      <c r="BZ184" s="14">
        <f>BY184*VLOOKUP('Données projet'!$B$12,Paramètres!$A$1:$I$89,3,0)*VLOOKUP('Données projet'!$B$12,Paramètres!$A$1:$I$89,5,0)</f>
        <v>-9.2222762759774924E-13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476.8965664931755</v>
      </c>
      <c r="CE184" s="60">
        <f t="shared" si="148"/>
        <v>254.25036207346591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-9.0949470177292824E-13</v>
      </c>
      <c r="CU184" s="18">
        <f>CT184*VLOOKUP('Données projet'!$B$13,Paramètres!$A$1:$I$89,3,0)*VLOOKUP('Données projet'!$B$13,Paramètres!$A$1:$I$89,5,0)</f>
        <v>-8.7966327555477625E-13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456.86147223520601</v>
      </c>
      <c r="CZ184" s="60">
        <f t="shared" si="150"/>
        <v>244.45149244446094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2.5579538487363607E-13</v>
      </c>
      <c r="DP184" s="18">
        <f>DO184*VLOOKUP('Données projet'!$B$14,Paramètres!$A$1:$I$89,3,0)*VLOOKUP('Données projet'!$B$14,Paramètres!$A$1:$I$89,5,0)</f>
        <v>2.4341488824575211E-13</v>
      </c>
      <c r="DQ184" s="14">
        <f t="shared" si="176"/>
        <v>3.2970717324875541E-12</v>
      </c>
      <c r="DR184" s="22">
        <f t="shared" si="177"/>
        <v>6.1663475311105072E-12</v>
      </c>
      <c r="DS184" s="60">
        <f t="shared" si="125"/>
        <v>293.33333333333945</v>
      </c>
      <c r="DT184" s="60">
        <f ca="1">AVERAGE(OFFSET($DS$3,0,0,'Données projet'!$E$14+1,1))-AVERAGE(OFFSET($H$3,0,0,'Données projet'!$E$14+1,1))</f>
        <v>300.36889324671682</v>
      </c>
      <c r="DU184" s="60">
        <f t="shared" si="152"/>
        <v>214.36051699039683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-4.9658410716801891E-14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202.46844517174412</v>
      </c>
      <c r="EP184" s="60">
        <f t="shared" si="154"/>
        <v>185.00219255324515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7.626113074366004E-14</v>
      </c>
      <c r="FG184" s="14">
        <f t="shared" si="182"/>
        <v>1.1823749172251317E-12</v>
      </c>
      <c r="FH184" s="22">
        <f t="shared" si="183"/>
        <v>2.1921244502123119E-12</v>
      </c>
      <c r="FI184" s="60">
        <f t="shared" si="131"/>
        <v>293.33333333333553</v>
      </c>
      <c r="FJ184" s="60">
        <f ca="1">AVERAGE(OFFSET($FI$3,0,0,'Données projet'!$E$16+1,1))-AVERAGE(OFFSET($H$3,0,0,'Données projet'!$E$16+1,1))</f>
        <v>344.87493856469382</v>
      </c>
      <c r="FK184" s="60">
        <f t="shared" si="156"/>
        <v>261.91036689641402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268.19959446602911</v>
      </c>
      <c r="GF184" s="60">
        <f t="shared" si="158"/>
        <v>691.2533336811855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7.2252617328129665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7.2252617328129665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1.1368683772161603E-13</v>
      </c>
      <c r="GV184" s="18">
        <f>GU184*VLOOKUP('Données projet'!$B$18,Paramètres!$A$1:$I$89,3,0)*VLOOKUP('Données projet'!$B$18,Paramètres!$A$1:$I$89,5,0)</f>
        <v>8.8675733422860506E-14</v>
      </c>
      <c r="GW184" s="14">
        <f t="shared" si="188"/>
        <v>1.3509285393066301E-12</v>
      </c>
      <c r="GX184" s="22">
        <f t="shared" si="189"/>
        <v>2.5073107750038623E-12</v>
      </c>
      <c r="GY184" s="60">
        <f t="shared" si="137"/>
        <v>293.33333333333582</v>
      </c>
      <c r="GZ184" s="60">
        <f ca="1">AVERAGE(OFFSET($GY$3,0,0,'Données projet'!$E$18+1,1))-AVERAGE(OFFSET($H$3,0,0,'Données projet'!$E$18+1,1))</f>
        <v>292.57482726862594</v>
      </c>
      <c r="HA184" s="60">
        <f t="shared" si="160"/>
        <v>283.48738729114024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399.92909819003523</v>
      </c>
      <c r="T185" s="60">
        <f t="shared" si="142"/>
        <v>163.7053537268381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-5.6843418860808015E-13</v>
      </c>
      <c r="AJ185" s="14">
        <f>AI185*VLOOKUP('Données projet'!$B$10,Paramètres!$A$1:$I$89,3,0)*VLOOKUP('Données projet'!$B$10,Paramètres!$A$1:$I$89,5,0)</f>
        <v>-3.39923644787632E-13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455.43477166687273</v>
      </c>
      <c r="AO185" s="60">
        <f t="shared" si="144"/>
        <v>312.81310692672895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-9.0949470177292824E-13</v>
      </c>
      <c r="BE185" s="14">
        <f>BD185*VLOOKUP('Données projet'!$B$11,Paramètres!$A$1:$I$89,3,0)*VLOOKUP('Données projet'!$B$11,Paramètres!$A$1:$I$89,5,0)</f>
        <v>-8.2291080616414541E-13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430.11660085503223</v>
      </c>
      <c r="BJ185" s="60">
        <f t="shared" si="146"/>
        <v>231.36959598460686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-9.0949470177292824E-13</v>
      </c>
      <c r="BZ185" s="14">
        <f>BY185*VLOOKUP('Données projet'!$B$12,Paramètres!$A$1:$I$89,3,0)*VLOOKUP('Données projet'!$B$12,Paramètres!$A$1:$I$89,5,0)</f>
        <v>-9.2222762759774924E-13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476.8965664931755</v>
      </c>
      <c r="CE185" s="60">
        <f t="shared" si="148"/>
        <v>254.25036207346591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-9.0949470177292824E-13</v>
      </c>
      <c r="CU185" s="18">
        <f>CT185*VLOOKUP('Données projet'!$B$13,Paramètres!$A$1:$I$89,3,0)*VLOOKUP('Données projet'!$B$13,Paramètres!$A$1:$I$89,5,0)</f>
        <v>-8.7966327555477625E-13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456.86147223520601</v>
      </c>
      <c r="CZ185" s="60">
        <f t="shared" si="150"/>
        <v>244.45149244446094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2.5579538487363607E-13</v>
      </c>
      <c r="DP185" s="18">
        <f>DO185*VLOOKUP('Données projet'!$B$14,Paramètres!$A$1:$I$89,3,0)*VLOOKUP('Données projet'!$B$14,Paramètres!$A$1:$I$89,5,0)</f>
        <v>2.4341488824575211E-13</v>
      </c>
      <c r="DQ185" s="14">
        <f t="shared" si="176"/>
        <v>3.2970717324875541E-12</v>
      </c>
      <c r="DR185" s="22">
        <f t="shared" si="177"/>
        <v>6.1663475311105072E-12</v>
      </c>
      <c r="DS185" s="60">
        <f t="shared" si="125"/>
        <v>293.33333333333945</v>
      </c>
      <c r="DT185" s="60">
        <f ca="1">AVERAGE(OFFSET($DS$3,0,0,'Données projet'!$E$14+1,1))-AVERAGE(OFFSET($H$3,0,0,'Données projet'!$E$14+1,1))</f>
        <v>300.36889324671682</v>
      </c>
      <c r="DU185" s="60">
        <f t="shared" si="152"/>
        <v>214.36051699039683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-4.9658410716801891E-14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202.46844517174412</v>
      </c>
      <c r="EP185" s="60">
        <f t="shared" si="154"/>
        <v>185.00219255324515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7.626113074366004E-14</v>
      </c>
      <c r="FG185" s="14">
        <f t="shared" si="182"/>
        <v>1.1823749172251317E-12</v>
      </c>
      <c r="FH185" s="22">
        <f t="shared" si="183"/>
        <v>2.1921244502123119E-12</v>
      </c>
      <c r="FI185" s="60">
        <f t="shared" si="131"/>
        <v>293.33333333333553</v>
      </c>
      <c r="FJ185" s="60">
        <f ca="1">AVERAGE(OFFSET($FI$3,0,0,'Données projet'!$E$16+1,1))-AVERAGE(OFFSET($H$3,0,0,'Données projet'!$E$16+1,1))</f>
        <v>344.87493856469382</v>
      </c>
      <c r="FK185" s="60">
        <f t="shared" si="156"/>
        <v>261.91036689641402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268.19959446602911</v>
      </c>
      <c r="GF185" s="60">
        <f t="shared" si="158"/>
        <v>691.2533336811855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7.0835787572070084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7.0835787572070084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1.1368683772161603E-13</v>
      </c>
      <c r="GV185" s="18">
        <f>GU185*VLOOKUP('Données projet'!$B$18,Paramètres!$A$1:$I$89,3,0)*VLOOKUP('Données projet'!$B$18,Paramètres!$A$1:$I$89,5,0)</f>
        <v>8.8675733422860506E-14</v>
      </c>
      <c r="GW185" s="14">
        <f t="shared" si="188"/>
        <v>1.3509285393066301E-12</v>
      </c>
      <c r="GX185" s="22">
        <f t="shared" si="189"/>
        <v>2.5073107750038623E-12</v>
      </c>
      <c r="GY185" s="60">
        <f t="shared" si="137"/>
        <v>293.33333333333582</v>
      </c>
      <c r="GZ185" s="60">
        <f ca="1">AVERAGE(OFFSET($GY$3,0,0,'Données projet'!$E$18+1,1))-AVERAGE(OFFSET($H$3,0,0,'Données projet'!$E$18+1,1))</f>
        <v>292.57482726862594</v>
      </c>
      <c r="HA185" s="60">
        <f t="shared" si="160"/>
        <v>283.48738729114024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399.92909819003523</v>
      </c>
      <c r="T186" s="60">
        <f t="shared" si="142"/>
        <v>163.7053537268381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-5.6843418860808015E-13</v>
      </c>
      <c r="AJ186" s="14">
        <f>AI186*VLOOKUP('Données projet'!$B$10,Paramètres!$A$1:$I$89,3,0)*VLOOKUP('Données projet'!$B$10,Paramètres!$A$1:$I$89,5,0)</f>
        <v>-3.39923644787632E-13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455.43477166687273</v>
      </c>
      <c r="AO186" s="60">
        <f t="shared" si="144"/>
        <v>312.81310692672895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-9.0949470177292824E-13</v>
      </c>
      <c r="BE186" s="14">
        <f>BD186*VLOOKUP('Données projet'!$B$11,Paramètres!$A$1:$I$89,3,0)*VLOOKUP('Données projet'!$B$11,Paramètres!$A$1:$I$89,5,0)</f>
        <v>-8.2291080616414541E-13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430.11660085503223</v>
      </c>
      <c r="BJ186" s="60">
        <f t="shared" si="146"/>
        <v>231.36959598460686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-9.0949470177292824E-13</v>
      </c>
      <c r="BZ186" s="14">
        <f>BY186*VLOOKUP('Données projet'!$B$12,Paramètres!$A$1:$I$89,3,0)*VLOOKUP('Données projet'!$B$12,Paramètres!$A$1:$I$89,5,0)</f>
        <v>-9.2222762759774924E-13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476.8965664931755</v>
      </c>
      <c r="CE186" s="60">
        <f t="shared" si="148"/>
        <v>254.25036207346591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-9.0949470177292824E-13</v>
      </c>
      <c r="CU186" s="18">
        <f>CT186*VLOOKUP('Données projet'!$B$13,Paramètres!$A$1:$I$89,3,0)*VLOOKUP('Données projet'!$B$13,Paramètres!$A$1:$I$89,5,0)</f>
        <v>-8.7966327555477625E-13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456.86147223520601</v>
      </c>
      <c r="CZ186" s="60">
        <f t="shared" si="150"/>
        <v>244.45149244446094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2.5579538487363607E-13</v>
      </c>
      <c r="DP186" s="18">
        <f>DO186*VLOOKUP('Données projet'!$B$14,Paramètres!$A$1:$I$89,3,0)*VLOOKUP('Données projet'!$B$14,Paramètres!$A$1:$I$89,5,0)</f>
        <v>2.4341488824575211E-13</v>
      </c>
      <c r="DQ186" s="14">
        <f t="shared" si="176"/>
        <v>3.2970717324875541E-12</v>
      </c>
      <c r="DR186" s="22">
        <f t="shared" si="177"/>
        <v>6.1663475311105072E-12</v>
      </c>
      <c r="DS186" s="60">
        <f t="shared" si="125"/>
        <v>293.33333333333945</v>
      </c>
      <c r="DT186" s="60">
        <f ca="1">AVERAGE(OFFSET($DS$3,0,0,'Données projet'!$E$14+1,1))-AVERAGE(OFFSET($H$3,0,0,'Données projet'!$E$14+1,1))</f>
        <v>300.36889324671682</v>
      </c>
      <c r="DU186" s="60">
        <f t="shared" si="152"/>
        <v>214.36051699039683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-4.9658410716801891E-14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202.46844517174412</v>
      </c>
      <c r="EP186" s="60">
        <f t="shared" si="154"/>
        <v>185.00219255324515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7.626113074366004E-14</v>
      </c>
      <c r="FG186" s="14">
        <f t="shared" si="182"/>
        <v>1.1823749172251317E-12</v>
      </c>
      <c r="FH186" s="22">
        <f t="shared" si="183"/>
        <v>2.1921244502123119E-12</v>
      </c>
      <c r="FI186" s="60">
        <f t="shared" si="131"/>
        <v>293.33333333333553</v>
      </c>
      <c r="FJ186" s="60">
        <f ca="1">AVERAGE(OFFSET($FI$3,0,0,'Données projet'!$E$16+1,1))-AVERAGE(OFFSET($H$3,0,0,'Données projet'!$E$16+1,1))</f>
        <v>344.87493856469382</v>
      </c>
      <c r="FK186" s="60">
        <f t="shared" si="156"/>
        <v>261.91036689641402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268.19959446602911</v>
      </c>
      <c r="GF186" s="60">
        <f t="shared" si="158"/>
        <v>691.2533336811855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6.9446740983346009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6.9446740983346009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1.1368683772161603E-13</v>
      </c>
      <c r="GV186" s="18">
        <f>GU186*VLOOKUP('Données projet'!$B$18,Paramètres!$A$1:$I$89,3,0)*VLOOKUP('Données projet'!$B$18,Paramètres!$A$1:$I$89,5,0)</f>
        <v>8.8675733422860506E-14</v>
      </c>
      <c r="GW186" s="14">
        <f t="shared" si="188"/>
        <v>1.3509285393066301E-12</v>
      </c>
      <c r="GX186" s="22">
        <f t="shared" si="189"/>
        <v>2.5073107750038623E-12</v>
      </c>
      <c r="GY186" s="60">
        <f t="shared" si="137"/>
        <v>293.33333333333582</v>
      </c>
      <c r="GZ186" s="60">
        <f ca="1">AVERAGE(OFFSET($GY$3,0,0,'Données projet'!$E$18+1,1))-AVERAGE(OFFSET($H$3,0,0,'Données projet'!$E$18+1,1))</f>
        <v>292.57482726862594</v>
      </c>
      <c r="HA186" s="60">
        <f t="shared" si="160"/>
        <v>283.48738729114024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399.92909819003523</v>
      </c>
      <c r="T187" s="60">
        <f t="shared" si="142"/>
        <v>163.7053537268381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-5.6843418860808015E-13</v>
      </c>
      <c r="AJ187" s="14">
        <f>AI187*VLOOKUP('Données projet'!$B$10,Paramètres!$A$1:$I$89,3,0)*VLOOKUP('Données projet'!$B$10,Paramètres!$A$1:$I$89,5,0)</f>
        <v>-3.39923644787632E-13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455.43477166687273</v>
      </c>
      <c r="AO187" s="60">
        <f t="shared" si="144"/>
        <v>312.81310692672895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-9.0949470177292824E-13</v>
      </c>
      <c r="BE187" s="14">
        <f>BD187*VLOOKUP('Données projet'!$B$11,Paramètres!$A$1:$I$89,3,0)*VLOOKUP('Données projet'!$B$11,Paramètres!$A$1:$I$89,5,0)</f>
        <v>-8.2291080616414541E-13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430.11660085503223</v>
      </c>
      <c r="BJ187" s="60">
        <f t="shared" si="146"/>
        <v>231.36959598460686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-9.0949470177292824E-13</v>
      </c>
      <c r="BZ187" s="14">
        <f>BY187*VLOOKUP('Données projet'!$B$12,Paramètres!$A$1:$I$89,3,0)*VLOOKUP('Données projet'!$B$12,Paramètres!$A$1:$I$89,5,0)</f>
        <v>-9.2222762759774924E-13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476.8965664931755</v>
      </c>
      <c r="CE187" s="60">
        <f t="shared" si="148"/>
        <v>254.25036207346591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-9.0949470177292824E-13</v>
      </c>
      <c r="CU187" s="18">
        <f>CT187*VLOOKUP('Données projet'!$B$13,Paramètres!$A$1:$I$89,3,0)*VLOOKUP('Données projet'!$B$13,Paramètres!$A$1:$I$89,5,0)</f>
        <v>-8.7966327555477625E-13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456.86147223520601</v>
      </c>
      <c r="CZ187" s="60">
        <f t="shared" si="150"/>
        <v>244.45149244446094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2.5579538487363607E-13</v>
      </c>
      <c r="DP187" s="18">
        <f>DO187*VLOOKUP('Données projet'!$B$14,Paramètres!$A$1:$I$89,3,0)*VLOOKUP('Données projet'!$B$14,Paramètres!$A$1:$I$89,5,0)</f>
        <v>2.4341488824575211E-13</v>
      </c>
      <c r="DQ187" s="14">
        <f t="shared" si="176"/>
        <v>3.2970717324875541E-12</v>
      </c>
      <c r="DR187" s="22">
        <f t="shared" si="177"/>
        <v>6.1663475311105072E-12</v>
      </c>
      <c r="DS187" s="60">
        <f t="shared" si="125"/>
        <v>293.33333333333945</v>
      </c>
      <c r="DT187" s="60">
        <f ca="1">AVERAGE(OFFSET($DS$3,0,0,'Données projet'!$E$14+1,1))-AVERAGE(OFFSET($H$3,0,0,'Données projet'!$E$14+1,1))</f>
        <v>300.36889324671682</v>
      </c>
      <c r="DU187" s="60">
        <f t="shared" si="152"/>
        <v>214.36051699039683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-4.9658410716801891E-14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202.46844517174412</v>
      </c>
      <c r="EP187" s="60">
        <f t="shared" si="154"/>
        <v>185.00219255324515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7.626113074366004E-14</v>
      </c>
      <c r="FG187" s="14">
        <f t="shared" si="182"/>
        <v>1.1823749172251317E-12</v>
      </c>
      <c r="FH187" s="22">
        <f t="shared" si="183"/>
        <v>2.1921244502123119E-12</v>
      </c>
      <c r="FI187" s="60">
        <f t="shared" si="131"/>
        <v>293.33333333333553</v>
      </c>
      <c r="FJ187" s="60">
        <f ca="1">AVERAGE(OFFSET($FI$3,0,0,'Données projet'!$E$16+1,1))-AVERAGE(OFFSET($H$3,0,0,'Données projet'!$E$16+1,1))</f>
        <v>344.87493856469382</v>
      </c>
      <c r="FK187" s="60">
        <f t="shared" si="156"/>
        <v>261.91036689641402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268.19959446602911</v>
      </c>
      <c r="GF187" s="60">
        <f t="shared" si="158"/>
        <v>691.2533336811855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6.808493275099206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6.808493275099206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1.1368683772161603E-13</v>
      </c>
      <c r="GV187" s="18">
        <f>GU187*VLOOKUP('Données projet'!$B$18,Paramètres!$A$1:$I$89,3,0)*VLOOKUP('Données projet'!$B$18,Paramètres!$A$1:$I$89,5,0)</f>
        <v>8.8675733422860506E-14</v>
      </c>
      <c r="GW187" s="14">
        <f t="shared" si="188"/>
        <v>1.3509285393066301E-12</v>
      </c>
      <c r="GX187" s="22">
        <f t="shared" si="189"/>
        <v>2.5073107750038623E-12</v>
      </c>
      <c r="GY187" s="60">
        <f t="shared" si="137"/>
        <v>293.33333333333582</v>
      </c>
      <c r="GZ187" s="60">
        <f ca="1">AVERAGE(OFFSET($GY$3,0,0,'Données projet'!$E$18+1,1))-AVERAGE(OFFSET($H$3,0,0,'Données projet'!$E$18+1,1))</f>
        <v>292.57482726862594</v>
      </c>
      <c r="HA187" s="60">
        <f t="shared" si="160"/>
        <v>283.48738729114024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399.92909819003523</v>
      </c>
      <c r="T188" s="60">
        <f t="shared" si="142"/>
        <v>163.7053537268381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-5.6843418860808015E-13</v>
      </c>
      <c r="AJ188" s="14">
        <f>AI188*VLOOKUP('Données projet'!$B$10,Paramètres!$A$1:$I$89,3,0)*VLOOKUP('Données projet'!$B$10,Paramètres!$A$1:$I$89,5,0)</f>
        <v>-3.39923644787632E-13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455.43477166687273</v>
      </c>
      <c r="AO188" s="60">
        <f t="shared" si="144"/>
        <v>312.81310692672895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-9.0949470177292824E-13</v>
      </c>
      <c r="BE188" s="14">
        <f>BD188*VLOOKUP('Données projet'!$B$11,Paramètres!$A$1:$I$89,3,0)*VLOOKUP('Données projet'!$B$11,Paramètres!$A$1:$I$89,5,0)</f>
        <v>-8.2291080616414541E-13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430.11660085503223</v>
      </c>
      <c r="BJ188" s="60">
        <f t="shared" si="146"/>
        <v>231.36959598460686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-9.0949470177292824E-13</v>
      </c>
      <c r="BZ188" s="14">
        <f>BY188*VLOOKUP('Données projet'!$B$12,Paramètres!$A$1:$I$89,3,0)*VLOOKUP('Données projet'!$B$12,Paramètres!$A$1:$I$89,5,0)</f>
        <v>-9.2222762759774924E-13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476.8965664931755</v>
      </c>
      <c r="CE188" s="60">
        <f t="shared" si="148"/>
        <v>254.25036207346591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-9.0949470177292824E-13</v>
      </c>
      <c r="CU188" s="18">
        <f>CT188*VLOOKUP('Données projet'!$B$13,Paramètres!$A$1:$I$89,3,0)*VLOOKUP('Données projet'!$B$13,Paramètres!$A$1:$I$89,5,0)</f>
        <v>-8.7966327555477625E-13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456.86147223520601</v>
      </c>
      <c r="CZ188" s="60">
        <f t="shared" si="150"/>
        <v>244.45149244446094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2.5579538487363607E-13</v>
      </c>
      <c r="DP188" s="18">
        <f>DO188*VLOOKUP('Données projet'!$B$14,Paramètres!$A$1:$I$89,3,0)*VLOOKUP('Données projet'!$B$14,Paramètres!$A$1:$I$89,5,0)</f>
        <v>2.4341488824575211E-13</v>
      </c>
      <c r="DQ188" s="14">
        <f t="shared" si="176"/>
        <v>3.2970717324875541E-12</v>
      </c>
      <c r="DR188" s="22">
        <f t="shared" si="177"/>
        <v>6.1663475311105072E-12</v>
      </c>
      <c r="DS188" s="60">
        <f t="shared" si="125"/>
        <v>293.33333333333945</v>
      </c>
      <c r="DT188" s="60">
        <f ca="1">AVERAGE(OFFSET($DS$3,0,0,'Données projet'!$E$14+1,1))-AVERAGE(OFFSET($H$3,0,0,'Données projet'!$E$14+1,1))</f>
        <v>300.36889324671682</v>
      </c>
      <c r="DU188" s="60">
        <f t="shared" si="152"/>
        <v>214.36051699039683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-4.9658410716801891E-14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202.46844517174412</v>
      </c>
      <c r="EP188" s="60">
        <f t="shared" si="154"/>
        <v>185.00219255324515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7.626113074366004E-14</v>
      </c>
      <c r="FG188" s="14">
        <f t="shared" si="182"/>
        <v>1.1823749172251317E-12</v>
      </c>
      <c r="FH188" s="22">
        <f t="shared" si="183"/>
        <v>2.1921244502123119E-12</v>
      </c>
      <c r="FI188" s="60">
        <f t="shared" si="131"/>
        <v>293.33333333333553</v>
      </c>
      <c r="FJ188" s="60">
        <f ca="1">AVERAGE(OFFSET($FI$3,0,0,'Données projet'!$E$16+1,1))-AVERAGE(OFFSET($H$3,0,0,'Données projet'!$E$16+1,1))</f>
        <v>344.87493856469382</v>
      </c>
      <c r="FK188" s="60">
        <f t="shared" si="156"/>
        <v>261.91036689641402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268.19959446602911</v>
      </c>
      <c r="GF188" s="60">
        <f t="shared" si="158"/>
        <v>691.2533336811855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6.6749828747453561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6.6749828747453561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1.1368683772161603E-13</v>
      </c>
      <c r="GV188" s="18">
        <f>GU188*VLOOKUP('Données projet'!$B$18,Paramètres!$A$1:$I$89,3,0)*VLOOKUP('Données projet'!$B$18,Paramètres!$A$1:$I$89,5,0)</f>
        <v>8.8675733422860506E-14</v>
      </c>
      <c r="GW188" s="14">
        <f t="shared" si="188"/>
        <v>1.3509285393066301E-12</v>
      </c>
      <c r="GX188" s="22">
        <f t="shared" si="189"/>
        <v>2.5073107750038623E-12</v>
      </c>
      <c r="GY188" s="60">
        <f t="shared" si="137"/>
        <v>293.33333333333582</v>
      </c>
      <c r="GZ188" s="60">
        <f ca="1">AVERAGE(OFFSET($GY$3,0,0,'Données projet'!$E$18+1,1))-AVERAGE(OFFSET($H$3,0,0,'Données projet'!$E$18+1,1))</f>
        <v>292.57482726862594</v>
      </c>
      <c r="HA188" s="60">
        <f t="shared" si="160"/>
        <v>283.48738729114024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399.92909819003523</v>
      </c>
      <c r="T189" s="60">
        <f t="shared" si="142"/>
        <v>163.7053537268381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-5.6843418860808015E-13</v>
      </c>
      <c r="AJ189" s="14">
        <f>AI189*VLOOKUP('Données projet'!$B$10,Paramètres!$A$1:$I$89,3,0)*VLOOKUP('Données projet'!$B$10,Paramètres!$A$1:$I$89,5,0)</f>
        <v>-3.39923644787632E-13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455.43477166687273</v>
      </c>
      <c r="AO189" s="60">
        <f t="shared" si="144"/>
        <v>312.81310692672895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-9.0949470177292824E-13</v>
      </c>
      <c r="BE189" s="14">
        <f>BD189*VLOOKUP('Données projet'!$B$11,Paramètres!$A$1:$I$89,3,0)*VLOOKUP('Données projet'!$B$11,Paramètres!$A$1:$I$89,5,0)</f>
        <v>-8.2291080616414541E-13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430.11660085503223</v>
      </c>
      <c r="BJ189" s="60">
        <f t="shared" si="146"/>
        <v>231.36959598460686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-9.0949470177292824E-13</v>
      </c>
      <c r="BZ189" s="14">
        <f>BY189*VLOOKUP('Données projet'!$B$12,Paramètres!$A$1:$I$89,3,0)*VLOOKUP('Données projet'!$B$12,Paramètres!$A$1:$I$89,5,0)</f>
        <v>-9.2222762759774924E-13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476.8965664931755</v>
      </c>
      <c r="CE189" s="60">
        <f t="shared" si="148"/>
        <v>254.25036207346591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-9.0949470177292824E-13</v>
      </c>
      <c r="CU189" s="18">
        <f>CT189*VLOOKUP('Données projet'!$B$13,Paramètres!$A$1:$I$89,3,0)*VLOOKUP('Données projet'!$B$13,Paramètres!$A$1:$I$89,5,0)</f>
        <v>-8.7966327555477625E-13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456.86147223520601</v>
      </c>
      <c r="CZ189" s="60">
        <f t="shared" si="150"/>
        <v>244.45149244446094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2.5579538487363607E-13</v>
      </c>
      <c r="DP189" s="18">
        <f>DO189*VLOOKUP('Données projet'!$B$14,Paramètres!$A$1:$I$89,3,0)*VLOOKUP('Données projet'!$B$14,Paramètres!$A$1:$I$89,5,0)</f>
        <v>2.4341488824575211E-13</v>
      </c>
      <c r="DQ189" s="14">
        <f t="shared" si="176"/>
        <v>3.2970717324875541E-12</v>
      </c>
      <c r="DR189" s="22">
        <f t="shared" si="177"/>
        <v>6.1663475311105072E-12</v>
      </c>
      <c r="DS189" s="60">
        <f t="shared" si="125"/>
        <v>293.33333333333945</v>
      </c>
      <c r="DT189" s="60">
        <f ca="1">AVERAGE(OFFSET($DS$3,0,0,'Données projet'!$E$14+1,1))-AVERAGE(OFFSET($H$3,0,0,'Données projet'!$E$14+1,1))</f>
        <v>300.36889324671682</v>
      </c>
      <c r="DU189" s="60">
        <f t="shared" si="152"/>
        <v>214.36051699039683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-4.9658410716801891E-14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202.46844517174412</v>
      </c>
      <c r="EP189" s="60">
        <f t="shared" si="154"/>
        <v>185.00219255324515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7.626113074366004E-14</v>
      </c>
      <c r="FG189" s="14">
        <f t="shared" si="182"/>
        <v>1.1823749172251317E-12</v>
      </c>
      <c r="FH189" s="22">
        <f t="shared" si="183"/>
        <v>2.1921244502123119E-12</v>
      </c>
      <c r="FI189" s="60">
        <f t="shared" si="131"/>
        <v>293.33333333333553</v>
      </c>
      <c r="FJ189" s="60">
        <f ca="1">AVERAGE(OFFSET($FI$3,0,0,'Données projet'!$E$16+1,1))-AVERAGE(OFFSET($H$3,0,0,'Données projet'!$E$16+1,1))</f>
        <v>344.87493856469382</v>
      </c>
      <c r="FK189" s="60">
        <f t="shared" si="156"/>
        <v>261.91036689641402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268.19959446602911</v>
      </c>
      <c r="GF189" s="60">
        <f t="shared" si="158"/>
        <v>691.2533336811855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6.5440905319091422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6.5440905319091422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1.1368683772161603E-13</v>
      </c>
      <c r="GV189" s="18">
        <f>GU189*VLOOKUP('Données projet'!$B$18,Paramètres!$A$1:$I$89,3,0)*VLOOKUP('Données projet'!$B$18,Paramètres!$A$1:$I$89,5,0)</f>
        <v>8.8675733422860506E-14</v>
      </c>
      <c r="GW189" s="14">
        <f t="shared" si="188"/>
        <v>1.3509285393066301E-12</v>
      </c>
      <c r="GX189" s="22">
        <f t="shared" si="189"/>
        <v>2.5073107750038623E-12</v>
      </c>
      <c r="GY189" s="60">
        <f t="shared" si="137"/>
        <v>293.33333333333582</v>
      </c>
      <c r="GZ189" s="60">
        <f ca="1">AVERAGE(OFFSET($GY$3,0,0,'Données projet'!$E$18+1,1))-AVERAGE(OFFSET($H$3,0,0,'Données projet'!$E$18+1,1))</f>
        <v>292.57482726862594</v>
      </c>
      <c r="HA189" s="60">
        <f t="shared" si="160"/>
        <v>283.48738729114024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399.92909819003523</v>
      </c>
      <c r="T190" s="60">
        <f t="shared" si="142"/>
        <v>163.7053537268381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-5.6843418860808015E-13</v>
      </c>
      <c r="AJ190" s="14">
        <f>AI190*VLOOKUP('Données projet'!$B$10,Paramètres!$A$1:$I$89,3,0)*VLOOKUP('Données projet'!$B$10,Paramètres!$A$1:$I$89,5,0)</f>
        <v>-3.39923644787632E-13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455.43477166687273</v>
      </c>
      <c r="AO190" s="60">
        <f t="shared" si="144"/>
        <v>312.81310692672895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-9.0949470177292824E-13</v>
      </c>
      <c r="BE190" s="14">
        <f>BD190*VLOOKUP('Données projet'!$B$11,Paramètres!$A$1:$I$89,3,0)*VLOOKUP('Données projet'!$B$11,Paramètres!$A$1:$I$89,5,0)</f>
        <v>-8.2291080616414541E-13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430.11660085503223</v>
      </c>
      <c r="BJ190" s="60">
        <f t="shared" si="146"/>
        <v>231.36959598460686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-9.0949470177292824E-13</v>
      </c>
      <c r="BZ190" s="14">
        <f>BY190*VLOOKUP('Données projet'!$B$12,Paramètres!$A$1:$I$89,3,0)*VLOOKUP('Données projet'!$B$12,Paramètres!$A$1:$I$89,5,0)</f>
        <v>-9.2222762759774924E-13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476.8965664931755</v>
      </c>
      <c r="CE190" s="60">
        <f t="shared" si="148"/>
        <v>254.25036207346591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-9.0949470177292824E-13</v>
      </c>
      <c r="CU190" s="18">
        <f>CT190*VLOOKUP('Données projet'!$B$13,Paramètres!$A$1:$I$89,3,0)*VLOOKUP('Données projet'!$B$13,Paramètres!$A$1:$I$89,5,0)</f>
        <v>-8.7966327555477625E-13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456.86147223520601</v>
      </c>
      <c r="CZ190" s="60">
        <f t="shared" si="150"/>
        <v>244.45149244446094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2.5579538487363607E-13</v>
      </c>
      <c r="DP190" s="18">
        <f>DO190*VLOOKUP('Données projet'!$B$14,Paramètres!$A$1:$I$89,3,0)*VLOOKUP('Données projet'!$B$14,Paramètres!$A$1:$I$89,5,0)</f>
        <v>2.4341488824575211E-13</v>
      </c>
      <c r="DQ190" s="14">
        <f t="shared" si="176"/>
        <v>3.2970717324875541E-12</v>
      </c>
      <c r="DR190" s="22">
        <f t="shared" si="177"/>
        <v>6.1663475311105072E-12</v>
      </c>
      <c r="DS190" s="60">
        <f t="shared" si="125"/>
        <v>293.33333333333945</v>
      </c>
      <c r="DT190" s="60">
        <f ca="1">AVERAGE(OFFSET($DS$3,0,0,'Données projet'!$E$14+1,1))-AVERAGE(OFFSET($H$3,0,0,'Données projet'!$E$14+1,1))</f>
        <v>300.36889324671682</v>
      </c>
      <c r="DU190" s="60">
        <f t="shared" si="152"/>
        <v>214.36051699039683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-4.9658410716801891E-14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202.46844517174412</v>
      </c>
      <c r="EP190" s="60">
        <f t="shared" si="154"/>
        <v>185.00219255324515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7.626113074366004E-14</v>
      </c>
      <c r="FG190" s="14">
        <f t="shared" si="182"/>
        <v>1.1823749172251317E-12</v>
      </c>
      <c r="FH190" s="22">
        <f t="shared" si="183"/>
        <v>2.1921244502123119E-12</v>
      </c>
      <c r="FI190" s="60">
        <f t="shared" si="131"/>
        <v>293.33333333333553</v>
      </c>
      <c r="FJ190" s="60">
        <f ca="1">AVERAGE(OFFSET($FI$3,0,0,'Données projet'!$E$16+1,1))-AVERAGE(OFFSET($H$3,0,0,'Données projet'!$E$16+1,1))</f>
        <v>344.87493856469382</v>
      </c>
      <c r="FK190" s="60">
        <f t="shared" si="156"/>
        <v>261.91036689641402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268.19959446602911</v>
      </c>
      <c r="GF190" s="60">
        <f t="shared" si="158"/>
        <v>691.2533336811855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6.4157649080795007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6.4157649080795007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1.1368683772161603E-13</v>
      </c>
      <c r="GV190" s="18">
        <f>GU190*VLOOKUP('Données projet'!$B$18,Paramètres!$A$1:$I$89,3,0)*VLOOKUP('Données projet'!$B$18,Paramètres!$A$1:$I$89,5,0)</f>
        <v>8.8675733422860506E-14</v>
      </c>
      <c r="GW190" s="14">
        <f t="shared" si="188"/>
        <v>1.3509285393066301E-12</v>
      </c>
      <c r="GX190" s="22">
        <f t="shared" si="189"/>
        <v>2.5073107750038623E-12</v>
      </c>
      <c r="GY190" s="60">
        <f t="shared" si="137"/>
        <v>293.33333333333582</v>
      </c>
      <c r="GZ190" s="60">
        <f ca="1">AVERAGE(OFFSET($GY$3,0,0,'Données projet'!$E$18+1,1))-AVERAGE(OFFSET($H$3,0,0,'Données projet'!$E$18+1,1))</f>
        <v>292.57482726862594</v>
      </c>
      <c r="HA190" s="60">
        <f t="shared" si="160"/>
        <v>283.48738729114024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399.92909819003523</v>
      </c>
      <c r="T191" s="60">
        <f t="shared" si="142"/>
        <v>163.7053537268381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-5.6843418860808015E-13</v>
      </c>
      <c r="AJ191" s="14">
        <f>AI191*VLOOKUP('Données projet'!$B$10,Paramètres!$A$1:$I$89,3,0)*VLOOKUP('Données projet'!$B$10,Paramètres!$A$1:$I$89,5,0)</f>
        <v>-3.39923644787632E-13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455.43477166687273</v>
      </c>
      <c r="AO191" s="60">
        <f t="shared" si="144"/>
        <v>312.81310692672895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-9.0949470177292824E-13</v>
      </c>
      <c r="BE191" s="14">
        <f>BD191*VLOOKUP('Données projet'!$B$11,Paramètres!$A$1:$I$89,3,0)*VLOOKUP('Données projet'!$B$11,Paramètres!$A$1:$I$89,5,0)</f>
        <v>-8.2291080616414541E-13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430.11660085503223</v>
      </c>
      <c r="BJ191" s="60">
        <f t="shared" si="146"/>
        <v>231.36959598460686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-9.0949470177292824E-13</v>
      </c>
      <c r="BZ191" s="14">
        <f>BY191*VLOOKUP('Données projet'!$B$12,Paramètres!$A$1:$I$89,3,0)*VLOOKUP('Données projet'!$B$12,Paramètres!$A$1:$I$89,5,0)</f>
        <v>-9.2222762759774924E-13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476.8965664931755</v>
      </c>
      <c r="CE191" s="60">
        <f t="shared" si="148"/>
        <v>254.25036207346591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-9.0949470177292824E-13</v>
      </c>
      <c r="CU191" s="18">
        <f>CT191*VLOOKUP('Données projet'!$B$13,Paramètres!$A$1:$I$89,3,0)*VLOOKUP('Données projet'!$B$13,Paramètres!$A$1:$I$89,5,0)</f>
        <v>-8.7966327555477625E-13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456.86147223520601</v>
      </c>
      <c r="CZ191" s="60">
        <f t="shared" si="150"/>
        <v>244.45149244446094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2.5579538487363607E-13</v>
      </c>
      <c r="DP191" s="18">
        <f>DO191*VLOOKUP('Données projet'!$B$14,Paramètres!$A$1:$I$89,3,0)*VLOOKUP('Données projet'!$B$14,Paramètres!$A$1:$I$89,5,0)</f>
        <v>2.4341488824575211E-13</v>
      </c>
      <c r="DQ191" s="14">
        <f t="shared" si="176"/>
        <v>3.2970717324875541E-12</v>
      </c>
      <c r="DR191" s="22">
        <f t="shared" si="177"/>
        <v>6.1663475311105072E-12</v>
      </c>
      <c r="DS191" s="60">
        <f t="shared" si="125"/>
        <v>293.33333333333945</v>
      </c>
      <c r="DT191" s="60">
        <f ca="1">AVERAGE(OFFSET($DS$3,0,0,'Données projet'!$E$14+1,1))-AVERAGE(OFFSET($H$3,0,0,'Données projet'!$E$14+1,1))</f>
        <v>300.36889324671682</v>
      </c>
      <c r="DU191" s="60">
        <f t="shared" si="152"/>
        <v>214.36051699039683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-4.9658410716801891E-14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202.46844517174412</v>
      </c>
      <c r="EP191" s="60">
        <f t="shared" si="154"/>
        <v>185.00219255324515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7.626113074366004E-14</v>
      </c>
      <c r="FG191" s="14">
        <f t="shared" si="182"/>
        <v>1.1823749172251317E-12</v>
      </c>
      <c r="FH191" s="22">
        <f t="shared" si="183"/>
        <v>2.1921244502123119E-12</v>
      </c>
      <c r="FI191" s="60">
        <f t="shared" si="131"/>
        <v>293.33333333333553</v>
      </c>
      <c r="FJ191" s="60">
        <f ca="1">AVERAGE(OFFSET($FI$3,0,0,'Données projet'!$E$16+1,1))-AVERAGE(OFFSET($H$3,0,0,'Données projet'!$E$16+1,1))</f>
        <v>344.87493856469382</v>
      </c>
      <c r="FK191" s="60">
        <f t="shared" si="156"/>
        <v>261.91036689641402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268.19959446602911</v>
      </c>
      <c r="GF191" s="60">
        <f t="shared" si="158"/>
        <v>691.2533336811855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6.2899556714622564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6.2899556714622564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1.1368683772161603E-13</v>
      </c>
      <c r="GV191" s="18">
        <f>GU191*VLOOKUP('Données projet'!$B$18,Paramètres!$A$1:$I$89,3,0)*VLOOKUP('Données projet'!$B$18,Paramètres!$A$1:$I$89,5,0)</f>
        <v>8.8675733422860506E-14</v>
      </c>
      <c r="GW191" s="14">
        <f t="shared" si="188"/>
        <v>1.3509285393066301E-12</v>
      </c>
      <c r="GX191" s="22">
        <f t="shared" si="189"/>
        <v>2.5073107750038623E-12</v>
      </c>
      <c r="GY191" s="60">
        <f t="shared" si="137"/>
        <v>293.33333333333582</v>
      </c>
      <c r="GZ191" s="60">
        <f ca="1">AVERAGE(OFFSET($GY$3,0,0,'Données projet'!$E$18+1,1))-AVERAGE(OFFSET($H$3,0,0,'Données projet'!$E$18+1,1))</f>
        <v>292.57482726862594</v>
      </c>
      <c r="HA191" s="60">
        <f t="shared" si="160"/>
        <v>283.48738729114024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399.92909819003523</v>
      </c>
      <c r="T192" s="60">
        <f t="shared" si="142"/>
        <v>163.7053537268381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-5.6843418860808015E-13</v>
      </c>
      <c r="AJ192" s="14">
        <f>AI192*VLOOKUP('Données projet'!$B$10,Paramètres!$A$1:$I$89,3,0)*VLOOKUP('Données projet'!$B$10,Paramètres!$A$1:$I$89,5,0)</f>
        <v>-3.39923644787632E-13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455.43477166687273</v>
      </c>
      <c r="AO192" s="60">
        <f t="shared" si="144"/>
        <v>312.81310692672895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-9.0949470177292824E-13</v>
      </c>
      <c r="BE192" s="14">
        <f>BD192*VLOOKUP('Données projet'!$B$11,Paramètres!$A$1:$I$89,3,0)*VLOOKUP('Données projet'!$B$11,Paramètres!$A$1:$I$89,5,0)</f>
        <v>-8.2291080616414541E-13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430.11660085503223</v>
      </c>
      <c r="BJ192" s="60">
        <f t="shared" si="146"/>
        <v>231.36959598460686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-9.0949470177292824E-13</v>
      </c>
      <c r="BZ192" s="14">
        <f>BY192*VLOOKUP('Données projet'!$B$12,Paramètres!$A$1:$I$89,3,0)*VLOOKUP('Données projet'!$B$12,Paramètres!$A$1:$I$89,5,0)</f>
        <v>-9.2222762759774924E-13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476.8965664931755</v>
      </c>
      <c r="CE192" s="60">
        <f t="shared" si="148"/>
        <v>254.25036207346591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-9.0949470177292824E-13</v>
      </c>
      <c r="CU192" s="18">
        <f>CT192*VLOOKUP('Données projet'!$B$13,Paramètres!$A$1:$I$89,3,0)*VLOOKUP('Données projet'!$B$13,Paramètres!$A$1:$I$89,5,0)</f>
        <v>-8.7966327555477625E-13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456.86147223520601</v>
      </c>
      <c r="CZ192" s="60">
        <f t="shared" si="150"/>
        <v>244.45149244446094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2.5579538487363607E-13</v>
      </c>
      <c r="DP192" s="18">
        <f>DO192*VLOOKUP('Données projet'!$B$14,Paramètres!$A$1:$I$89,3,0)*VLOOKUP('Données projet'!$B$14,Paramètres!$A$1:$I$89,5,0)</f>
        <v>2.4341488824575211E-13</v>
      </c>
      <c r="DQ192" s="14">
        <f t="shared" si="176"/>
        <v>3.2970717324875541E-12</v>
      </c>
      <c r="DR192" s="22">
        <f t="shared" si="177"/>
        <v>6.1663475311105072E-12</v>
      </c>
      <c r="DS192" s="60">
        <f t="shared" si="125"/>
        <v>293.33333333333945</v>
      </c>
      <c r="DT192" s="60">
        <f ca="1">AVERAGE(OFFSET($DS$3,0,0,'Données projet'!$E$14+1,1))-AVERAGE(OFFSET($H$3,0,0,'Données projet'!$E$14+1,1))</f>
        <v>300.36889324671682</v>
      </c>
      <c r="DU192" s="60">
        <f t="shared" si="152"/>
        <v>214.36051699039683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-4.9658410716801891E-14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202.46844517174412</v>
      </c>
      <c r="EP192" s="60">
        <f t="shared" si="154"/>
        <v>185.00219255324515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7.626113074366004E-14</v>
      </c>
      <c r="FG192" s="14">
        <f t="shared" si="182"/>
        <v>1.1823749172251317E-12</v>
      </c>
      <c r="FH192" s="22">
        <f t="shared" si="183"/>
        <v>2.1921244502123119E-12</v>
      </c>
      <c r="FI192" s="60">
        <f t="shared" si="131"/>
        <v>293.33333333333553</v>
      </c>
      <c r="FJ192" s="60">
        <f ca="1">AVERAGE(OFFSET($FI$3,0,0,'Données projet'!$E$16+1,1))-AVERAGE(OFFSET($H$3,0,0,'Données projet'!$E$16+1,1))</f>
        <v>344.87493856469382</v>
      </c>
      <c r="FK192" s="60">
        <f t="shared" si="156"/>
        <v>261.91036689641402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268.19959446602911</v>
      </c>
      <c r="GF192" s="60">
        <f t="shared" si="158"/>
        <v>691.2533336811855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6.1666134772390189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6.1666134772390189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1.1368683772161603E-13</v>
      </c>
      <c r="GV192" s="18">
        <f>GU192*VLOOKUP('Données projet'!$B$18,Paramètres!$A$1:$I$89,3,0)*VLOOKUP('Données projet'!$B$18,Paramètres!$A$1:$I$89,5,0)</f>
        <v>8.8675733422860506E-14</v>
      </c>
      <c r="GW192" s="14">
        <f t="shared" si="188"/>
        <v>1.3509285393066301E-12</v>
      </c>
      <c r="GX192" s="22">
        <f t="shared" si="189"/>
        <v>2.5073107750038623E-12</v>
      </c>
      <c r="GY192" s="60">
        <f t="shared" si="137"/>
        <v>293.33333333333582</v>
      </c>
      <c r="GZ192" s="60">
        <f ca="1">AVERAGE(OFFSET($GY$3,0,0,'Données projet'!$E$18+1,1))-AVERAGE(OFFSET($H$3,0,0,'Données projet'!$E$18+1,1))</f>
        <v>292.57482726862594</v>
      </c>
      <c r="HA192" s="60">
        <f t="shared" si="160"/>
        <v>283.48738729114024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399.92909819003523</v>
      </c>
      <c r="T193" s="60">
        <f t="shared" si="142"/>
        <v>163.7053537268381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-5.6843418860808015E-13</v>
      </c>
      <c r="AJ193" s="14">
        <f>AI193*VLOOKUP('Données projet'!$B$10,Paramètres!$A$1:$I$89,3,0)*VLOOKUP('Données projet'!$B$10,Paramètres!$A$1:$I$89,5,0)</f>
        <v>-3.39923644787632E-13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455.43477166687273</v>
      </c>
      <c r="AO193" s="60">
        <f t="shared" si="144"/>
        <v>312.81310692672895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-9.0949470177292824E-13</v>
      </c>
      <c r="BE193" s="14">
        <f>BD193*VLOOKUP('Données projet'!$B$11,Paramètres!$A$1:$I$89,3,0)*VLOOKUP('Données projet'!$B$11,Paramètres!$A$1:$I$89,5,0)</f>
        <v>-8.2291080616414541E-13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430.11660085503223</v>
      </c>
      <c r="BJ193" s="60">
        <f t="shared" si="146"/>
        <v>231.36959598460686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-9.0949470177292824E-13</v>
      </c>
      <c r="BZ193" s="14">
        <f>BY193*VLOOKUP('Données projet'!$B$12,Paramètres!$A$1:$I$89,3,0)*VLOOKUP('Données projet'!$B$12,Paramètres!$A$1:$I$89,5,0)</f>
        <v>-9.2222762759774924E-13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476.8965664931755</v>
      </c>
      <c r="CE193" s="60">
        <f t="shared" si="148"/>
        <v>254.25036207346591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-9.0949470177292824E-13</v>
      </c>
      <c r="CU193" s="18">
        <f>CT193*VLOOKUP('Données projet'!$B$13,Paramètres!$A$1:$I$89,3,0)*VLOOKUP('Données projet'!$B$13,Paramètres!$A$1:$I$89,5,0)</f>
        <v>-8.7966327555477625E-13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456.86147223520601</v>
      </c>
      <c r="CZ193" s="60">
        <f t="shared" si="150"/>
        <v>244.45149244446094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2.5579538487363607E-13</v>
      </c>
      <c r="DP193" s="18">
        <f>DO193*VLOOKUP('Données projet'!$B$14,Paramètres!$A$1:$I$89,3,0)*VLOOKUP('Données projet'!$B$14,Paramètres!$A$1:$I$89,5,0)</f>
        <v>2.4341488824575211E-13</v>
      </c>
      <c r="DQ193" s="14">
        <f t="shared" si="176"/>
        <v>3.2970717324875541E-12</v>
      </c>
      <c r="DR193" s="22">
        <f t="shared" si="177"/>
        <v>6.1663475311105072E-12</v>
      </c>
      <c r="DS193" s="60">
        <f t="shared" si="125"/>
        <v>293.33333333333945</v>
      </c>
      <c r="DT193" s="60">
        <f ca="1">AVERAGE(OFFSET($DS$3,0,0,'Données projet'!$E$14+1,1))-AVERAGE(OFFSET($H$3,0,0,'Données projet'!$E$14+1,1))</f>
        <v>300.36889324671682</v>
      </c>
      <c r="DU193" s="60">
        <f t="shared" si="152"/>
        <v>214.36051699039683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-4.9658410716801891E-14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202.46844517174412</v>
      </c>
      <c r="EP193" s="60">
        <f t="shared" si="154"/>
        <v>185.00219255324515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7.626113074366004E-14</v>
      </c>
      <c r="FG193" s="14">
        <f t="shared" si="182"/>
        <v>1.1823749172251317E-12</v>
      </c>
      <c r="FH193" s="22">
        <f t="shared" si="183"/>
        <v>2.1921244502123119E-12</v>
      </c>
      <c r="FI193" s="60">
        <f t="shared" si="131"/>
        <v>293.33333333333553</v>
      </c>
      <c r="FJ193" s="60">
        <f ca="1">AVERAGE(OFFSET($FI$3,0,0,'Données projet'!$E$16+1,1))-AVERAGE(OFFSET($H$3,0,0,'Données projet'!$E$16+1,1))</f>
        <v>344.87493856469382</v>
      </c>
      <c r="FK193" s="60">
        <f t="shared" si="156"/>
        <v>261.91036689641402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268.19959446602911</v>
      </c>
      <c r="GF193" s="60">
        <f t="shared" si="158"/>
        <v>691.2533336811855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6.0456899482131892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6.0456899482131892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1.1368683772161603E-13</v>
      </c>
      <c r="GV193" s="18">
        <f>GU193*VLOOKUP('Données projet'!$B$18,Paramètres!$A$1:$I$89,3,0)*VLOOKUP('Données projet'!$B$18,Paramètres!$A$1:$I$89,5,0)</f>
        <v>8.8675733422860506E-14</v>
      </c>
      <c r="GW193" s="14">
        <f t="shared" si="188"/>
        <v>1.3509285393066301E-12</v>
      </c>
      <c r="GX193" s="22">
        <f t="shared" si="189"/>
        <v>2.5073107750038623E-12</v>
      </c>
      <c r="GY193" s="60">
        <f t="shared" si="137"/>
        <v>293.33333333333582</v>
      </c>
      <c r="GZ193" s="60">
        <f ca="1">AVERAGE(OFFSET($GY$3,0,0,'Données projet'!$E$18+1,1))-AVERAGE(OFFSET($H$3,0,0,'Données projet'!$E$18+1,1))</f>
        <v>292.57482726862594</v>
      </c>
      <c r="HA193" s="60">
        <f t="shared" si="160"/>
        <v>283.48738729114024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399.92909819003523</v>
      </c>
      <c r="T194" s="60">
        <f t="shared" si="142"/>
        <v>163.7053537268381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-5.6843418860808015E-13</v>
      </c>
      <c r="AJ194" s="14">
        <f>AI194*VLOOKUP('Données projet'!$B$10,Paramètres!$A$1:$I$89,3,0)*VLOOKUP('Données projet'!$B$10,Paramètres!$A$1:$I$89,5,0)</f>
        <v>-3.39923644787632E-13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455.43477166687273</v>
      </c>
      <c r="AO194" s="60">
        <f t="shared" si="144"/>
        <v>312.81310692672895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-9.0949470177292824E-13</v>
      </c>
      <c r="BE194" s="14">
        <f>BD194*VLOOKUP('Données projet'!$B$11,Paramètres!$A$1:$I$89,3,0)*VLOOKUP('Données projet'!$B$11,Paramètres!$A$1:$I$89,5,0)</f>
        <v>-8.2291080616414541E-13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430.11660085503223</v>
      </c>
      <c r="BJ194" s="60">
        <f t="shared" si="146"/>
        <v>231.36959598460686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-9.0949470177292824E-13</v>
      </c>
      <c r="BZ194" s="14">
        <f>BY194*VLOOKUP('Données projet'!$B$12,Paramètres!$A$1:$I$89,3,0)*VLOOKUP('Données projet'!$B$12,Paramètres!$A$1:$I$89,5,0)</f>
        <v>-9.2222762759774924E-13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476.8965664931755</v>
      </c>
      <c r="CE194" s="60">
        <f t="shared" si="148"/>
        <v>254.25036207346591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-9.0949470177292824E-13</v>
      </c>
      <c r="CU194" s="18">
        <f>CT194*VLOOKUP('Données projet'!$B$13,Paramètres!$A$1:$I$89,3,0)*VLOOKUP('Données projet'!$B$13,Paramètres!$A$1:$I$89,5,0)</f>
        <v>-8.7966327555477625E-13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456.86147223520601</v>
      </c>
      <c r="CZ194" s="60">
        <f t="shared" si="150"/>
        <v>244.45149244446094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2.5579538487363607E-13</v>
      </c>
      <c r="DP194" s="18">
        <f>DO194*VLOOKUP('Données projet'!$B$14,Paramètres!$A$1:$I$89,3,0)*VLOOKUP('Données projet'!$B$14,Paramètres!$A$1:$I$89,5,0)</f>
        <v>2.4341488824575211E-13</v>
      </c>
      <c r="DQ194" s="14">
        <f t="shared" si="176"/>
        <v>3.2970717324875541E-12</v>
      </c>
      <c r="DR194" s="22">
        <f t="shared" si="177"/>
        <v>6.1663475311105072E-12</v>
      </c>
      <c r="DS194" s="60">
        <f t="shared" si="125"/>
        <v>293.33333333333945</v>
      </c>
      <c r="DT194" s="60">
        <f ca="1">AVERAGE(OFFSET($DS$3,0,0,'Données projet'!$E$14+1,1))-AVERAGE(OFFSET($H$3,0,0,'Données projet'!$E$14+1,1))</f>
        <v>300.36889324671682</v>
      </c>
      <c r="DU194" s="60">
        <f t="shared" si="152"/>
        <v>214.36051699039683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-4.9658410716801891E-14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202.46844517174412</v>
      </c>
      <c r="EP194" s="60">
        <f t="shared" si="154"/>
        <v>185.00219255324515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7.626113074366004E-14</v>
      </c>
      <c r="FG194" s="14">
        <f t="shared" si="182"/>
        <v>1.1823749172251317E-12</v>
      </c>
      <c r="FH194" s="22">
        <f t="shared" si="183"/>
        <v>2.1921244502123119E-12</v>
      </c>
      <c r="FI194" s="60">
        <f t="shared" si="131"/>
        <v>293.33333333333553</v>
      </c>
      <c r="FJ194" s="60">
        <f ca="1">AVERAGE(OFFSET($FI$3,0,0,'Données projet'!$E$16+1,1))-AVERAGE(OFFSET($H$3,0,0,'Données projet'!$E$16+1,1))</f>
        <v>344.87493856469382</v>
      </c>
      <c r="FK194" s="60">
        <f t="shared" si="156"/>
        <v>261.91036689641402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268.19959446602911</v>
      </c>
      <c r="GF194" s="60">
        <f t="shared" si="158"/>
        <v>691.2533336811855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5.9271376558354856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5.9271376558354856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1.1368683772161603E-13</v>
      </c>
      <c r="GV194" s="18">
        <f>GU194*VLOOKUP('Données projet'!$B$18,Paramètres!$A$1:$I$89,3,0)*VLOOKUP('Données projet'!$B$18,Paramètres!$A$1:$I$89,5,0)</f>
        <v>8.8675733422860506E-14</v>
      </c>
      <c r="GW194" s="14">
        <f t="shared" si="188"/>
        <v>1.3509285393066301E-12</v>
      </c>
      <c r="GX194" s="22">
        <f t="shared" si="189"/>
        <v>2.5073107750038623E-12</v>
      </c>
      <c r="GY194" s="60">
        <f t="shared" si="137"/>
        <v>293.33333333333582</v>
      </c>
      <c r="GZ194" s="60">
        <f ca="1">AVERAGE(OFFSET($GY$3,0,0,'Données projet'!$E$18+1,1))-AVERAGE(OFFSET($H$3,0,0,'Données projet'!$E$18+1,1))</f>
        <v>292.57482726862594</v>
      </c>
      <c r="HA194" s="60">
        <f t="shared" si="160"/>
        <v>283.48738729114024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399.92909819003523</v>
      </c>
      <c r="T195" s="60">
        <f t="shared" si="142"/>
        <v>163.7053537268381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-5.6843418860808015E-13</v>
      </c>
      <c r="AJ195" s="14">
        <f>AI195*VLOOKUP('Données projet'!$B$10,Paramètres!$A$1:$I$89,3,0)*VLOOKUP('Données projet'!$B$10,Paramètres!$A$1:$I$89,5,0)</f>
        <v>-3.39923644787632E-13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455.43477166687273</v>
      </c>
      <c r="AO195" s="60">
        <f t="shared" si="144"/>
        <v>312.81310692672895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-9.0949470177292824E-13</v>
      </c>
      <c r="BE195" s="14">
        <f>BD195*VLOOKUP('Données projet'!$B$11,Paramètres!$A$1:$I$89,3,0)*VLOOKUP('Données projet'!$B$11,Paramètres!$A$1:$I$89,5,0)</f>
        <v>-8.2291080616414541E-13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430.11660085503223</v>
      </c>
      <c r="BJ195" s="60">
        <f t="shared" si="146"/>
        <v>231.36959598460686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-9.0949470177292824E-13</v>
      </c>
      <c r="BZ195" s="14">
        <f>BY195*VLOOKUP('Données projet'!$B$12,Paramètres!$A$1:$I$89,3,0)*VLOOKUP('Données projet'!$B$12,Paramètres!$A$1:$I$89,5,0)</f>
        <v>-9.2222762759774924E-13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476.8965664931755</v>
      </c>
      <c r="CE195" s="60">
        <f t="shared" si="148"/>
        <v>254.25036207346591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-9.0949470177292824E-13</v>
      </c>
      <c r="CU195" s="18">
        <f>CT195*VLOOKUP('Données projet'!$B$13,Paramètres!$A$1:$I$89,3,0)*VLOOKUP('Données projet'!$B$13,Paramètres!$A$1:$I$89,5,0)</f>
        <v>-8.7966327555477625E-13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456.86147223520601</v>
      </c>
      <c r="CZ195" s="60">
        <f t="shared" si="150"/>
        <v>244.45149244446094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2.5579538487363607E-13</v>
      </c>
      <c r="DP195" s="18">
        <f>DO195*VLOOKUP('Données projet'!$B$14,Paramètres!$A$1:$I$89,3,0)*VLOOKUP('Données projet'!$B$14,Paramètres!$A$1:$I$89,5,0)</f>
        <v>2.4341488824575211E-13</v>
      </c>
      <c r="DQ195" s="14">
        <f t="shared" si="176"/>
        <v>3.2970717324875541E-12</v>
      </c>
      <c r="DR195" s="22">
        <f t="shared" si="177"/>
        <v>6.1663475311105072E-12</v>
      </c>
      <c r="DS195" s="60">
        <f t="shared" si="125"/>
        <v>293.33333333333945</v>
      </c>
      <c r="DT195" s="60">
        <f ca="1">AVERAGE(OFFSET($DS$3,0,0,'Données projet'!$E$14+1,1))-AVERAGE(OFFSET($H$3,0,0,'Données projet'!$E$14+1,1))</f>
        <v>300.36889324671682</v>
      </c>
      <c r="DU195" s="60">
        <f t="shared" si="152"/>
        <v>214.36051699039683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-4.9658410716801891E-14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202.46844517174412</v>
      </c>
      <c r="EP195" s="60">
        <f t="shared" si="154"/>
        <v>185.00219255324515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7.626113074366004E-14</v>
      </c>
      <c r="FG195" s="14">
        <f t="shared" si="182"/>
        <v>1.1823749172251317E-12</v>
      </c>
      <c r="FH195" s="22">
        <f t="shared" si="183"/>
        <v>2.1921244502123119E-12</v>
      </c>
      <c r="FI195" s="60">
        <f t="shared" si="131"/>
        <v>293.33333333333553</v>
      </c>
      <c r="FJ195" s="60">
        <f ca="1">AVERAGE(OFFSET($FI$3,0,0,'Données projet'!$E$16+1,1))-AVERAGE(OFFSET($H$3,0,0,'Données projet'!$E$16+1,1))</f>
        <v>344.87493856469382</v>
      </c>
      <c r="FK195" s="60">
        <f t="shared" si="156"/>
        <v>261.91036689641402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268.19959446602911</v>
      </c>
      <c r="GF195" s="60">
        <f t="shared" si="158"/>
        <v>691.2533336811855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5.810910101601551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5.810910101601551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1.1368683772161603E-13</v>
      </c>
      <c r="GV195" s="18">
        <f>GU195*VLOOKUP('Données projet'!$B$18,Paramètres!$A$1:$I$89,3,0)*VLOOKUP('Données projet'!$B$18,Paramètres!$A$1:$I$89,5,0)</f>
        <v>8.8675733422860506E-14</v>
      </c>
      <c r="GW195" s="14">
        <f t="shared" si="188"/>
        <v>1.3509285393066301E-12</v>
      </c>
      <c r="GX195" s="22">
        <f t="shared" si="189"/>
        <v>2.5073107750038623E-12</v>
      </c>
      <c r="GY195" s="60">
        <f t="shared" si="137"/>
        <v>293.33333333333582</v>
      </c>
      <c r="GZ195" s="60">
        <f ca="1">AVERAGE(OFFSET($GY$3,0,0,'Données projet'!$E$18+1,1))-AVERAGE(OFFSET($H$3,0,0,'Données projet'!$E$18+1,1))</f>
        <v>292.57482726862594</v>
      </c>
      <c r="HA195" s="60">
        <f t="shared" si="160"/>
        <v>283.48738729114024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399.92909819003523</v>
      </c>
      <c r="T196" s="60">
        <f t="shared" si="142"/>
        <v>163.7053537268381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-5.6843418860808015E-13</v>
      </c>
      <c r="AJ196" s="14">
        <f>AI196*VLOOKUP('Données projet'!$B$10,Paramètres!$A$1:$I$89,3,0)*VLOOKUP('Données projet'!$B$10,Paramètres!$A$1:$I$89,5,0)</f>
        <v>-3.39923644787632E-13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455.43477166687273</v>
      </c>
      <c r="AO196" s="60">
        <f t="shared" si="144"/>
        <v>312.81310692672895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-9.0949470177292824E-13</v>
      </c>
      <c r="BE196" s="14">
        <f>BD196*VLOOKUP('Données projet'!$B$11,Paramètres!$A$1:$I$89,3,0)*VLOOKUP('Données projet'!$B$11,Paramètres!$A$1:$I$89,5,0)</f>
        <v>-8.2291080616414541E-13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430.11660085503223</v>
      </c>
      <c r="BJ196" s="60">
        <f t="shared" si="146"/>
        <v>231.36959598460686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-9.0949470177292824E-13</v>
      </c>
      <c r="BZ196" s="14">
        <f>BY196*VLOOKUP('Données projet'!$B$12,Paramètres!$A$1:$I$89,3,0)*VLOOKUP('Données projet'!$B$12,Paramètres!$A$1:$I$89,5,0)</f>
        <v>-9.2222762759774924E-13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476.8965664931755</v>
      </c>
      <c r="CE196" s="60">
        <f t="shared" si="148"/>
        <v>254.25036207346591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-9.0949470177292824E-13</v>
      </c>
      <c r="CU196" s="18">
        <f>CT196*VLOOKUP('Données projet'!$B$13,Paramètres!$A$1:$I$89,3,0)*VLOOKUP('Données projet'!$B$13,Paramètres!$A$1:$I$89,5,0)</f>
        <v>-8.7966327555477625E-13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456.86147223520601</v>
      </c>
      <c r="CZ196" s="60">
        <f t="shared" si="150"/>
        <v>244.45149244446094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2.5579538487363607E-13</v>
      </c>
      <c r="DP196" s="18">
        <f>DO196*VLOOKUP('Données projet'!$B$14,Paramètres!$A$1:$I$89,3,0)*VLOOKUP('Données projet'!$B$14,Paramètres!$A$1:$I$89,5,0)</f>
        <v>2.4341488824575211E-13</v>
      </c>
      <c r="DQ196" s="14">
        <f t="shared" si="176"/>
        <v>3.2970717324875541E-12</v>
      </c>
      <c r="DR196" s="22">
        <f t="shared" si="177"/>
        <v>6.1663475311105072E-12</v>
      </c>
      <c r="DS196" s="60">
        <f t="shared" ref="DS196:DS203" si="197">DR196+(DJ196+DK196)*44/12</f>
        <v>293.33333333333945</v>
      </c>
      <c r="DT196" s="60">
        <f ca="1">AVERAGE(OFFSET($DS$3,0,0,'Données projet'!$E$14+1,1))-AVERAGE(OFFSET($H$3,0,0,'Données projet'!$E$14+1,1))</f>
        <v>300.36889324671682</v>
      </c>
      <c r="DU196" s="60">
        <f t="shared" si="152"/>
        <v>214.36051699039683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-4.9658410716801891E-14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202.46844517174412</v>
      </c>
      <c r="EP196" s="60">
        <f t="shared" si="154"/>
        <v>185.00219255324515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7.626113074366004E-14</v>
      </c>
      <c r="FG196" s="14">
        <f t="shared" si="182"/>
        <v>1.1823749172251317E-12</v>
      </c>
      <c r="FH196" s="22">
        <f t="shared" si="183"/>
        <v>2.1921244502123119E-12</v>
      </c>
      <c r="FI196" s="60">
        <f t="shared" ref="FI196:FI203" si="199">FH196+(EZ196+FA196)*44/12</f>
        <v>293.33333333333553</v>
      </c>
      <c r="FJ196" s="60">
        <f ca="1">AVERAGE(OFFSET($FI$3,0,0,'Données projet'!$E$16+1,1))-AVERAGE(OFFSET($H$3,0,0,'Données projet'!$E$16+1,1))</f>
        <v>344.87493856469382</v>
      </c>
      <c r="FK196" s="60">
        <f t="shared" si="156"/>
        <v>261.91036689641402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268.19959446602911</v>
      </c>
      <c r="GF196" s="60">
        <f t="shared" si="158"/>
        <v>691.2533336811855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5.6969616988143352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5.6969616988143352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1.1368683772161603E-13</v>
      </c>
      <c r="GV196" s="18">
        <f>GU196*VLOOKUP('Données projet'!$B$18,Paramètres!$A$1:$I$89,3,0)*VLOOKUP('Données projet'!$B$18,Paramètres!$A$1:$I$89,5,0)</f>
        <v>8.8675733422860506E-14</v>
      </c>
      <c r="GW196" s="14">
        <f t="shared" si="188"/>
        <v>1.3509285393066301E-12</v>
      </c>
      <c r="GX196" s="22">
        <f t="shared" si="189"/>
        <v>2.5073107750038623E-12</v>
      </c>
      <c r="GY196" s="60">
        <f t="shared" ref="GY196:GY203" si="201">GX196+(GP196+GQ196)*44/12</f>
        <v>293.33333333333582</v>
      </c>
      <c r="GZ196" s="60">
        <f ca="1">AVERAGE(OFFSET($GY$3,0,0,'Données projet'!$E$18+1,1))-AVERAGE(OFFSET($H$3,0,0,'Données projet'!$E$18+1,1))</f>
        <v>292.57482726862594</v>
      </c>
      <c r="HA196" s="60">
        <f t="shared" si="160"/>
        <v>283.48738729114024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399.92909819003523</v>
      </c>
      <c r="T197" s="60">
        <f t="shared" ref="T197:T203" si="204">$T$3</f>
        <v>163.7053537268381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-5.6843418860808015E-13</v>
      </c>
      <c r="AJ197" s="14">
        <f>AI197*VLOOKUP('Données projet'!$B$10,Paramètres!$A$1:$I$89,3,0)*VLOOKUP('Données projet'!$B$10,Paramètres!$A$1:$I$89,5,0)</f>
        <v>-3.39923644787632E-13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455.43477166687273</v>
      </c>
      <c r="AO197" s="60">
        <f t="shared" ref="AO197:AO203" si="205">$AO$3</f>
        <v>312.81310692672895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-9.0949470177292824E-13</v>
      </c>
      <c r="BE197" s="14">
        <f>BD197*VLOOKUP('Données projet'!$B$11,Paramètres!$A$1:$I$89,3,0)*VLOOKUP('Données projet'!$B$11,Paramètres!$A$1:$I$89,5,0)</f>
        <v>-8.2291080616414541E-13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430.11660085503223</v>
      </c>
      <c r="BJ197" s="60">
        <f t="shared" ref="BJ197:BJ203" si="206">$BJ$3</f>
        <v>231.36959598460686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-9.0949470177292824E-13</v>
      </c>
      <c r="BZ197" s="14">
        <f>BY197*VLOOKUP('Données projet'!$B$12,Paramètres!$A$1:$I$89,3,0)*VLOOKUP('Données projet'!$B$12,Paramètres!$A$1:$I$89,5,0)</f>
        <v>-9.2222762759774924E-13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476.8965664931755</v>
      </c>
      <c r="CE197" s="60">
        <f t="shared" ref="CE197:CE203" si="207">$CE$3</f>
        <v>254.25036207346591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-9.0949470177292824E-13</v>
      </c>
      <c r="CU197" s="18">
        <f>CT197*VLOOKUP('Données projet'!$B$13,Paramètres!$A$1:$I$89,3,0)*VLOOKUP('Données projet'!$B$13,Paramètres!$A$1:$I$89,5,0)</f>
        <v>-8.7966327555477625E-13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456.86147223520601</v>
      </c>
      <c r="CZ197" s="60">
        <f t="shared" ref="CZ197:CZ203" si="208">$CZ$3</f>
        <v>244.45149244446094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2.5579538487363607E-13</v>
      </c>
      <c r="DP197" s="18">
        <f>DO197*VLOOKUP('Données projet'!$B$14,Paramètres!$A$1:$I$89,3,0)*VLOOKUP('Données projet'!$B$14,Paramètres!$A$1:$I$89,5,0)</f>
        <v>2.4341488824575211E-13</v>
      </c>
      <c r="DQ197" s="14">
        <f t="shared" si="176"/>
        <v>3.2970717324875541E-12</v>
      </c>
      <c r="DR197" s="22">
        <f t="shared" si="177"/>
        <v>6.1663475311105072E-12</v>
      </c>
      <c r="DS197" s="60">
        <f t="shared" si="197"/>
        <v>293.33333333333945</v>
      </c>
      <c r="DT197" s="60">
        <f ca="1">AVERAGE(OFFSET($DS$3,0,0,'Données projet'!$E$14+1,1))-AVERAGE(OFFSET($H$3,0,0,'Données projet'!$E$14+1,1))</f>
        <v>300.36889324671682</v>
      </c>
      <c r="DU197" s="60">
        <f t="shared" ref="DU197:DU203" si="209">$DU$3</f>
        <v>214.36051699039683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-4.9658410716801891E-14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202.46844517174412</v>
      </c>
      <c r="EP197" s="60">
        <f t="shared" ref="EP197:EP203" si="210">$EP$3</f>
        <v>185.00219255324515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7.626113074366004E-14</v>
      </c>
      <c r="FG197" s="14">
        <f t="shared" si="182"/>
        <v>1.1823749172251317E-12</v>
      </c>
      <c r="FH197" s="22">
        <f t="shared" si="183"/>
        <v>2.1921244502123119E-12</v>
      </c>
      <c r="FI197" s="60">
        <f t="shared" si="199"/>
        <v>293.33333333333553</v>
      </c>
      <c r="FJ197" s="60">
        <f ca="1">AVERAGE(OFFSET($FI$3,0,0,'Données projet'!$E$16+1,1))-AVERAGE(OFFSET($H$3,0,0,'Données projet'!$E$16+1,1))</f>
        <v>344.87493856469382</v>
      </c>
      <c r="FK197" s="60">
        <f t="shared" ref="FK197:FK203" si="211">$FK$3</f>
        <v>261.91036689641402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268.19959446602911</v>
      </c>
      <c r="GF197" s="60">
        <f t="shared" ref="GF197:GF203" si="212">$GF$3</f>
        <v>691.2533336811855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5.5852477547041142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5.5852477547041142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1.1368683772161603E-13</v>
      </c>
      <c r="GV197" s="18">
        <f>GU197*VLOOKUP('Données projet'!$B$18,Paramètres!$A$1:$I$89,3,0)*VLOOKUP('Données projet'!$B$18,Paramètres!$A$1:$I$89,5,0)</f>
        <v>8.8675733422860506E-14</v>
      </c>
      <c r="GW197" s="14">
        <f t="shared" si="188"/>
        <v>1.3509285393066301E-12</v>
      </c>
      <c r="GX197" s="22">
        <f t="shared" si="189"/>
        <v>2.5073107750038623E-12</v>
      </c>
      <c r="GY197" s="60">
        <f t="shared" si="201"/>
        <v>293.33333333333582</v>
      </c>
      <c r="GZ197" s="60">
        <f ca="1">AVERAGE(OFFSET($GY$3,0,0,'Données projet'!$E$18+1,1))-AVERAGE(OFFSET($H$3,0,0,'Données projet'!$E$18+1,1))</f>
        <v>292.57482726862594</v>
      </c>
      <c r="HA197" s="60">
        <f t="shared" ref="HA197:HA203" si="213">$HA$3</f>
        <v>283.48738729114024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399.92909819003523</v>
      </c>
      <c r="T198" s="60">
        <f t="shared" si="204"/>
        <v>163.7053537268381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-5.6843418860808015E-13</v>
      </c>
      <c r="AJ198" s="14">
        <f>AI198*VLOOKUP('Données projet'!$B$10,Paramètres!$A$1:$I$89,3,0)*VLOOKUP('Données projet'!$B$10,Paramètres!$A$1:$I$89,5,0)</f>
        <v>-3.39923644787632E-13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455.43477166687273</v>
      </c>
      <c r="AO198" s="60">
        <f t="shared" si="205"/>
        <v>312.81310692672895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-9.0949470177292824E-13</v>
      </c>
      <c r="BE198" s="14">
        <f>BD198*VLOOKUP('Données projet'!$B$11,Paramètres!$A$1:$I$89,3,0)*VLOOKUP('Données projet'!$B$11,Paramètres!$A$1:$I$89,5,0)</f>
        <v>-8.2291080616414541E-13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430.11660085503223</v>
      </c>
      <c r="BJ198" s="60">
        <f t="shared" si="206"/>
        <v>231.36959598460686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-9.0949470177292824E-13</v>
      </c>
      <c r="BZ198" s="14">
        <f>BY198*VLOOKUP('Données projet'!$B$12,Paramètres!$A$1:$I$89,3,0)*VLOOKUP('Données projet'!$B$12,Paramètres!$A$1:$I$89,5,0)</f>
        <v>-9.2222762759774924E-13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476.8965664931755</v>
      </c>
      <c r="CE198" s="60">
        <f t="shared" si="207"/>
        <v>254.25036207346591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-9.0949470177292824E-13</v>
      </c>
      <c r="CU198" s="18">
        <f>CT198*VLOOKUP('Données projet'!$B$13,Paramètres!$A$1:$I$89,3,0)*VLOOKUP('Données projet'!$B$13,Paramètres!$A$1:$I$89,5,0)</f>
        <v>-8.7966327555477625E-13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456.86147223520601</v>
      </c>
      <c r="CZ198" s="60">
        <f t="shared" si="208"/>
        <v>244.45149244446094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2.5579538487363607E-13</v>
      </c>
      <c r="DP198" s="18">
        <f>DO198*VLOOKUP('Données projet'!$B$14,Paramètres!$A$1:$I$89,3,0)*VLOOKUP('Données projet'!$B$14,Paramètres!$A$1:$I$89,5,0)</f>
        <v>2.4341488824575211E-13</v>
      </c>
      <c r="DQ198" s="14">
        <f t="shared" si="176"/>
        <v>3.2970717324875541E-12</v>
      </c>
      <c r="DR198" s="22">
        <f t="shared" si="177"/>
        <v>6.1663475311105072E-12</v>
      </c>
      <c r="DS198" s="60">
        <f t="shared" si="197"/>
        <v>293.33333333333945</v>
      </c>
      <c r="DT198" s="60">
        <f ca="1">AVERAGE(OFFSET($DS$3,0,0,'Données projet'!$E$14+1,1))-AVERAGE(OFFSET($H$3,0,0,'Données projet'!$E$14+1,1))</f>
        <v>300.36889324671682</v>
      </c>
      <c r="DU198" s="60">
        <f t="shared" si="209"/>
        <v>214.36051699039683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-4.9658410716801891E-14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202.46844517174412</v>
      </c>
      <c r="EP198" s="60">
        <f t="shared" si="210"/>
        <v>185.00219255324515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7.626113074366004E-14</v>
      </c>
      <c r="FG198" s="14">
        <f t="shared" si="182"/>
        <v>1.1823749172251317E-12</v>
      </c>
      <c r="FH198" s="22">
        <f t="shared" si="183"/>
        <v>2.1921244502123119E-12</v>
      </c>
      <c r="FI198" s="60">
        <f t="shared" si="199"/>
        <v>293.33333333333553</v>
      </c>
      <c r="FJ198" s="60">
        <f ca="1">AVERAGE(OFFSET($FI$3,0,0,'Données projet'!$E$16+1,1))-AVERAGE(OFFSET($H$3,0,0,'Données projet'!$E$16+1,1))</f>
        <v>344.87493856469382</v>
      </c>
      <c r="FK198" s="60">
        <f t="shared" si="211"/>
        <v>261.91036689641402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268.19959446602911</v>
      </c>
      <c r="GF198" s="60">
        <f t="shared" si="212"/>
        <v>691.2533336811855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5.4757244528991169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5.4757244528991169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1.1368683772161603E-13</v>
      </c>
      <c r="GV198" s="18">
        <f>GU198*VLOOKUP('Données projet'!$B$18,Paramètres!$A$1:$I$89,3,0)*VLOOKUP('Données projet'!$B$18,Paramètres!$A$1:$I$89,5,0)</f>
        <v>8.8675733422860506E-14</v>
      </c>
      <c r="GW198" s="14">
        <f t="shared" si="188"/>
        <v>1.3509285393066301E-12</v>
      </c>
      <c r="GX198" s="22">
        <f t="shared" si="189"/>
        <v>2.5073107750038623E-12</v>
      </c>
      <c r="GY198" s="60">
        <f t="shared" si="201"/>
        <v>293.33333333333582</v>
      </c>
      <c r="GZ198" s="60">
        <f ca="1">AVERAGE(OFFSET($GY$3,0,0,'Données projet'!$E$18+1,1))-AVERAGE(OFFSET($H$3,0,0,'Données projet'!$E$18+1,1))</f>
        <v>292.57482726862594</v>
      </c>
      <c r="HA198" s="60">
        <f t="shared" si="213"/>
        <v>283.48738729114024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399.92909819003523</v>
      </c>
      <c r="T199" s="60">
        <f t="shared" si="204"/>
        <v>163.7053537268381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-5.6843418860808015E-13</v>
      </c>
      <c r="AJ199" s="14">
        <f>AI199*VLOOKUP('Données projet'!$B$10,Paramètres!$A$1:$I$89,3,0)*VLOOKUP('Données projet'!$B$10,Paramètres!$A$1:$I$89,5,0)</f>
        <v>-3.39923644787632E-13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455.43477166687273</v>
      </c>
      <c r="AO199" s="60">
        <f t="shared" si="205"/>
        <v>312.81310692672895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-9.0949470177292824E-13</v>
      </c>
      <c r="BE199" s="14">
        <f>BD199*VLOOKUP('Données projet'!$B$11,Paramètres!$A$1:$I$89,3,0)*VLOOKUP('Données projet'!$B$11,Paramètres!$A$1:$I$89,5,0)</f>
        <v>-8.2291080616414541E-13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430.11660085503223</v>
      </c>
      <c r="BJ199" s="60">
        <f t="shared" si="206"/>
        <v>231.36959598460686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-9.0949470177292824E-13</v>
      </c>
      <c r="BZ199" s="14">
        <f>BY199*VLOOKUP('Données projet'!$B$12,Paramètres!$A$1:$I$89,3,0)*VLOOKUP('Données projet'!$B$12,Paramètres!$A$1:$I$89,5,0)</f>
        <v>-9.2222762759774924E-13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476.8965664931755</v>
      </c>
      <c r="CE199" s="60">
        <f t="shared" si="207"/>
        <v>254.25036207346591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-9.0949470177292824E-13</v>
      </c>
      <c r="CU199" s="18">
        <f>CT199*VLOOKUP('Données projet'!$B$13,Paramètres!$A$1:$I$89,3,0)*VLOOKUP('Données projet'!$B$13,Paramètres!$A$1:$I$89,5,0)</f>
        <v>-8.7966327555477625E-13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456.86147223520601</v>
      </c>
      <c r="CZ199" s="60">
        <f t="shared" si="208"/>
        <v>244.45149244446094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2.5579538487363607E-13</v>
      </c>
      <c r="DP199" s="18">
        <f>DO199*VLOOKUP('Données projet'!$B$14,Paramètres!$A$1:$I$89,3,0)*VLOOKUP('Données projet'!$B$14,Paramètres!$A$1:$I$89,5,0)</f>
        <v>2.4341488824575211E-13</v>
      </c>
      <c r="DQ199" s="14">
        <f t="shared" si="176"/>
        <v>3.2970717324875541E-12</v>
      </c>
      <c r="DR199" s="22">
        <f t="shared" si="177"/>
        <v>6.1663475311105072E-12</v>
      </c>
      <c r="DS199" s="60">
        <f t="shared" si="197"/>
        <v>293.33333333333945</v>
      </c>
      <c r="DT199" s="60">
        <f ca="1">AVERAGE(OFFSET($DS$3,0,0,'Données projet'!$E$14+1,1))-AVERAGE(OFFSET($H$3,0,0,'Données projet'!$E$14+1,1))</f>
        <v>300.36889324671682</v>
      </c>
      <c r="DU199" s="60">
        <f t="shared" si="209"/>
        <v>214.36051699039683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-4.9658410716801891E-14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202.46844517174412</v>
      </c>
      <c r="EP199" s="60">
        <f t="shared" si="210"/>
        <v>185.00219255324515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7.626113074366004E-14</v>
      </c>
      <c r="FG199" s="14">
        <f t="shared" si="182"/>
        <v>1.1823749172251317E-12</v>
      </c>
      <c r="FH199" s="22">
        <f t="shared" si="183"/>
        <v>2.1921244502123119E-12</v>
      </c>
      <c r="FI199" s="60">
        <f t="shared" si="199"/>
        <v>293.33333333333553</v>
      </c>
      <c r="FJ199" s="60">
        <f ca="1">AVERAGE(OFFSET($FI$3,0,0,'Données projet'!$E$16+1,1))-AVERAGE(OFFSET($H$3,0,0,'Données projet'!$E$16+1,1))</f>
        <v>344.87493856469382</v>
      </c>
      <c r="FK199" s="60">
        <f t="shared" si="211"/>
        <v>261.91036689641402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268.19959446602911</v>
      </c>
      <c r="GF199" s="60">
        <f t="shared" si="212"/>
        <v>691.2533336811855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5.3683488362398979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5.3683488362398979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1.1368683772161603E-13</v>
      </c>
      <c r="GV199" s="18">
        <f>GU199*VLOOKUP('Données projet'!$B$18,Paramètres!$A$1:$I$89,3,0)*VLOOKUP('Données projet'!$B$18,Paramètres!$A$1:$I$89,5,0)</f>
        <v>8.8675733422860506E-14</v>
      </c>
      <c r="GW199" s="14">
        <f t="shared" si="188"/>
        <v>1.3509285393066301E-12</v>
      </c>
      <c r="GX199" s="22">
        <f t="shared" si="189"/>
        <v>2.5073107750038623E-12</v>
      </c>
      <c r="GY199" s="60">
        <f t="shared" si="201"/>
        <v>293.33333333333582</v>
      </c>
      <c r="GZ199" s="60">
        <f ca="1">AVERAGE(OFFSET($GY$3,0,0,'Données projet'!$E$18+1,1))-AVERAGE(OFFSET($H$3,0,0,'Données projet'!$E$18+1,1))</f>
        <v>292.57482726862594</v>
      </c>
      <c r="HA199" s="60">
        <f t="shared" si="213"/>
        <v>283.48738729114024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399.92909819003523</v>
      </c>
      <c r="T200" s="60">
        <f t="shared" si="204"/>
        <v>163.7053537268381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-5.6843418860808015E-13</v>
      </c>
      <c r="AJ200" s="14">
        <f>AI200*VLOOKUP('Données projet'!$B$10,Paramètres!$A$1:$I$89,3,0)*VLOOKUP('Données projet'!$B$10,Paramètres!$A$1:$I$89,5,0)</f>
        <v>-3.39923644787632E-13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455.43477166687273</v>
      </c>
      <c r="AO200" s="60">
        <f t="shared" si="205"/>
        <v>312.81310692672895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-9.0949470177292824E-13</v>
      </c>
      <c r="BE200" s="14">
        <f>BD200*VLOOKUP('Données projet'!$B$11,Paramètres!$A$1:$I$89,3,0)*VLOOKUP('Données projet'!$B$11,Paramètres!$A$1:$I$89,5,0)</f>
        <v>-8.2291080616414541E-13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430.11660085503223</v>
      </c>
      <c r="BJ200" s="60">
        <f t="shared" si="206"/>
        <v>231.36959598460686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-9.0949470177292824E-13</v>
      </c>
      <c r="BZ200" s="14">
        <f>BY200*VLOOKUP('Données projet'!$B$12,Paramètres!$A$1:$I$89,3,0)*VLOOKUP('Données projet'!$B$12,Paramètres!$A$1:$I$89,5,0)</f>
        <v>-9.2222762759774924E-13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476.8965664931755</v>
      </c>
      <c r="CE200" s="60">
        <f t="shared" si="207"/>
        <v>254.25036207346591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-9.0949470177292824E-13</v>
      </c>
      <c r="CU200" s="18">
        <f>CT200*VLOOKUP('Données projet'!$B$13,Paramètres!$A$1:$I$89,3,0)*VLOOKUP('Données projet'!$B$13,Paramètres!$A$1:$I$89,5,0)</f>
        <v>-8.7966327555477625E-13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456.86147223520601</v>
      </c>
      <c r="CZ200" s="60">
        <f t="shared" si="208"/>
        <v>244.45149244446094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2.5579538487363607E-13</v>
      </c>
      <c r="DP200" s="18">
        <f>DO200*VLOOKUP('Données projet'!$B$14,Paramètres!$A$1:$I$89,3,0)*VLOOKUP('Données projet'!$B$14,Paramètres!$A$1:$I$89,5,0)</f>
        <v>2.4341488824575211E-13</v>
      </c>
      <c r="DQ200" s="14">
        <f t="shared" si="176"/>
        <v>3.2970717324875541E-12</v>
      </c>
      <c r="DR200" s="22">
        <f t="shared" si="177"/>
        <v>6.1663475311105072E-12</v>
      </c>
      <c r="DS200" s="60">
        <f t="shared" si="197"/>
        <v>293.33333333333945</v>
      </c>
      <c r="DT200" s="60">
        <f ca="1">AVERAGE(OFFSET($DS$3,0,0,'Données projet'!$E$14+1,1))-AVERAGE(OFFSET($H$3,0,0,'Données projet'!$E$14+1,1))</f>
        <v>300.36889324671682</v>
      </c>
      <c r="DU200" s="60">
        <f t="shared" si="209"/>
        <v>214.36051699039683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-4.9658410716801891E-14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202.46844517174412</v>
      </c>
      <c r="EP200" s="60">
        <f t="shared" si="210"/>
        <v>185.00219255324515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7.626113074366004E-14</v>
      </c>
      <c r="FG200" s="14">
        <f t="shared" si="182"/>
        <v>1.1823749172251317E-12</v>
      </c>
      <c r="FH200" s="22">
        <f t="shared" si="183"/>
        <v>2.1921244502123119E-12</v>
      </c>
      <c r="FI200" s="60">
        <f t="shared" si="199"/>
        <v>293.33333333333553</v>
      </c>
      <c r="FJ200" s="60">
        <f ca="1">AVERAGE(OFFSET($FI$3,0,0,'Données projet'!$E$16+1,1))-AVERAGE(OFFSET($H$3,0,0,'Données projet'!$E$16+1,1))</f>
        <v>344.87493856469382</v>
      </c>
      <c r="FK200" s="60">
        <f t="shared" si="211"/>
        <v>261.91036689641402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268.19959446602911</v>
      </c>
      <c r="GF200" s="60">
        <f t="shared" si="212"/>
        <v>691.2533336811855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5.2630787899307068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5.2630787899307068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1.1368683772161603E-13</v>
      </c>
      <c r="GV200" s="18">
        <f>GU200*VLOOKUP('Données projet'!$B$18,Paramètres!$A$1:$I$89,3,0)*VLOOKUP('Données projet'!$B$18,Paramètres!$A$1:$I$89,5,0)</f>
        <v>8.8675733422860506E-14</v>
      </c>
      <c r="GW200" s="14">
        <f t="shared" si="188"/>
        <v>1.3509285393066301E-12</v>
      </c>
      <c r="GX200" s="22">
        <f t="shared" si="189"/>
        <v>2.5073107750038623E-12</v>
      </c>
      <c r="GY200" s="60">
        <f t="shared" si="201"/>
        <v>293.33333333333582</v>
      </c>
      <c r="GZ200" s="60">
        <f ca="1">AVERAGE(OFFSET($GY$3,0,0,'Données projet'!$E$18+1,1))-AVERAGE(OFFSET($H$3,0,0,'Données projet'!$E$18+1,1))</f>
        <v>292.57482726862594</v>
      </c>
      <c r="HA200" s="60">
        <f t="shared" si="213"/>
        <v>283.48738729114024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399.92909819003523</v>
      </c>
      <c r="T201" s="60">
        <f t="shared" si="204"/>
        <v>163.7053537268381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-5.6843418860808015E-13</v>
      </c>
      <c r="AJ201" s="14">
        <f>AI201*VLOOKUP('Données projet'!$B$10,Paramètres!$A$1:$I$89,3,0)*VLOOKUP('Données projet'!$B$10,Paramètres!$A$1:$I$89,5,0)</f>
        <v>-3.39923644787632E-13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455.43477166687273</v>
      </c>
      <c r="AO201" s="60">
        <f t="shared" si="205"/>
        <v>312.81310692672895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-9.0949470177292824E-13</v>
      </c>
      <c r="BE201" s="14">
        <f>BD201*VLOOKUP('Données projet'!$B$11,Paramètres!$A$1:$I$89,3,0)*VLOOKUP('Données projet'!$B$11,Paramètres!$A$1:$I$89,5,0)</f>
        <v>-8.2291080616414541E-13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430.11660085503223</v>
      </c>
      <c r="BJ201" s="60">
        <f t="shared" si="206"/>
        <v>231.36959598460686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-9.0949470177292824E-13</v>
      </c>
      <c r="BZ201" s="14">
        <f>BY201*VLOOKUP('Données projet'!$B$12,Paramètres!$A$1:$I$89,3,0)*VLOOKUP('Données projet'!$B$12,Paramètres!$A$1:$I$89,5,0)</f>
        <v>-9.2222762759774924E-13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476.8965664931755</v>
      </c>
      <c r="CE201" s="60">
        <f t="shared" si="207"/>
        <v>254.25036207346591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-9.0949470177292824E-13</v>
      </c>
      <c r="CU201" s="18">
        <f>CT201*VLOOKUP('Données projet'!$B$13,Paramètres!$A$1:$I$89,3,0)*VLOOKUP('Données projet'!$B$13,Paramètres!$A$1:$I$89,5,0)</f>
        <v>-8.7966327555477625E-13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456.86147223520601</v>
      </c>
      <c r="CZ201" s="60">
        <f t="shared" si="208"/>
        <v>244.45149244446094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2.5579538487363607E-13</v>
      </c>
      <c r="DP201" s="18">
        <f>DO201*VLOOKUP('Données projet'!$B$14,Paramètres!$A$1:$I$89,3,0)*VLOOKUP('Données projet'!$B$14,Paramètres!$A$1:$I$89,5,0)</f>
        <v>2.4341488824575211E-13</v>
      </c>
      <c r="DQ201" s="14">
        <f t="shared" si="176"/>
        <v>3.2970717324875541E-12</v>
      </c>
      <c r="DR201" s="22">
        <f t="shared" si="177"/>
        <v>6.1663475311105072E-12</v>
      </c>
      <c r="DS201" s="60">
        <f t="shared" si="197"/>
        <v>293.33333333333945</v>
      </c>
      <c r="DT201" s="60">
        <f ca="1">AVERAGE(OFFSET($DS$3,0,0,'Données projet'!$E$14+1,1))-AVERAGE(OFFSET($H$3,0,0,'Données projet'!$E$14+1,1))</f>
        <v>300.36889324671682</v>
      </c>
      <c r="DU201" s="60">
        <f t="shared" si="209"/>
        <v>214.36051699039683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-4.9658410716801891E-14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202.46844517174412</v>
      </c>
      <c r="EP201" s="60">
        <f t="shared" si="210"/>
        <v>185.00219255324515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7.626113074366004E-14</v>
      </c>
      <c r="FG201" s="14">
        <f t="shared" si="182"/>
        <v>1.1823749172251317E-12</v>
      </c>
      <c r="FH201" s="22">
        <f t="shared" si="183"/>
        <v>2.1921244502123119E-12</v>
      </c>
      <c r="FI201" s="60">
        <f t="shared" si="199"/>
        <v>293.33333333333553</v>
      </c>
      <c r="FJ201" s="60">
        <f ca="1">AVERAGE(OFFSET($FI$3,0,0,'Données projet'!$E$16+1,1))-AVERAGE(OFFSET($H$3,0,0,'Données projet'!$E$16+1,1))</f>
        <v>344.87493856469382</v>
      </c>
      <c r="FK201" s="60">
        <f t="shared" si="211"/>
        <v>261.91036689641402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268.19959446602911</v>
      </c>
      <c r="GF201" s="60">
        <f t="shared" si="212"/>
        <v>691.2533336811855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5.1598730250212501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5.1598730250212501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1.1368683772161603E-13</v>
      </c>
      <c r="GV201" s="18">
        <f>GU201*VLOOKUP('Données projet'!$B$18,Paramètres!$A$1:$I$89,3,0)*VLOOKUP('Données projet'!$B$18,Paramètres!$A$1:$I$89,5,0)</f>
        <v>8.8675733422860506E-14</v>
      </c>
      <c r="GW201" s="14">
        <f t="shared" si="188"/>
        <v>1.3509285393066301E-12</v>
      </c>
      <c r="GX201" s="22">
        <f t="shared" si="189"/>
        <v>2.5073107750038623E-12</v>
      </c>
      <c r="GY201" s="60">
        <f t="shared" si="201"/>
        <v>293.33333333333582</v>
      </c>
      <c r="GZ201" s="60">
        <f ca="1">AVERAGE(OFFSET($GY$3,0,0,'Données projet'!$E$18+1,1))-AVERAGE(OFFSET($H$3,0,0,'Données projet'!$E$18+1,1))</f>
        <v>292.57482726862594</v>
      </c>
      <c r="HA201" s="60">
        <f t="shared" si="213"/>
        <v>283.48738729114024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399.92909819003523</v>
      </c>
      <c r="T202" s="60">
        <f t="shared" si="204"/>
        <v>163.7053537268381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-5.6843418860808015E-13</v>
      </c>
      <c r="AJ202" s="14">
        <f>AI202*VLOOKUP('Données projet'!$B$10,Paramètres!$A$1:$I$89,3,0)*VLOOKUP('Données projet'!$B$10,Paramètres!$A$1:$I$89,5,0)</f>
        <v>-3.39923644787632E-13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455.43477166687273</v>
      </c>
      <c r="AO202" s="60">
        <f t="shared" si="205"/>
        <v>312.81310692672895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-9.0949470177292824E-13</v>
      </c>
      <c r="BE202" s="14">
        <f>BD202*VLOOKUP('Données projet'!$B$11,Paramètres!$A$1:$I$89,3,0)*VLOOKUP('Données projet'!$B$11,Paramètres!$A$1:$I$89,5,0)</f>
        <v>-8.2291080616414541E-13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430.11660085503223</v>
      </c>
      <c r="BJ202" s="60">
        <f t="shared" si="206"/>
        <v>231.36959598460686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-9.0949470177292824E-13</v>
      </c>
      <c r="BZ202" s="14">
        <f>BY202*VLOOKUP('Données projet'!$B$12,Paramètres!$A$1:$I$89,3,0)*VLOOKUP('Données projet'!$B$12,Paramètres!$A$1:$I$89,5,0)</f>
        <v>-9.2222762759774924E-13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476.8965664931755</v>
      </c>
      <c r="CE202" s="60">
        <f t="shared" si="207"/>
        <v>254.25036207346591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-9.0949470177292824E-13</v>
      </c>
      <c r="CU202" s="18">
        <f>CT202*VLOOKUP('Données projet'!$B$13,Paramètres!$A$1:$I$89,3,0)*VLOOKUP('Données projet'!$B$13,Paramètres!$A$1:$I$89,5,0)</f>
        <v>-8.7966327555477625E-13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456.86147223520601</v>
      </c>
      <c r="CZ202" s="60">
        <f t="shared" si="208"/>
        <v>244.45149244446094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2.5579538487363607E-13</v>
      </c>
      <c r="DP202" s="18">
        <f>DO202*VLOOKUP('Données projet'!$B$14,Paramètres!$A$1:$I$89,3,0)*VLOOKUP('Données projet'!$B$14,Paramètres!$A$1:$I$89,5,0)</f>
        <v>2.4341488824575211E-13</v>
      </c>
      <c r="DQ202" s="14">
        <f t="shared" si="176"/>
        <v>3.2970717324875541E-12</v>
      </c>
      <c r="DR202" s="22">
        <f t="shared" si="177"/>
        <v>6.1663475311105072E-12</v>
      </c>
      <c r="DS202" s="60">
        <f t="shared" si="197"/>
        <v>293.33333333333945</v>
      </c>
      <c r="DT202" s="60">
        <f ca="1">AVERAGE(OFFSET($DS$3,0,0,'Données projet'!$E$14+1,1))-AVERAGE(OFFSET($H$3,0,0,'Données projet'!$E$14+1,1))</f>
        <v>300.36889324671682</v>
      </c>
      <c r="DU202" s="60">
        <f t="shared" si="209"/>
        <v>214.36051699039683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-4.9658410716801891E-14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202.46844517174412</v>
      </c>
      <c r="EP202" s="60">
        <f t="shared" si="210"/>
        <v>185.00219255324515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7.626113074366004E-14</v>
      </c>
      <c r="FG202" s="14">
        <f t="shared" si="182"/>
        <v>1.1823749172251317E-12</v>
      </c>
      <c r="FH202" s="22">
        <f t="shared" si="183"/>
        <v>2.1921244502123119E-12</v>
      </c>
      <c r="FI202" s="60">
        <f t="shared" si="199"/>
        <v>293.33333333333553</v>
      </c>
      <c r="FJ202" s="60">
        <f ca="1">AVERAGE(OFFSET($FI$3,0,0,'Données projet'!$E$16+1,1))-AVERAGE(OFFSET($H$3,0,0,'Données projet'!$E$16+1,1))</f>
        <v>344.87493856469382</v>
      </c>
      <c r="FK202" s="60">
        <f t="shared" si="211"/>
        <v>261.91036689641402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268.19959446602911</v>
      </c>
      <c r="GF202" s="60">
        <f t="shared" si="212"/>
        <v>691.2533336811855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5.0586910622123673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5.0586910622123673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1.1368683772161603E-13</v>
      </c>
      <c r="GV202" s="18">
        <f>GU202*VLOOKUP('Données projet'!$B$18,Paramètres!$A$1:$I$89,3,0)*VLOOKUP('Données projet'!$B$18,Paramètres!$A$1:$I$89,5,0)</f>
        <v>8.8675733422860506E-14</v>
      </c>
      <c r="GW202" s="14">
        <f t="shared" si="188"/>
        <v>1.3509285393066301E-12</v>
      </c>
      <c r="GX202" s="22">
        <f t="shared" si="189"/>
        <v>2.5073107750038623E-12</v>
      </c>
      <c r="GY202" s="60">
        <f t="shared" si="201"/>
        <v>293.33333333333582</v>
      </c>
      <c r="GZ202" s="60">
        <f ca="1">AVERAGE(OFFSET($GY$3,0,0,'Données projet'!$E$18+1,1))-AVERAGE(OFFSET($H$3,0,0,'Données projet'!$E$18+1,1))</f>
        <v>292.57482726862594</v>
      </c>
      <c r="HA202" s="60">
        <f t="shared" si="213"/>
        <v>283.48738729114024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399.92909819003523</v>
      </c>
      <c r="T203" s="60">
        <f t="shared" si="204"/>
        <v>163.7053537268381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-5.6843418860808015E-13</v>
      </c>
      <c r="AJ203" s="14">
        <f>AI203*VLOOKUP('Données projet'!$B$10,Paramètres!$A$1:$I$89,3,0)*VLOOKUP('Données projet'!$B$10,Paramètres!$A$1:$I$89,5,0)</f>
        <v>-3.39923644787632E-13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455.43477166687273</v>
      </c>
      <c r="AO203" s="60">
        <f t="shared" si="205"/>
        <v>312.81310692672895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-9.0949470177292824E-13</v>
      </c>
      <c r="BE203" s="14">
        <f>BD203*VLOOKUP('Données projet'!$B$11,Paramètres!$A$1:$I$89,3,0)*VLOOKUP('Données projet'!$B$11,Paramètres!$A$1:$I$89,5,0)</f>
        <v>-8.2291080616414541E-13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430.11660085503223</v>
      </c>
      <c r="BJ203" s="60">
        <f t="shared" si="206"/>
        <v>231.36959598460686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-9.0949470177292824E-13</v>
      </c>
      <c r="BZ203" s="14">
        <f>BY203*VLOOKUP('Données projet'!$B$12,Paramètres!$A$1:$I$89,3,0)*VLOOKUP('Données projet'!$B$12,Paramètres!$A$1:$I$89,5,0)</f>
        <v>-9.2222762759774924E-13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476.8965664931755</v>
      </c>
      <c r="CE203" s="60">
        <f t="shared" si="207"/>
        <v>254.25036207346591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-9.0949470177292824E-13</v>
      </c>
      <c r="CU203" s="18">
        <f>CT203*VLOOKUP('Données projet'!$B$13,Paramètres!$A$1:$I$89,3,0)*VLOOKUP('Données projet'!$B$13,Paramètres!$A$1:$I$89,5,0)</f>
        <v>-8.7966327555477625E-13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456.86147223520601</v>
      </c>
      <c r="CZ203" s="60">
        <f t="shared" si="208"/>
        <v>244.45149244446094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2.5579538487363607E-13</v>
      </c>
      <c r="DP203" s="18">
        <f>DO203*VLOOKUP('Données projet'!$B$14,Paramètres!$A$1:$I$89,3,0)*VLOOKUP('Données projet'!$B$14,Paramètres!$A$1:$I$89,5,0)</f>
        <v>2.4341488824575211E-13</v>
      </c>
      <c r="DQ203" s="14">
        <f t="shared" si="176"/>
        <v>3.2970717324875541E-12</v>
      </c>
      <c r="DR203" s="22">
        <f t="shared" si="177"/>
        <v>6.1663475311105072E-12</v>
      </c>
      <c r="DS203" s="60">
        <f t="shared" si="197"/>
        <v>293.33333333333945</v>
      </c>
      <c r="DT203" s="60">
        <f ca="1">AVERAGE(OFFSET($DS$3,0,0,'Données projet'!$E$14+1,1))-AVERAGE(OFFSET($H$3,0,0,'Données projet'!$E$14+1,1))</f>
        <v>300.36889324671682</v>
      </c>
      <c r="DU203" s="60">
        <f t="shared" si="209"/>
        <v>214.36051699039683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-4.9658410716801891E-14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202.46844517174412</v>
      </c>
      <c r="EP203" s="60">
        <f t="shared" si="210"/>
        <v>185.00219255324515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7.626113074366004E-14</v>
      </c>
      <c r="FG203" s="14">
        <f t="shared" si="182"/>
        <v>1.1823749172251317E-12</v>
      </c>
      <c r="FH203" s="22">
        <f t="shared" si="183"/>
        <v>2.1921244502123119E-12</v>
      </c>
      <c r="FI203" s="60">
        <f t="shared" si="199"/>
        <v>293.33333333333553</v>
      </c>
      <c r="FJ203" s="60">
        <f ca="1">AVERAGE(OFFSET($FI$3,0,0,'Données projet'!$E$16+1,1))-AVERAGE(OFFSET($H$3,0,0,'Données projet'!$E$16+1,1))</f>
        <v>344.87493856469382</v>
      </c>
      <c r="FK203" s="60">
        <f t="shared" si="211"/>
        <v>261.91036689641402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268.19959446602911</v>
      </c>
      <c r="GF203" s="60">
        <f t="shared" si="212"/>
        <v>691.2533336811855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4.9594932159792631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4.9594932159792631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1.1368683772161603E-13</v>
      </c>
      <c r="GV203" s="18">
        <f>GU203*VLOOKUP('Données projet'!$B$18,Paramètres!$A$1:$I$89,3,0)*VLOOKUP('Données projet'!$B$18,Paramètres!$A$1:$I$89,5,0)</f>
        <v>8.8675733422860506E-14</v>
      </c>
      <c r="GW203" s="14">
        <f t="shared" si="188"/>
        <v>1.3509285393066301E-12</v>
      </c>
      <c r="GX203" s="22">
        <f t="shared" si="189"/>
        <v>2.5073107750038623E-12</v>
      </c>
      <c r="GY203" s="60">
        <f t="shared" si="201"/>
        <v>293.33333333333582</v>
      </c>
      <c r="GZ203" s="60">
        <f ca="1">AVERAGE(OFFSET($GY$3,0,0,'Données projet'!$E$18+1,1))-AVERAGE(OFFSET($H$3,0,0,'Données projet'!$E$18+1,1))</f>
        <v>292.57482726862594</v>
      </c>
      <c r="HA203" s="60">
        <f t="shared" si="213"/>
        <v>283.48738729114024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1.1812937373976771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1.2530028811664373</v>
      </c>
      <c r="BA205" s="86">
        <f>EXP(LN('Données projet'!B88)/'Données projet'!A88)</f>
        <v>1.2054868146447177</v>
      </c>
      <c r="BV205" s="86">
        <f>EXP(LN('Données projet'!B114)/'Données projet'!A114)</f>
        <v>1.2054868146447177</v>
      </c>
      <c r="CQ205" s="86">
        <f>EXP(LN('Données projet'!B140)/'Données projet'!A140)</f>
        <v>1.2054868146447177</v>
      </c>
      <c r="DL205" s="86">
        <f>EXP(LN('Données projet'!B166)/'Données projet'!A166)</f>
        <v>1.2304469565436837</v>
      </c>
      <c r="EG205" s="86">
        <f>EXP(LN('Données projet'!B192)/'Données projet'!A192)</f>
        <v>1.1554831727638066</v>
      </c>
      <c r="FB205" s="86">
        <f>EXP(LN('Données projet'!B218)/'Données projet'!A218)</f>
        <v>1.325614599907154</v>
      </c>
      <c r="FW205" s="86">
        <f>EXP(LN('Données projet'!B244)/'Données projet'!A244)</f>
        <v>1.1469608418847643</v>
      </c>
      <c r="GR205" s="86">
        <f>EXP(LN('Données projet'!B270)/'Données projet'!A270)</f>
        <v>1.2788040393997409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15" sqref="C1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Cèdre de l'Atlas</v>
      </c>
      <c r="B6" s="153">
        <f>'Données projet'!D9</f>
        <v>0.47692307692307662</v>
      </c>
      <c r="C6" s="154">
        <f ca="1">IF(OR('Données projet'!B9="",'Données projet'!C9="",'Données projet'!C9=0%),0,Calculateur!S3)</f>
        <v>399.92909819003523</v>
      </c>
      <c r="D6" s="154">
        <f>IF(OR('Données projet'!B9="",'Données projet'!C9="",'Données projet'!C9=0%),0,Calculateur!T3)</f>
        <v>163.7053537268381</v>
      </c>
      <c r="E6" s="154">
        <f ca="1">MIN(C6,D6)</f>
        <v>163.7053537268381</v>
      </c>
      <c r="F6" s="154">
        <f ca="1">E6*B6</f>
        <v>78.074861008184271</v>
      </c>
      <c r="G6" s="154">
        <f ca="1">F6*(100%-'Données projet'!$C$24)*(100%-'Données projet'!$C$25)*(100%-'Données projet'!$C$26)*(100%-'Données projet'!$C$27)</f>
        <v>70.267374907365848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70.267374907365848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Pin noir d'Autriche</v>
      </c>
      <c r="B7" s="161">
        <f>'Données projet'!D10</f>
        <v>0.47692307692307662</v>
      </c>
      <c r="C7" s="154">
        <f ca="1">IF(OR('Données projet'!B10="",'Données projet'!C10="",'Données projet'!C10=0%),0,Calculateur!AN3)</f>
        <v>455.43477166687273</v>
      </c>
      <c r="D7" s="154">
        <f>IF(OR('Données projet'!B10="",'Données projet'!C10="",'Données projet'!C10=0%),0,Calculateur!AO3)</f>
        <v>312.81310692672895</v>
      </c>
      <c r="E7" s="154">
        <f t="shared" ref="E7:E15" ca="1" si="0">MIN(C7,D7)</f>
        <v>312.81310692672895</v>
      </c>
      <c r="F7" s="154">
        <f t="shared" ref="F7:F15" ca="1" si="1">E7*B7</f>
        <v>149.18778945736295</v>
      </c>
      <c r="G7" s="154">
        <f ca="1">F7*(100%-'Données projet'!$C$24)*(100%-'Données projet'!$C$25)*(100%-'Données projet'!$C$26)*(100%-'Données projet'!$C$27)</f>
        <v>134.26901051162667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5.9472307692307655</v>
      </c>
      <c r="K7" s="158">
        <f>J7*(100%-'Données projet'!$C$24)*(100%-'Données projet'!$C$25)*(100%-'Données projet'!$C$26)*(100%-'Données projet'!$C$27)</f>
        <v>5.3525076923076895</v>
      </c>
      <c r="L7" s="159">
        <f t="shared" ref="L7:L15" ca="1" si="2">G7+I7+K7</f>
        <v>139.62151820393436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sessile</v>
      </c>
      <c r="B8" s="161">
        <f>'Données projet'!D11</f>
        <v>1.6729230769230758</v>
      </c>
      <c r="C8" s="154">
        <f ca="1">IF(OR('Données projet'!B11="",'Données projet'!C11="",'Données projet'!C11=0%),0,Calculateur!BI3)</f>
        <v>430.11660085503223</v>
      </c>
      <c r="D8" s="154">
        <f>IF(OR('Données projet'!B11="",'Données projet'!C11="",'Données projet'!C11=0%),0,Calculateur!BJ3)</f>
        <v>231.36959598460686</v>
      </c>
      <c r="E8" s="154">
        <f t="shared" ca="1" si="0"/>
        <v>231.36959598460686</v>
      </c>
      <c r="F8" s="154">
        <f t="shared" ca="1" si="1"/>
        <v>387.06353642101743</v>
      </c>
      <c r="G8" s="154">
        <f ca="1">F8*(100%-'Données projet'!$C$24)*(100%-'Données projet'!$C$25)*(100%-'Données projet'!$C$26)*(100%-'Données projet'!$C$27)</f>
        <v>348.35718277891567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3.3458461538461517</v>
      </c>
      <c r="K8" s="158">
        <f>J8*(100%-'Données projet'!$C$24)*(100%-'Données projet'!$C$25)*(100%-'Données projet'!$C$26)*(100%-'Données projet'!$C$27)</f>
        <v>3.0112615384615364</v>
      </c>
      <c r="L8" s="159">
        <f t="shared" ca="1" si="2"/>
        <v>351.36844431737723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Chêne pubescent</v>
      </c>
      <c r="B9" s="161">
        <f>'Données projet'!D12</f>
        <v>2.1498461538461524</v>
      </c>
      <c r="C9" s="154">
        <f ca="1">IF(OR('Données projet'!B12="",'Données projet'!C12="",'Données projet'!C12=0%),0,Calculateur!CD3)</f>
        <v>476.8965664931755</v>
      </c>
      <c r="D9" s="154">
        <f>IF(OR('Données projet'!B12="",'Données projet'!C12="",'Données projet'!C12=0%),0,Calculateur!CE3)</f>
        <v>254.25036207346591</v>
      </c>
      <c r="E9" s="154">
        <f t="shared" ca="1" si="0"/>
        <v>254.25036207346591</v>
      </c>
      <c r="F9" s="154">
        <f t="shared" ca="1" si="1"/>
        <v>546.59916301763235</v>
      </c>
      <c r="G9" s="154">
        <f ca="1">F9*(100%-'Données projet'!$C$24)*(100%-'Données projet'!$C$25)*(100%-'Données projet'!$C$26)*(100%-'Données projet'!$C$27)</f>
        <v>491.9392467158691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4.2996923076923048</v>
      </c>
      <c r="K9" s="158">
        <f>J9*(100%-'Données projet'!$C$24)*(100%-'Données projet'!$C$25)*(100%-'Données projet'!$C$26)*(100%-'Données projet'!$C$27)</f>
        <v>3.8697230769230746</v>
      </c>
      <c r="L9" s="159">
        <f t="shared" ca="1" si="2"/>
        <v>495.8089697927922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Alisier torminal</v>
      </c>
      <c r="B10" s="161">
        <f>'Données projet'!D13</f>
        <v>0.16307692307692298</v>
      </c>
      <c r="C10" s="154">
        <f ca="1">IF(OR('Données projet'!B13="",'Données projet'!C13="",'Données projet'!C13=0%),0,Calculateur!CY3)</f>
        <v>456.86147223520601</v>
      </c>
      <c r="D10" s="154">
        <f>IF(OR('Données projet'!B13="",'Données projet'!C13="",'Données projet'!C13=0%),0,Calculateur!CZ3)</f>
        <v>244.45149244446094</v>
      </c>
      <c r="E10" s="154">
        <f t="shared" ca="1" si="0"/>
        <v>244.45149244446094</v>
      </c>
      <c r="F10" s="154">
        <f t="shared" ca="1" si="1"/>
        <v>39.864397229404375</v>
      </c>
      <c r="G10" s="154">
        <f ca="1">F10*(100%-'Données projet'!$C$24)*(100%-'Données projet'!$C$25)*(100%-'Données projet'!$C$26)*(100%-'Données projet'!$C$27)</f>
        <v>35.877957506463936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0.32615384615384596</v>
      </c>
      <c r="K10" s="158">
        <f>J10*(100%-'Données projet'!$C$24)*(100%-'Données projet'!$C$25)*(100%-'Données projet'!$C$26)*(100%-'Données projet'!$C$27)</f>
        <v>0.29353846153846136</v>
      </c>
      <c r="L10" s="159">
        <f t="shared" ca="1" si="2"/>
        <v>36.171495968002397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Charme</v>
      </c>
      <c r="B11" s="161">
        <f>'Données projet'!D14</f>
        <v>1.7916666666666652</v>
      </c>
      <c r="C11" s="154">
        <f ca="1">IF(OR('Données projet'!B14="",'Données projet'!C14="",'Données projet'!C14=0%),0,Calculateur!DT3)</f>
        <v>300.36889324671682</v>
      </c>
      <c r="D11" s="154">
        <f>IF(OR('Données projet'!B14="",'Données projet'!C14="",'Données projet'!C14=0%),0,Calculateur!DU3)</f>
        <v>214.36051699039683</v>
      </c>
      <c r="E11" s="154">
        <f t="shared" ca="1" si="0"/>
        <v>214.36051699039683</v>
      </c>
      <c r="F11" s="154">
        <f t="shared" ca="1" si="1"/>
        <v>384.06259294112732</v>
      </c>
      <c r="G11" s="154">
        <f ca="1">F11*(100%-'Données projet'!$C$24)*(100%-'Données projet'!$C$25)*(100%-'Données projet'!$C$26)*(100%-'Données projet'!$C$27)</f>
        <v>345.65633364701461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12.920673076923066</v>
      </c>
      <c r="K11" s="158">
        <f>J11*(100%-'Données projet'!$C$24)*(100%-'Données projet'!$C$25)*(100%-'Données projet'!$C$26)*(100%-'Données projet'!$C$27)</f>
        <v>11.628605769230759</v>
      </c>
      <c r="L11" s="159">
        <f t="shared" ca="1" si="2"/>
        <v>357.28493941624538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Erable champêtre</v>
      </c>
      <c r="B12" s="161">
        <f>'Données projet'!D15</f>
        <v>0.44249999999999973</v>
      </c>
      <c r="C12" s="154">
        <f ca="1">IF(OR('Données projet'!B15="",'Données projet'!C15="",'Données projet'!C15=0%),0,Calculateur!EO3)</f>
        <v>202.46844517174412</v>
      </c>
      <c r="D12" s="154">
        <f>IF(OR('Données projet'!B15="",'Données projet'!C15="",'Données projet'!C15=0%),0,Calculateur!EP3)</f>
        <v>185.00219255324515</v>
      </c>
      <c r="E12" s="154">
        <f t="shared" ca="1" si="0"/>
        <v>185.00219255324515</v>
      </c>
      <c r="F12" s="154">
        <f t="shared" ca="1" si="1"/>
        <v>81.863470204810923</v>
      </c>
      <c r="G12" s="154">
        <f ca="1">F12*(100%-'Données projet'!$C$24)*(100%-'Données projet'!$C$25)*(100%-'Données projet'!$C$26)*(100%-'Données projet'!$C$27)</f>
        <v>73.67712318432983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1.8806249999999989</v>
      </c>
      <c r="K12" s="158">
        <f>J12*(100%-'Données projet'!$C$24)*(100%-'Données projet'!$C$25)*(100%-'Données projet'!$C$26)*(100%-'Données projet'!$C$27)</f>
        <v>1.6925624999999991</v>
      </c>
      <c r="L12" s="159">
        <f t="shared" ca="1" si="2"/>
        <v>75.369685684329824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Tilleul</v>
      </c>
      <c r="B13" s="161">
        <f>'Données projet'!D16</f>
        <v>0.77817307692307647</v>
      </c>
      <c r="C13" s="154">
        <f ca="1">IF(OR('Données projet'!B16="",'Données projet'!C16="",'Données projet'!C16=0%),0,Calculateur!FJ3)</f>
        <v>344.87493856469382</v>
      </c>
      <c r="D13" s="154">
        <f>IF(OR('Données projet'!B16="",'Données projet'!C16="",'Données projet'!C16=0%),0,Calculateur!FK3)</f>
        <v>261.91036689641402</v>
      </c>
      <c r="E13" s="154">
        <f t="shared" ca="1" si="0"/>
        <v>261.91036689641402</v>
      </c>
      <c r="F13" s="154">
        <f t="shared" ca="1" si="1"/>
        <v>203.81159608583437</v>
      </c>
      <c r="G13" s="154">
        <f ca="1">F13*(100%-'Données projet'!$C$24)*(100%-'Données projet'!$C$25)*(100%-'Données projet'!$C$26)*(100%-'Données projet'!$C$27)</f>
        <v>183.43043647725094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10.475406804733721</v>
      </c>
      <c r="K13" s="158">
        <f>J13*(100%-'Données projet'!$C$24)*(100%-'Données projet'!$C$25)*(100%-'Données projet'!$C$26)*(100%-'Données projet'!$C$27)</f>
        <v>9.4278661242603494</v>
      </c>
      <c r="L13" s="159">
        <f t="shared" ca="1" si="2"/>
        <v>192.8583026015113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Peuplier Koster</v>
      </c>
      <c r="B14" s="161">
        <f>'Données projet'!D17</f>
        <v>2.4067415730337065</v>
      </c>
      <c r="C14" s="154">
        <f ca="1">IF(OR('Données projet'!B17="",'Données projet'!C17="",'Données projet'!C17=0%),0,Calculateur!GE3)</f>
        <v>268.19959446602911</v>
      </c>
      <c r="D14" s="154">
        <f>IF(OR('Données projet'!B17="",'Données projet'!C17="",'Données projet'!C17=0%),0,Calculateur!GF3)</f>
        <v>691.2533336811855</v>
      </c>
      <c r="E14" s="154">
        <f t="shared" ca="1" si="0"/>
        <v>268.19959446602911</v>
      </c>
      <c r="F14" s="154">
        <f t="shared" ca="1" si="1"/>
        <v>645.48711387217304</v>
      </c>
      <c r="G14" s="154">
        <f ca="1">F14*(100%-'Données projet'!$C$24)*(100%-'Données projet'!$C$25)*(100%-'Données projet'!$C$26)*(100%-'Données projet'!$C$27)</f>
        <v>580.93840248495576</v>
      </c>
      <c r="H14" s="162">
        <f>IF(OR('Données projet'!B17="",'Données projet'!C17="",'Données projet'!C17=0%),0,AVERAGE(Calculateur!$GO$3:$GO$33)*B14)</f>
        <v>70.396736317779229</v>
      </c>
      <c r="I14" s="156">
        <f>H14*(100%-'Données projet'!$C$24)*(100%-'Données projet'!$C$25)*(100%-'Données projet'!$C$26)*(100%-'Données projet'!$C$27)</f>
        <v>63.357062686001306</v>
      </c>
      <c r="J14" s="157">
        <f>IF(OR('Données projet'!B17="",'Données projet'!C17="",'Données projet'!C17=0%),0,SUM(Calculateur!$GH$3:$GH$33)*VLOOKUP('Données projet'!$B$17,Paramètres!$A$1:$I$89,9,0)*B14)</f>
        <v>1495.2671818786512</v>
      </c>
      <c r="K14" s="158">
        <f>J14*(100%-'Données projet'!$C$24)*(100%-'Données projet'!$C$25)*(100%-'Données projet'!$C$26)*(100%-'Données projet'!$C$27)</f>
        <v>1345.7404636907861</v>
      </c>
      <c r="L14" s="159">
        <f t="shared" ca="1" si="2"/>
        <v>1990.0359288617433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Merisier</v>
      </c>
      <c r="B15" s="164">
        <f>'Données projet'!D18</f>
        <v>3.8499999999999986E-2</v>
      </c>
      <c r="C15" s="165">
        <f ca="1">IF(OR('Données projet'!B18="",'Données projet'!C18="",'Données projet'!C18=0%),0,Calculateur!GZ3)</f>
        <v>292.57482726862594</v>
      </c>
      <c r="D15" s="165">
        <f>IF(OR('Données projet'!B18="",'Données projet'!C18="",'Données projet'!C18=0%),0,Calculateur!HA3)</f>
        <v>283.48738729114024</v>
      </c>
      <c r="E15" s="165">
        <f t="shared" ca="1" si="0"/>
        <v>283.48738729114024</v>
      </c>
      <c r="F15" s="166">
        <f t="shared" ca="1" si="1"/>
        <v>10.914264410708896</v>
      </c>
      <c r="G15" s="166">
        <f ca="1">F15*(100%-'Données projet'!$C$24)*(100%-'Données projet'!$C$25)*(100%-'Données projet'!$C$26)*(100%-'Données projet'!$C$27)</f>
        <v>9.822837969638007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0.52937499999999982</v>
      </c>
      <c r="K15" s="170">
        <f>J15*(100%-'Données projet'!$C$24)*(100%-'Données projet'!$C$25)*(100%-'Données projet'!$C$26)*(100%-'Données projet'!$C$27)</f>
        <v>0.47643749999999985</v>
      </c>
      <c r="L15" s="171">
        <f t="shared" ca="1" si="2"/>
        <v>10.299275469638006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2526.9287846482557</v>
      </c>
      <c r="G16" s="173">
        <f t="shared" ca="1" si="3"/>
        <v>2274.23590618343</v>
      </c>
      <c r="H16" s="174">
        <f t="shared" si="3"/>
        <v>70.396736317779229</v>
      </c>
      <c r="I16" s="174">
        <f t="shared" si="3"/>
        <v>63.357062686001306</v>
      </c>
      <c r="J16" s="175">
        <f t="shared" si="3"/>
        <v>1534.992184837231</v>
      </c>
      <c r="K16" s="175">
        <f t="shared" si="3"/>
        <v>1381.4929663535079</v>
      </c>
      <c r="L16" s="176">
        <f t="shared" ca="1" si="3"/>
        <v>3719.0859352229395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Pin noir d'Autriche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sessile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Chêne pubescent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Charme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Tilleul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Peuplier Koster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Merisier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G1" zoomScale="80" zoomScaleNormal="80" workbookViewId="0">
      <selection activeCell="I25" sqref="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1468.5127624102736</v>
      </c>
      <c r="U10" s="188">
        <f>'Données projet'!D9</f>
        <v>0.47692307692307662</v>
      </c>
      <c r="V10" s="187">
        <f>U10*T10</f>
        <v>700.36762514951465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noir d'Autriche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656.96009935632287</v>
      </c>
      <c r="U11" s="188">
        <f>'Données projet'!D10</f>
        <v>0.47692307692307662</v>
      </c>
      <c r="V11" s="187">
        <f t="shared" ref="V11" si="0">U11*T11</f>
        <v>313.31943200070765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sessile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743.82162838090562</v>
      </c>
      <c r="U12" s="188">
        <f>'Données projet'!D11</f>
        <v>1.6729230769230758</v>
      </c>
      <c r="V12" s="187">
        <f t="shared" ref="V12:V19" si="1">U12*T12</f>
        <v>1244.3563672329174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pubescent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723.06064772661955</v>
      </c>
      <c r="U13" s="188">
        <f>'Données projet'!D12</f>
        <v>2.1498461538461524</v>
      </c>
      <c r="V13" s="187">
        <f t="shared" si="1"/>
        <v>1554.4691525125806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468.84423406534358</v>
      </c>
      <c r="U14" s="188">
        <f>'Données projet'!D13</f>
        <v>0.16307692307692298</v>
      </c>
      <c r="V14" s="187">
        <f t="shared" si="1"/>
        <v>76.457675093732902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9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Charme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419.58440381255343</v>
      </c>
      <c r="U15" s="188">
        <f>'Données projet'!D14</f>
        <v>1.7916666666666652</v>
      </c>
      <c r="V15" s="187">
        <f t="shared" si="1"/>
        <v>751.75539016415757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Erable champêtre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663.98704505368676</v>
      </c>
      <c r="U16" s="188">
        <f>'Données projet'!D15</f>
        <v>0.44249999999999973</v>
      </c>
      <c r="V16" s="187">
        <f t="shared" si="1"/>
        <v>293.81426743625622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Tilleul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770.78305327653686</v>
      </c>
      <c r="U17" s="188">
        <f>'Données projet'!D16</f>
        <v>0.77817307692307647</v>
      </c>
      <c r="V17" s="187">
        <f t="shared" si="1"/>
        <v>599.80262020836631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>Peuplier Koster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10034.941848224533</v>
      </c>
      <c r="U18" s="188">
        <f>'Données projet'!D17</f>
        <v>2.4067415730337065</v>
      </c>
      <c r="V18" s="187">
        <f t="shared" si="1"/>
        <v>24151.511729097681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>Merisier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3089.9985773232406</v>
      </c>
      <c r="U19" s="188">
        <f>'Données projet'!D18</f>
        <v>3.8499999999999986E-2</v>
      </c>
      <c r="V19" s="187">
        <f t="shared" si="1"/>
        <v>118.96494522694472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16407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-160188.24079587712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30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10264.276948139917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40</v>
      </c>
      <c r="B25" s="191">
        <f>'Données projet'!D38</f>
        <v>91</v>
      </c>
      <c r="C25" s="204">
        <v>10</v>
      </c>
      <c r="D25" s="192">
        <f t="shared" si="2"/>
        <v>910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56</v>
      </c>
      <c r="Q25" s="263"/>
      <c r="R25" s="25"/>
      <c r="S25" s="196" t="s">
        <v>266</v>
      </c>
      <c r="T25" s="334">
        <f ca="1">T23-T24</f>
        <v>-170452.51774401704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50</v>
      </c>
      <c r="B26" s="191">
        <f>'Données projet'!D39</f>
        <v>91</v>
      </c>
      <c r="C26" s="204">
        <v>15</v>
      </c>
      <c r="D26" s="192">
        <f t="shared" si="2"/>
        <v>1365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60</v>
      </c>
      <c r="B27" s="191">
        <f>'Données projet'!D40</f>
        <v>112</v>
      </c>
      <c r="C27" s="204">
        <v>20</v>
      </c>
      <c r="D27" s="192">
        <f t="shared" si="2"/>
        <v>2240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70</v>
      </c>
      <c r="B28" s="191">
        <f>'Données projet'!D41</f>
        <v>109</v>
      </c>
      <c r="C28" s="204">
        <v>30</v>
      </c>
      <c r="D28" s="192">
        <f t="shared" si="2"/>
        <v>3270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80</v>
      </c>
      <c r="B29" s="191">
        <f>'Données projet'!D42</f>
        <v>110</v>
      </c>
      <c r="C29" s="204">
        <v>40</v>
      </c>
      <c r="D29" s="192">
        <f t="shared" si="2"/>
        <v>4400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90</v>
      </c>
      <c r="B30" s="191">
        <f>'Données projet'!D43</f>
        <v>97</v>
      </c>
      <c r="C30" s="204">
        <v>50</v>
      </c>
      <c r="D30" s="192">
        <f t="shared" si="2"/>
        <v>4850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886.37970191190993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100</v>
      </c>
      <c r="B31" s="191">
        <f>'Données projet'!D44</f>
        <v>855</v>
      </c>
      <c r="C31" s="204">
        <v>60</v>
      </c>
      <c r="D31" s="192">
        <f t="shared" si="2"/>
        <v>51300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56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53.588516746411486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51.280877269293292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49.07260982707492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46.959435241220035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44.937258604038313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43.002161343577342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41.15039363021755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39.378367110256036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37.682647952398128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36.059950193682425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34.507129371944906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Pin noir d'Autriche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33.021176432483166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31.599211897113076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30.238480284318744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28.936344769683004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27.690282076251691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26.497877584929846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25.356820655435264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24.26490014874188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23.220000142336733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22.220095829987304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30</v>
      </c>
      <c r="B55" s="191">
        <f>'Données projet'!D63</f>
        <v>29</v>
      </c>
      <c r="C55" s="202">
        <v>10</v>
      </c>
      <c r="D55" s="189">
        <f t="shared" ref="D55:D73" si="4">B55*C55</f>
        <v>290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21.263249598073983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40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20.347607270884193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50</v>
      </c>
      <c r="B57" s="191">
        <f>'Données projet'!D65</f>
        <v>76</v>
      </c>
      <c r="C57" s="202">
        <v>20</v>
      </c>
      <c r="D57" s="189">
        <f t="shared" si="4"/>
        <v>1520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19.471394517592532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60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18.632913413964147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70</v>
      </c>
      <c r="B59" s="191">
        <f>'Données projet'!D67</f>
        <v>81</v>
      </c>
      <c r="C59" s="202">
        <v>30</v>
      </c>
      <c r="D59" s="189">
        <f t="shared" si="4"/>
        <v>2430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 t="str">
        <f>IF(O58+1&lt;=MIN('Données projet'!$E$9:$E$18),O58+1,"STOP")</f>
        <v>STOP</v>
      </c>
      <c r="P59" s="195" t="e">
        <f t="shared" si="3"/>
        <v>#VALUE!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80</v>
      </c>
      <c r="B60" s="191">
        <f>'Données projet'!D68</f>
        <v>0</v>
      </c>
      <c r="C60" s="202">
        <v>35</v>
      </c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3"/>
        <v>#VALUE!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90</v>
      </c>
      <c r="B61" s="191">
        <f>'Données projet'!D69</f>
        <v>73</v>
      </c>
      <c r="C61" s="202">
        <v>40</v>
      </c>
      <c r="D61" s="189">
        <f t="shared" si="4"/>
        <v>2920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3"/>
        <v>#VALUE!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100</v>
      </c>
      <c r="B62" s="191">
        <f>'Données projet'!D70</f>
        <v>583</v>
      </c>
      <c r="C62" s="202">
        <v>45</v>
      </c>
      <c r="D62" s="189">
        <f t="shared" si="4"/>
        <v>26235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3"/>
        <v>#VALUE!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3"/>
        <v>#VALUE!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3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sessile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25</v>
      </c>
      <c r="B86" s="191">
        <f>'Données projet'!D89</f>
        <v>8</v>
      </c>
      <c r="C86" s="202">
        <v>10</v>
      </c>
      <c r="D86" s="189">
        <f t="shared" ref="D86:D104" si="6">B86*C86</f>
        <v>80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35</v>
      </c>
      <c r="B88" s="191">
        <f>'Données projet'!D91</f>
        <v>42</v>
      </c>
      <c r="C88" s="202">
        <v>15</v>
      </c>
      <c r="D88" s="189">
        <f t="shared" si="6"/>
        <v>630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45</v>
      </c>
      <c r="B90" s="191">
        <f>'Données projet'!D93</f>
        <v>42</v>
      </c>
      <c r="C90" s="202">
        <v>15</v>
      </c>
      <c r="D90" s="189">
        <f t="shared" si="6"/>
        <v>630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50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55</v>
      </c>
      <c r="B92" s="191">
        <f>'Données projet'!D95</f>
        <v>42</v>
      </c>
      <c r="C92" s="202">
        <v>20</v>
      </c>
      <c r="D92" s="189">
        <f t="shared" si="6"/>
        <v>840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60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65</v>
      </c>
      <c r="B94" s="191">
        <f>'Données projet'!D97</f>
        <v>42</v>
      </c>
      <c r="C94" s="202">
        <v>30</v>
      </c>
      <c r="D94" s="189">
        <f t="shared" si="6"/>
        <v>1260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70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75</v>
      </c>
      <c r="B96" s="191">
        <f>'Données projet'!D99</f>
        <v>42</v>
      </c>
      <c r="C96" s="202">
        <v>40</v>
      </c>
      <c r="D96" s="189">
        <f t="shared" si="6"/>
        <v>1680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80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85</v>
      </c>
      <c r="B98" s="191">
        <f>'Données projet'!D101</f>
        <v>42</v>
      </c>
      <c r="C98" s="202">
        <v>60</v>
      </c>
      <c r="D98" s="189">
        <f t="shared" si="6"/>
        <v>2520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95</v>
      </c>
      <c r="B99" s="191">
        <f>'Données projet'!D102</f>
        <v>42</v>
      </c>
      <c r="C99" s="202">
        <v>70</v>
      </c>
      <c r="D99" s="189">
        <f t="shared" si="6"/>
        <v>2940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105</v>
      </c>
      <c r="B100" s="191">
        <f>'Données projet'!D103</f>
        <v>41</v>
      </c>
      <c r="C100" s="202">
        <v>80</v>
      </c>
      <c r="D100" s="189">
        <f t="shared" si="6"/>
        <v>3280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115</v>
      </c>
      <c r="B101" s="191">
        <f>'Données projet'!D104</f>
        <v>37</v>
      </c>
      <c r="C101" s="202">
        <v>90</v>
      </c>
      <c r="D101" s="189">
        <f t="shared" si="6"/>
        <v>3330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125</v>
      </c>
      <c r="B102" s="191">
        <f>'Données projet'!D105</f>
        <v>33</v>
      </c>
      <c r="C102" s="202">
        <v>100</v>
      </c>
      <c r="D102" s="189">
        <f t="shared" si="6"/>
        <v>3300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135</v>
      </c>
      <c r="B103" s="191">
        <f>'Données projet'!D106</f>
        <v>29</v>
      </c>
      <c r="C103" s="202">
        <v>150</v>
      </c>
      <c r="D103" s="189">
        <f t="shared" si="6"/>
        <v>4350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150</v>
      </c>
      <c r="B104" s="191">
        <f>'Données projet'!D107</f>
        <v>306</v>
      </c>
      <c r="C104" s="202">
        <v>250</v>
      </c>
      <c r="D104" s="189">
        <f t="shared" si="6"/>
        <v>76500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Chêne pubescent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25</v>
      </c>
      <c r="B117" s="191">
        <f>'Données projet'!D115</f>
        <v>8</v>
      </c>
      <c r="C117" s="202">
        <v>10</v>
      </c>
      <c r="D117" s="189">
        <f t="shared" ref="D117:D135" si="8">B117*C117</f>
        <v>80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35</v>
      </c>
      <c r="B119" s="191">
        <f>'Données projet'!D117</f>
        <v>42</v>
      </c>
      <c r="C119" s="202">
        <v>15</v>
      </c>
      <c r="D119" s="189">
        <f t="shared" si="8"/>
        <v>630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45</v>
      </c>
      <c r="B121" s="191">
        <f>'Données projet'!D119</f>
        <v>42</v>
      </c>
      <c r="C121" s="202">
        <v>15</v>
      </c>
      <c r="D121" s="189">
        <f t="shared" si="8"/>
        <v>630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55</v>
      </c>
      <c r="B123" s="191">
        <f>'Données projet'!D121</f>
        <v>42</v>
      </c>
      <c r="C123" s="202">
        <v>20</v>
      </c>
      <c r="D123" s="189">
        <f t="shared" si="8"/>
        <v>840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65</v>
      </c>
      <c r="B125" s="191">
        <f>'Données projet'!D123</f>
        <v>42</v>
      </c>
      <c r="C125" s="202">
        <v>30</v>
      </c>
      <c r="D125" s="189">
        <f t="shared" si="8"/>
        <v>1260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75</v>
      </c>
      <c r="B127" s="191">
        <f>'Données projet'!D125</f>
        <v>42</v>
      </c>
      <c r="C127" s="202">
        <v>40</v>
      </c>
      <c r="D127" s="189">
        <f t="shared" si="8"/>
        <v>1680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85</v>
      </c>
      <c r="B129" s="191">
        <f>'Données projet'!D127</f>
        <v>42</v>
      </c>
      <c r="C129" s="202">
        <v>60</v>
      </c>
      <c r="D129" s="189">
        <f t="shared" si="8"/>
        <v>2520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95</v>
      </c>
      <c r="B130" s="191">
        <f>'Données projet'!D128</f>
        <v>42</v>
      </c>
      <c r="C130" s="202">
        <v>70</v>
      </c>
      <c r="D130" s="189">
        <f t="shared" si="8"/>
        <v>2940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105</v>
      </c>
      <c r="B131" s="191">
        <f>'Données projet'!D129</f>
        <v>41</v>
      </c>
      <c r="C131" s="202">
        <v>80</v>
      </c>
      <c r="D131" s="189">
        <f t="shared" si="8"/>
        <v>3280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115</v>
      </c>
      <c r="B132" s="191">
        <f>'Données projet'!D130</f>
        <v>37</v>
      </c>
      <c r="C132" s="202">
        <v>90</v>
      </c>
      <c r="D132" s="189">
        <f t="shared" si="8"/>
        <v>3330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125</v>
      </c>
      <c r="B133" s="191">
        <f>'Données projet'!D131</f>
        <v>33</v>
      </c>
      <c r="C133" s="202">
        <v>100</v>
      </c>
      <c r="D133" s="189">
        <f t="shared" si="8"/>
        <v>3300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135</v>
      </c>
      <c r="B134" s="191">
        <f>'Données projet'!D132</f>
        <v>29</v>
      </c>
      <c r="C134" s="202">
        <v>150</v>
      </c>
      <c r="D134" s="189">
        <f t="shared" si="8"/>
        <v>4350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150</v>
      </c>
      <c r="B135" s="191">
        <f>'Données projet'!D133</f>
        <v>306</v>
      </c>
      <c r="C135" s="202">
        <v>200</v>
      </c>
      <c r="D135" s="189">
        <f t="shared" si="8"/>
        <v>61200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8</v>
      </c>
      <c r="C148" s="202">
        <v>10</v>
      </c>
      <c r="D148" s="192">
        <f t="shared" ref="D148:D166" si="10">B148*C148</f>
        <v>80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42</v>
      </c>
      <c r="C150" s="202">
        <v>10</v>
      </c>
      <c r="D150" s="192">
        <f t="shared" si="10"/>
        <v>420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42</v>
      </c>
      <c r="C152" s="202">
        <v>10</v>
      </c>
      <c r="D152" s="192">
        <f t="shared" si="10"/>
        <v>420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42</v>
      </c>
      <c r="C154" s="202">
        <v>15</v>
      </c>
      <c r="D154" s="192">
        <f t="shared" si="10"/>
        <v>630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42</v>
      </c>
      <c r="C156" s="202">
        <v>20</v>
      </c>
      <c r="D156" s="192">
        <f t="shared" si="10"/>
        <v>840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42</v>
      </c>
      <c r="C158" s="202">
        <v>30</v>
      </c>
      <c r="D158" s="192">
        <f t="shared" si="10"/>
        <v>1260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85</v>
      </c>
      <c r="B160" s="185">
        <f>'Données projet'!D153</f>
        <v>42</v>
      </c>
      <c r="C160" s="202">
        <v>40</v>
      </c>
      <c r="D160" s="192">
        <f t="shared" si="10"/>
        <v>1680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95</v>
      </c>
      <c r="B161" s="185">
        <f>'Données projet'!D154</f>
        <v>42</v>
      </c>
      <c r="C161" s="202">
        <v>45</v>
      </c>
      <c r="D161" s="192">
        <f t="shared" si="10"/>
        <v>1890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105</v>
      </c>
      <c r="B162" s="185">
        <f>'Données projet'!D155</f>
        <v>41</v>
      </c>
      <c r="C162" s="202">
        <v>50</v>
      </c>
      <c r="D162" s="192">
        <f t="shared" si="10"/>
        <v>2050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115</v>
      </c>
      <c r="B163" s="185">
        <f>'Données projet'!D156</f>
        <v>37</v>
      </c>
      <c r="C163" s="202">
        <v>55</v>
      </c>
      <c r="D163" s="192">
        <f t="shared" si="10"/>
        <v>2035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125</v>
      </c>
      <c r="B164" s="185">
        <f>'Données projet'!D157</f>
        <v>33</v>
      </c>
      <c r="C164" s="202">
        <v>60</v>
      </c>
      <c r="D164" s="192">
        <f t="shared" si="10"/>
        <v>1980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135</v>
      </c>
      <c r="B165" s="185">
        <f>'Données projet'!D158</f>
        <v>29</v>
      </c>
      <c r="C165" s="202">
        <v>65</v>
      </c>
      <c r="D165" s="192">
        <f t="shared" si="10"/>
        <v>1885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306</v>
      </c>
      <c r="C166" s="202">
        <v>70</v>
      </c>
      <c r="D166" s="192">
        <f t="shared" si="10"/>
        <v>21420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Charme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10.897435897435898</v>
      </c>
      <c r="C179" s="204">
        <v>10</v>
      </c>
      <c r="D179" s="189">
        <f t="shared" ref="D179:D197" si="11">B179*C179</f>
        <v>108.97435897435898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17.948717948717949</v>
      </c>
      <c r="C181" s="204">
        <v>10</v>
      </c>
      <c r="D181" s="189">
        <f t="shared" si="11"/>
        <v>179.4871794871795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21.153846153846153</v>
      </c>
      <c r="C183" s="204">
        <v>15</v>
      </c>
      <c r="D183" s="189">
        <f t="shared" si="11"/>
        <v>317.30769230769232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23.076923076923077</v>
      </c>
      <c r="C185" s="204">
        <v>20</v>
      </c>
      <c r="D185" s="189">
        <f t="shared" si="11"/>
        <v>461.53846153846155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23.076923076923077</v>
      </c>
      <c r="C187" s="204">
        <v>25</v>
      </c>
      <c r="D187" s="189">
        <f t="shared" si="11"/>
        <v>576.92307692307691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23.076923076923077</v>
      </c>
      <c r="C189" s="204">
        <v>30</v>
      </c>
      <c r="D189" s="189">
        <f t="shared" si="11"/>
        <v>692.30769230769226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21.794871794871796</v>
      </c>
      <c r="C191" s="204">
        <v>40</v>
      </c>
      <c r="D191" s="189">
        <f t="shared" si="11"/>
        <v>871.79487179487182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85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90</v>
      </c>
      <c r="B193" s="191">
        <f>'Données projet'!D181</f>
        <v>21.153846153846153</v>
      </c>
      <c r="C193" s="204">
        <v>50</v>
      </c>
      <c r="D193" s="189">
        <f t="shared" si="11"/>
        <v>1057.6923076923076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95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100</v>
      </c>
      <c r="B195" s="191">
        <f>'Données projet'!D183</f>
        <v>19.871794871794872</v>
      </c>
      <c r="C195" s="204">
        <v>60</v>
      </c>
      <c r="D195" s="189">
        <f t="shared" si="11"/>
        <v>1192.3076923076924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110</v>
      </c>
      <c r="B196" s="191">
        <f>'Données projet'!D184</f>
        <v>19.23076923076923</v>
      </c>
      <c r="C196" s="204">
        <v>65</v>
      </c>
      <c r="D196" s="189">
        <f t="shared" si="11"/>
        <v>1250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120</v>
      </c>
      <c r="B197" s="191">
        <f>'Données projet'!D185</f>
        <v>217.94871794871796</v>
      </c>
      <c r="C197" s="204">
        <v>70</v>
      </c>
      <c r="D197" s="189">
        <f t="shared" si="11"/>
        <v>15256.410256410258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17</v>
      </c>
      <c r="C210" s="204">
        <v>10</v>
      </c>
      <c r="D210" s="189">
        <f t="shared" ref="D210:D228" si="12">B210*C210</f>
        <v>170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28</v>
      </c>
      <c r="C212" s="204">
        <v>15</v>
      </c>
      <c r="D212" s="189">
        <f t="shared" si="12"/>
        <v>420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28</v>
      </c>
      <c r="C214" s="204">
        <v>20</v>
      </c>
      <c r="D214" s="189">
        <f t="shared" si="12"/>
        <v>560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20</v>
      </c>
      <c r="C216" s="204">
        <v>30</v>
      </c>
      <c r="D216" s="189">
        <f t="shared" si="12"/>
        <v>600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13</v>
      </c>
      <c r="C218" s="204">
        <v>50</v>
      </c>
      <c r="D218" s="189">
        <f t="shared" si="12"/>
        <v>650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169</v>
      </c>
      <c r="C221" s="204">
        <v>70</v>
      </c>
      <c r="D221" s="189">
        <f t="shared" si="12"/>
        <v>11830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Tilleul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53.846153846153847</v>
      </c>
      <c r="C242" s="204">
        <v>10</v>
      </c>
      <c r="D242" s="189">
        <f t="shared" si="13"/>
        <v>538.46153846153845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37.179487179487175</v>
      </c>
      <c r="C244" s="204">
        <v>10</v>
      </c>
      <c r="D244" s="189">
        <f t="shared" si="13"/>
        <v>371.79487179487177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36.53846153846154</v>
      </c>
      <c r="C246" s="204">
        <v>15</v>
      </c>
      <c r="D246" s="189">
        <f t="shared" si="13"/>
        <v>548.07692307692309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32.692307692307693</v>
      </c>
      <c r="C248" s="204">
        <v>20</v>
      </c>
      <c r="D248" s="189">
        <f t="shared" si="13"/>
        <v>653.84615384615381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31.410256410256409</v>
      </c>
      <c r="C250" s="204">
        <v>30</v>
      </c>
      <c r="D250" s="189">
        <f t="shared" si="13"/>
        <v>942.30769230769226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28.846153846153847</v>
      </c>
      <c r="C252" s="204">
        <v>40</v>
      </c>
      <c r="D252" s="189">
        <f t="shared" si="13"/>
        <v>1153.8461538461538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85</v>
      </c>
      <c r="B254" s="191">
        <f>'Données projet'!D232</f>
        <v>27.564102564102562</v>
      </c>
      <c r="C254" s="204">
        <v>50</v>
      </c>
      <c r="D254" s="189">
        <f t="shared" si="13"/>
        <v>1378.2051282051282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90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95</v>
      </c>
      <c r="B256" s="191">
        <f>'Données projet'!D234</f>
        <v>25</v>
      </c>
      <c r="C256" s="204">
        <v>60</v>
      </c>
      <c r="D256" s="189">
        <f t="shared" si="13"/>
        <v>1500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100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105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110</v>
      </c>
      <c r="B259" s="191">
        <f>'Données projet'!D237</f>
        <v>358.33333333333331</v>
      </c>
      <c r="C259" s="204">
        <v>80</v>
      </c>
      <c r="D259" s="189">
        <f t="shared" si="13"/>
        <v>28666.666666666664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Peuplier Koster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7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8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9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10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11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12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13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14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15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16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17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18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19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20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21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22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23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24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25</v>
      </c>
      <c r="B289" s="191">
        <f>'Données projet'!D262</f>
        <v>603.18720000000008</v>
      </c>
      <c r="C289" s="204">
        <v>50</v>
      </c>
      <c r="D289" s="189">
        <f t="shared" si="14"/>
        <v>30159.360000000004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>Merisier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15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25</v>
      </c>
      <c r="B304" s="191">
        <f>'Données projet'!D272</f>
        <v>55</v>
      </c>
      <c r="C304" s="202">
        <v>10</v>
      </c>
      <c r="D304" s="192">
        <f t="shared" si="15"/>
        <v>550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31</v>
      </c>
      <c r="B305" s="191">
        <f>'Données projet'!D273</f>
        <v>36</v>
      </c>
      <c r="C305" s="202">
        <v>15</v>
      </c>
      <c r="D305" s="192">
        <f t="shared" si="15"/>
        <v>540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37</v>
      </c>
      <c r="B306" s="191">
        <f>'Données projet'!D274</f>
        <v>36</v>
      </c>
      <c r="C306" s="202">
        <v>30</v>
      </c>
      <c r="D306" s="192">
        <f t="shared" si="15"/>
        <v>1080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44</v>
      </c>
      <c r="B307" s="191">
        <f>'Données projet'!D275</f>
        <v>43</v>
      </c>
      <c r="C307" s="202">
        <v>40</v>
      </c>
      <c r="D307" s="192">
        <f t="shared" si="15"/>
        <v>1720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52</v>
      </c>
      <c r="B308" s="191">
        <f>'Données projet'!D276</f>
        <v>48</v>
      </c>
      <c r="C308" s="202">
        <v>50</v>
      </c>
      <c r="D308" s="192">
        <f t="shared" si="15"/>
        <v>2400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60</v>
      </c>
      <c r="B309" s="191">
        <f>'Données projet'!D277</f>
        <v>47</v>
      </c>
      <c r="C309" s="202">
        <v>100</v>
      </c>
      <c r="D309" s="192">
        <f t="shared" si="15"/>
        <v>4700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69</v>
      </c>
      <c r="B310" s="191">
        <f>'Données projet'!D278</f>
        <v>328</v>
      </c>
      <c r="C310" s="202">
        <v>110</v>
      </c>
      <c r="D310" s="192">
        <f t="shared" si="15"/>
        <v>36080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2022-12-09T12:46:34Z</dcterms:modified>
</cp:coreProperties>
</file>