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CamilleS3\Documents\2020-CNPF\1.CARBONE\1.Projets\EDF\Jouy le Potier\CNPF C+for n° 99 Jouy-le-Potier (EDF n° 1)\"/>
    </mc:Choice>
  </mc:AlternateContent>
  <bookViews>
    <workbookView xWindow="0" yWindow="0" windowWidth="10845" windowHeight="4260" tabRatio="866" activeTab="1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6" i="1" l="1"/>
  <c r="D125" i="1"/>
  <c r="B125" i="1"/>
  <c r="D123" i="1"/>
  <c r="B123" i="1"/>
  <c r="D121" i="1"/>
  <c r="B121" i="1"/>
  <c r="D119" i="1"/>
  <c r="B119" i="1"/>
  <c r="D117" i="1"/>
  <c r="B117" i="1"/>
  <c r="D150" i="1" l="1"/>
  <c r="D147" i="1"/>
  <c r="B147" i="1"/>
  <c r="D145" i="1"/>
  <c r="B145" i="1"/>
  <c r="D143" i="1"/>
  <c r="B143" i="1"/>
  <c r="D141" i="1"/>
  <c r="B141" i="1"/>
  <c r="D107" i="1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DH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AW161" i="2" l="1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DH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X197" i="2" l="1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AH62" i="2" a="1"/>
  <c r="AH62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CS114" i="2" l="1" a="1"/>
  <c r="CS114" i="2" s="1"/>
  <c r="CS38" i="2" a="1"/>
  <c r="CS38" i="2" s="1"/>
  <c r="CS137" i="2" a="1"/>
  <c r="CS137" i="2" s="1"/>
  <c r="CS129" i="2" a="1"/>
  <c r="CS129" i="2" s="1"/>
  <c r="CS72" i="2" a="1"/>
  <c r="CS72" i="2" s="1"/>
  <c r="CS105" i="2" a="1"/>
  <c r="CS105" i="2" s="1"/>
  <c r="CS52" i="2" a="1"/>
  <c r="CS52" i="2" s="1"/>
  <c r="CS185" i="2" a="1"/>
  <c r="CS185" i="2" s="1"/>
  <c r="CS161" i="2" a="1"/>
  <c r="CS161" i="2" s="1"/>
  <c r="CS134" i="2" a="1"/>
  <c r="CS134" i="2" s="1"/>
  <c r="CS116" i="2" a="1"/>
  <c r="CS116" i="2" s="1"/>
  <c r="CS66" i="2" a="1"/>
  <c r="CS66" i="2" s="1"/>
  <c r="CS56" i="2" a="1"/>
  <c r="CS56" i="2" s="1"/>
  <c r="CS77" i="2" a="1"/>
  <c r="CS77" i="2" s="1"/>
  <c r="CS24" i="2" a="1"/>
  <c r="CS24" i="2" s="1"/>
  <c r="CS120" i="2" a="1"/>
  <c r="CS120" i="2" s="1"/>
  <c r="BX107" i="2" a="1"/>
  <c r="BX107" i="2" s="1"/>
  <c r="BP203" i="2"/>
  <c r="AH199" i="2" a="1"/>
  <c r="AH199" i="2" s="1"/>
  <c r="AH19" i="2" a="1"/>
  <c r="AH19" i="2" s="1"/>
  <c r="AH90" i="2" a="1"/>
  <c r="AH90" i="2" s="1"/>
  <c r="AH166" i="2" a="1"/>
  <c r="AH166" i="2" s="1"/>
  <c r="AH92" i="2" a="1"/>
  <c r="AH92" i="2" s="1"/>
  <c r="AH163" i="2" a="1"/>
  <c r="AH163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66" i="2"/>
  <c r="BI152" i="2"/>
  <c r="BI81" i="2"/>
  <c r="BI144" i="2"/>
  <c r="BI82" i="2"/>
  <c r="BI29" i="2"/>
  <c r="BI139" i="2"/>
  <c r="BI67" i="2"/>
  <c r="BI168" i="2"/>
  <c r="BI193" i="2"/>
  <c r="BI105" i="2"/>
  <c r="BI114" i="2"/>
  <c r="BI77" i="2"/>
  <c r="BI125" i="2"/>
  <c r="BI110" i="2"/>
  <c r="BI53" i="2"/>
  <c r="BI198" i="2"/>
  <c r="BI19" i="2"/>
  <c r="BI57" i="2"/>
  <c r="BI69" i="2"/>
  <c r="BI13" i="2"/>
  <c r="BI162" i="2"/>
  <c r="BI6" i="2"/>
  <c r="BI142" i="2"/>
  <c r="BI79" i="2"/>
  <c r="BI86" i="2"/>
  <c r="BI72" i="2"/>
  <c r="BI119" i="2"/>
  <c r="BI52" i="2"/>
  <c r="BI68" i="2"/>
  <c r="BI55" i="2"/>
  <c r="BI76" i="2"/>
  <c r="BI59" i="2"/>
  <c r="BI143" i="2"/>
  <c r="BI44" i="2"/>
  <c r="BI106" i="2"/>
  <c r="BI128" i="2"/>
  <c r="BI123" i="2"/>
  <c r="BI173" i="2"/>
  <c r="BI34" i="2"/>
  <c r="BI31" i="2"/>
  <c r="BI138" i="2"/>
  <c r="BI107" i="2"/>
  <c r="BI7" i="2"/>
  <c r="BI51" i="2"/>
  <c r="BI153" i="2"/>
  <c r="BI5" i="2"/>
  <c r="BI134" i="2"/>
  <c r="BI148" i="2"/>
  <c r="BI61" i="2"/>
  <c r="BI194" i="2"/>
  <c r="BI25" i="2"/>
  <c r="BI197" i="2"/>
  <c r="BI99" i="2"/>
  <c r="BI199" i="2"/>
  <c r="BI17" i="2"/>
  <c r="BI129" i="2"/>
  <c r="BI117" i="2"/>
  <c r="BI36" i="2"/>
  <c r="BI174" i="2"/>
  <c r="BI133" i="2"/>
  <c r="BI22" i="2"/>
  <c r="BI188" i="2"/>
  <c r="BI131" i="2"/>
  <c r="BI181" i="2"/>
  <c r="BI177" i="2"/>
  <c r="BI37" i="2"/>
  <c r="BI90" i="2"/>
  <c r="BI172" i="2"/>
  <c r="BI94" i="2"/>
  <c r="BI186" i="2"/>
  <c r="BI101" i="2"/>
  <c r="BI156" i="2"/>
  <c r="BI95" i="2"/>
  <c r="BI65" i="2"/>
  <c r="BI104" i="2"/>
  <c r="BI87" i="2"/>
  <c r="BI122" i="2"/>
  <c r="BI12" i="2"/>
  <c r="BI20" i="2"/>
  <c r="BI182" i="2"/>
  <c r="BI85" i="2"/>
  <c r="BI171" i="2"/>
  <c r="BI196" i="2"/>
  <c r="BI3" i="2"/>
  <c r="C8" i="4" s="1"/>
  <c r="E8" i="4" s="1"/>
  <c r="F8" i="4" s="1"/>
  <c r="G8" i="4" s="1"/>
  <c r="L8" i="4" s="1"/>
  <c r="BI40" i="2"/>
  <c r="BI54" i="2"/>
  <c r="BI112" i="2"/>
  <c r="BI84" i="2"/>
  <c r="BI16" i="2"/>
  <c r="BI100" i="2"/>
  <c r="BI96" i="2"/>
  <c r="BI118" i="2"/>
  <c r="BI8" i="2"/>
  <c r="BI185" i="2"/>
  <c r="BI192" i="2"/>
  <c r="BI73" i="2"/>
  <c r="BI50" i="2"/>
  <c r="BI103" i="2"/>
  <c r="BI60" i="2"/>
  <c r="BI108" i="2"/>
  <c r="BI28" i="2"/>
  <c r="BI26" i="2"/>
  <c r="BI93" i="2"/>
  <c r="BI27" i="2"/>
  <c r="BI49" i="2"/>
  <c r="BI11" i="2"/>
  <c r="BI62" i="2"/>
  <c r="BI38" i="2"/>
  <c r="BI41" i="2"/>
  <c r="BI149" i="2"/>
  <c r="BI43" i="2"/>
  <c r="BI187" i="2"/>
  <c r="BI113" i="2"/>
  <c r="BI180" i="2"/>
  <c r="BI147" i="2"/>
  <c r="BI202" i="2"/>
  <c r="BI71" i="2"/>
  <c r="BI189" i="2"/>
  <c r="BI166" i="2"/>
  <c r="BI137" i="2"/>
  <c r="BI170" i="2"/>
  <c r="BI115" i="2"/>
  <c r="BI78" i="2"/>
  <c r="BI165" i="2"/>
  <c r="BI184" i="2"/>
  <c r="BI176" i="2"/>
  <c r="BI155" i="2"/>
  <c r="BI74" i="2"/>
  <c r="BI109" i="2"/>
  <c r="BI179" i="2"/>
  <c r="BI35" i="2"/>
  <c r="BI146" i="2"/>
  <c r="BI141" i="2"/>
  <c r="BI80" i="2"/>
  <c r="BI42" i="2"/>
  <c r="BI126" i="2"/>
  <c r="BI102" i="2"/>
  <c r="BI163" i="2"/>
  <c r="BI83" i="2"/>
  <c r="BI183" i="2"/>
  <c r="BI63" i="2"/>
  <c r="BI160" i="2"/>
  <c r="BI140" i="2"/>
  <c r="BI14" i="2"/>
  <c r="BI64" i="2"/>
  <c r="BI88" i="2"/>
  <c r="BI39" i="2"/>
  <c r="BI46" i="2"/>
  <c r="BI201" i="2"/>
  <c r="BI56" i="2"/>
  <c r="BI48" i="2"/>
  <c r="BI24" i="2"/>
  <c r="BI30" i="2"/>
  <c r="BI58" i="2"/>
  <c r="BI98" i="2"/>
  <c r="BI175" i="2"/>
  <c r="BI21" i="2"/>
  <c r="BI167" i="2"/>
  <c r="BI169" i="2"/>
  <c r="BI203" i="2"/>
  <c r="BI9" i="2"/>
  <c r="BI120" i="2"/>
  <c r="BI45" i="2"/>
  <c r="BI132" i="2"/>
  <c r="BI97" i="2"/>
  <c r="BI33" i="2"/>
  <c r="BI154" i="2"/>
  <c r="BI127" i="2"/>
  <c r="BI195" i="2"/>
  <c r="BI135" i="2"/>
  <c r="BI200" i="2"/>
  <c r="BI91" i="2"/>
  <c r="BI18" i="2"/>
  <c r="BI151" i="2"/>
  <c r="BI158" i="2"/>
  <c r="BI145" i="2"/>
  <c r="BI70" i="2"/>
  <c r="BI121" i="2"/>
  <c r="BI116" i="2"/>
  <c r="BI75" i="2"/>
  <c r="BI124" i="2"/>
  <c r="BI136" i="2"/>
  <c r="BI164" i="2"/>
  <c r="BI159" i="2"/>
  <c r="BI32" i="2"/>
  <c r="BI111" i="2"/>
  <c r="BI191" i="2"/>
  <c r="BI157" i="2"/>
  <c r="BI92" i="2"/>
  <c r="BI23" i="2"/>
  <c r="BI190" i="2"/>
  <c r="BI130" i="2"/>
  <c r="BI15" i="2"/>
  <c r="BI10" i="2"/>
  <c r="BI4" i="2"/>
  <c r="BI89" i="2"/>
  <c r="BI161" i="2"/>
  <c r="BI150" i="2"/>
  <c r="BI178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<sst xmlns="http://schemas.openxmlformats.org/spreadsheetml/2006/main" count="1174" uniqueCount="324">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</sst>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210.34498910896306</c:v>
                </c:pt>
                <c:pt idx="32">
                  <c:v>225.96022281826015</c:v>
                </c:pt>
                <c:pt idx="33">
                  <c:v>241.5507456503326</c:v>
                </c:pt>
                <c:pt idx="34">
                  <c:v>257.1183772918742</c:v>
                </c:pt>
                <c:pt idx="35">
                  <c:v>272.6646989766358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288.96691630985219</c:v>
                </c:pt>
                <c:pt idx="42">
                  <c:v>305.24857979967953</c:v>
                </c:pt>
                <c:pt idx="43">
                  <c:v>321.51093999187805</c:v>
                </c:pt>
                <c:pt idx="44">
                  <c:v>337.75511058999291</c:v>
                </c:pt>
                <c:pt idx="45">
                  <c:v>353.9820894286774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367.49209034996028</c:v>
                </c:pt>
                <c:pt idx="52">
                  <c:v>382.9188457551441</c:v>
                </c:pt>
                <c:pt idx="53">
                  <c:v>398.33209414857441</c:v>
                </c:pt>
                <c:pt idx="54">
                  <c:v>413.73243167051174</c:v>
                </c:pt>
                <c:pt idx="55">
                  <c:v>429.12040646848055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435.27224940464231</c:v>
                </c:pt>
                <c:pt idx="62">
                  <c:v>449.10711821530072</c:v>
                </c:pt>
                <c:pt idx="63">
                  <c:v>462.93287033289988</c:v>
                </c:pt>
                <c:pt idx="64">
                  <c:v>476.74981634160105</c:v>
                </c:pt>
                <c:pt idx="65">
                  <c:v>490.55824735832402</c:v>
                </c:pt>
                <c:pt idx="66">
                  <c:v>422.96666682108577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462.16500679362093</c:v>
                </c:pt>
                <c:pt idx="70">
                  <c:v>475.21502577729035</c:v>
                </c:pt>
                <c:pt idx="71">
                  <c:v>487.10692264565643</c:v>
                </c:pt>
                <c:pt idx="72">
                  <c:v>498.99265901764255</c:v>
                </c:pt>
                <c:pt idx="73">
                  <c:v>510.87240230317911</c:v>
                </c:pt>
                <c:pt idx="74">
                  <c:v>522.74631149207403</c:v>
                </c:pt>
                <c:pt idx="75">
                  <c:v>534.61453776319524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522.74631149207403</c:v>
                </c:pt>
                <c:pt idx="82">
                  <c:v>533.84901440052874</c:v>
                </c:pt>
                <c:pt idx="83">
                  <c:v>544.94686208460519</c:v>
                </c:pt>
                <c:pt idx="84">
                  <c:v>556.03996734839518</c:v>
                </c:pt>
                <c:pt idx="85">
                  <c:v>567.12843812854373</c:v>
                </c:pt>
                <c:pt idx="86">
                  <c:v>496.69266671205565</c:v>
                </c:pt>
                <c:pt idx="87">
                  <c:v>506.65768536589252</c:v>
                </c:pt>
                <c:pt idx="88">
                  <c:v>516.61856122298445</c:v>
                </c:pt>
                <c:pt idx="89">
                  <c:v>526.57538542767463</c:v>
                </c:pt>
                <c:pt idx="90">
                  <c:v>536.52824539615108</c:v>
                </c:pt>
                <c:pt idx="91">
                  <c:v>546.47722503675345</c:v>
                </c:pt>
                <c:pt idx="92">
                  <c:v>556.42240495340013</c:v>
                </c:pt>
                <c:pt idx="93">
                  <c:v>566.3638626337181</c:v>
                </c:pt>
                <c:pt idx="94">
                  <c:v>576.30167262327802</c:v>
                </c:pt>
                <c:pt idx="95">
                  <c:v>586.23590668718793</c:v>
                </c:pt>
                <c:pt idx="96">
                  <c:v>514.89485591885318</c:v>
                </c:pt>
                <c:pt idx="97">
                  <c:v>523.89509553418225</c:v>
                </c:pt>
                <c:pt idx="98">
                  <c:v>532.8920777216357</c:v>
                </c:pt>
                <c:pt idx="99">
                  <c:v>541.885865239483</c:v>
                </c:pt>
                <c:pt idx="100">
                  <c:v>550.87651859261859</c:v>
                </c:pt>
                <c:pt idx="101">
                  <c:v>559.86409614971501</c:v>
                </c:pt>
                <c:pt idx="102">
                  <c:v>568.84865425246721</c:v>
                </c:pt>
                <c:pt idx="103">
                  <c:v>577.83024731757325</c:v>
                </c:pt>
                <c:pt idx="104">
                  <c:v>586.80892793204669</c:v>
                </c:pt>
                <c:pt idx="105">
                  <c:v>595.78474694239264</c:v>
                </c:pt>
                <c:pt idx="106">
                  <c:v>525.04382649327317</c:v>
                </c:pt>
                <c:pt idx="107">
                  <c:v>532.70068604986398</c:v>
                </c:pt>
                <c:pt idx="108">
                  <c:v>540.35523076412699</c:v>
                </c:pt>
                <c:pt idx="109">
                  <c:v>548.00749806060423</c:v>
                </c:pt>
                <c:pt idx="110">
                  <c:v>555.65752423315905</c:v>
                </c:pt>
                <c:pt idx="111">
                  <c:v>563.30534449456991</c:v>
                </c:pt>
                <c:pt idx="112">
                  <c:v>570.95099302329288</c:v>
                </c:pt>
                <c:pt idx="113">
                  <c:v>578.59450300758726</c:v>
                </c:pt>
                <c:pt idx="114">
                  <c:v>586.23590668718782</c:v>
                </c:pt>
                <c:pt idx="115">
                  <c:v>593.87523539269228</c:v>
                </c:pt>
                <c:pt idx="116">
                  <c:v>529.63822214325535</c:v>
                </c:pt>
                <c:pt idx="117">
                  <c:v>536.14551536775173</c:v>
                </c:pt>
                <c:pt idx="118">
                  <c:v>542.65114840915533</c:v>
                </c:pt>
                <c:pt idx="119">
                  <c:v>549.15514398563994</c:v>
                </c:pt>
                <c:pt idx="120">
                  <c:v>555.65752423315882</c:v>
                </c:pt>
                <c:pt idx="121">
                  <c:v>562.15831072715275</c:v>
                </c:pt>
                <c:pt idx="122">
                  <c:v>568.65752450320326</c:v>
                </c:pt>
                <c:pt idx="123">
                  <c:v>575.15518607669139</c:v>
                </c:pt>
                <c:pt idx="124">
                  <c:v>581.65131546152236</c:v>
                </c:pt>
                <c:pt idx="125">
                  <c:v>588.14593218796915</c:v>
                </c:pt>
                <c:pt idx="126">
                  <c:v>530.78668966466273</c:v>
                </c:pt>
                <c:pt idx="127">
                  <c:v>536.52824539615051</c:v>
                </c:pt>
                <c:pt idx="128">
                  <c:v>542.26850965950291</c:v>
                </c:pt>
                <c:pt idx="129">
                  <c:v>548.00749806060389</c:v>
                </c:pt>
                <c:pt idx="130">
                  <c:v>553.74522585166233</c:v>
                </c:pt>
                <c:pt idx="131">
                  <c:v>559.48170794289092</c:v>
                </c:pt>
                <c:pt idx="132">
                  <c:v>565.21695891367983</c:v>
                </c:pt>
                <c:pt idx="133">
                  <c:v>570.95099302329243</c:v>
                </c:pt>
                <c:pt idx="134">
                  <c:v>576.68382422111074</c:v>
                </c:pt>
                <c:pt idx="135">
                  <c:v>582.41546615645018</c:v>
                </c:pt>
                <c:pt idx="136">
                  <c:v>531.67990601917427</c:v>
                </c:pt>
                <c:pt idx="137">
                  <c:v>536.40066935799541</c:v>
                </c:pt>
                <c:pt idx="138">
                  <c:v>541.12055937003197</c:v>
                </c:pt>
                <c:pt idx="139">
                  <c:v>545.83958475199609</c:v>
                </c:pt>
                <c:pt idx="140">
                  <c:v>550.55775403787118</c:v>
                </c:pt>
                <c:pt idx="141">
                  <c:v>555.27507560335937</c:v>
                </c:pt>
                <c:pt idx="142">
                  <c:v>559.99155767016464</c:v>
                </c:pt>
                <c:pt idx="143">
                  <c:v>564.70720831012704</c:v>
                </c:pt>
                <c:pt idx="144">
                  <c:v>569.42203544921017</c:v>
                </c:pt>
                <c:pt idx="145">
                  <c:v>574.13604687135182</c:v>
                </c:pt>
                <c:pt idx="146">
                  <c:v>578.84925022217828</c:v>
                </c:pt>
                <c:pt idx="147">
                  <c:v>583.56165301259455</c:v>
                </c:pt>
                <c:pt idx="148">
                  <c:v>588.27326262224994</c:v>
                </c:pt>
                <c:pt idx="149">
                  <c:v>592.98408630288839</c:v>
                </c:pt>
                <c:pt idx="150">
                  <c:v>597.69413118158661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4871616"/>
        <c:axId val="1375679344"/>
      </c:scatterChart>
      <c:valAx>
        <c:axId val="9748716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5679344"/>
        <c:crosses val="autoZero"/>
        <c:crossBetween val="midCat"/>
      </c:valAx>
      <c:valAx>
        <c:axId val="1375679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748716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5669552"/>
        <c:axId val="1375670096"/>
      </c:scatterChart>
      <c:valAx>
        <c:axId val="13756695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5670096"/>
        <c:crosses val="autoZero"/>
        <c:crossBetween val="midCat"/>
      </c:valAx>
      <c:valAx>
        <c:axId val="1375670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56695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103.84617756844348</c:v>
                </c:pt>
                <c:pt idx="22">
                  <c:v>115.72319627792427</c:v>
                </c:pt>
                <c:pt idx="23">
                  <c:v>127.57039913328697</c:v>
                </c:pt>
                <c:pt idx="24">
                  <c:v>139.39094880292336</c:v>
                </c:pt>
                <c:pt idx="25">
                  <c:v>151.18742647916039</c:v>
                </c:pt>
                <c:pt idx="26">
                  <c:v>149.08257770166853</c:v>
                </c:pt>
                <c:pt idx="27">
                  <c:v>163.80222667670475</c:v>
                </c:pt>
                <c:pt idx="28">
                  <c:v>178.49060685103379</c:v>
                </c:pt>
                <c:pt idx="29">
                  <c:v>193.15065517554152</c:v>
                </c:pt>
                <c:pt idx="30">
                  <c:v>207.78482577779434</c:v>
                </c:pt>
                <c:pt idx="31">
                  <c:v>224.48055915021379</c:v>
                </c:pt>
                <c:pt idx="32">
                  <c:v>241.14783811393806</c:v>
                </c:pt>
                <c:pt idx="33">
                  <c:v>257.78890626510469</c:v>
                </c:pt>
                <c:pt idx="34">
                  <c:v>274.40569374429145</c:v>
                </c:pt>
                <c:pt idx="35">
                  <c:v>290.99987776518356</c:v>
                </c:pt>
                <c:pt idx="36">
                  <c:v>221.14376696934889</c:v>
                </c:pt>
                <c:pt idx="37">
                  <c:v>238.64946815456815</c:v>
                </c:pt>
                <c:pt idx="38">
                  <c:v>256.12592177262371</c:v>
                </c:pt>
                <c:pt idx="39">
                  <c:v>273.5754042390106</c:v>
                </c:pt>
                <c:pt idx="40">
                  <c:v>290.99987776518356</c:v>
                </c:pt>
                <c:pt idx="41">
                  <c:v>308.40105034381344</c:v>
                </c:pt>
                <c:pt idx="42">
                  <c:v>325.78042147316609</c:v>
                </c:pt>
                <c:pt idx="43">
                  <c:v>343.13931760637462</c:v>
                </c:pt>
                <c:pt idx="44">
                  <c:v>360.47892004811712</c:v>
                </c:pt>
                <c:pt idx="45">
                  <c:v>377.80028720100813</c:v>
                </c:pt>
                <c:pt idx="46">
                  <c:v>307.98699565569297</c:v>
                </c:pt>
                <c:pt idx="47">
                  <c:v>324.95330656071548</c:v>
                </c:pt>
                <c:pt idx="48">
                  <c:v>341.90004953828537</c:v>
                </c:pt>
                <c:pt idx="49">
                  <c:v>358.82833079757535</c:v>
                </c:pt>
                <c:pt idx="50">
                  <c:v>375.7391436687796</c:v>
                </c:pt>
                <c:pt idx="51">
                  <c:v>392.22152076799483</c:v>
                </c:pt>
                <c:pt idx="52">
                  <c:v>408.68888090830461</c:v>
                </c:pt>
                <c:pt idx="53">
                  <c:v>425.14191416939929</c:v>
                </c:pt>
                <c:pt idx="54">
                  <c:v>441.5812528768941</c:v>
                </c:pt>
                <c:pt idx="55">
                  <c:v>458.00747845053729</c:v>
                </c:pt>
                <c:pt idx="56">
                  <c:v>387.27841746168315</c:v>
                </c:pt>
                <c:pt idx="57">
                  <c:v>402.92696857125202</c:v>
                </c:pt>
                <c:pt idx="58">
                  <c:v>418.56237841299998</c:v>
                </c:pt>
                <c:pt idx="59">
                  <c:v>434.18520687835763</c:v>
                </c:pt>
                <c:pt idx="60">
                  <c:v>449.7959702900435</c:v>
                </c:pt>
                <c:pt idx="61">
                  <c:v>464.5744185371193</c:v>
                </c:pt>
                <c:pt idx="62">
                  <c:v>479.34284452811448</c:v>
                </c:pt>
                <c:pt idx="63">
                  <c:v>494.10160044828439</c:v>
                </c:pt>
                <c:pt idx="64">
                  <c:v>508.85101573406092</c:v>
                </c:pt>
                <c:pt idx="65">
                  <c:v>523.59139917298592</c:v>
                </c:pt>
                <c:pt idx="66">
                  <c:v>451.43852652349534</c:v>
                </c:pt>
                <c:pt idx="67">
                  <c:v>465.39514621826976</c:v>
                </c:pt>
                <c:pt idx="68">
                  <c:v>479.34284452811431</c:v>
                </c:pt>
                <c:pt idx="69">
                  <c:v>493.28191755597277</c:v>
                </c:pt>
                <c:pt idx="70">
                  <c:v>507.21264330953437</c:v>
                </c:pt>
                <c:pt idx="71">
                  <c:v>519.90713388491497</c:v>
                </c:pt>
                <c:pt idx="72">
                  <c:v>532.59509002550351</c:v>
                </c:pt>
                <c:pt idx="73">
                  <c:v>545.27668930291225</c:v>
                </c:pt>
                <c:pt idx="74">
                  <c:v>557.95210035753439</c:v>
                </c:pt>
                <c:pt idx="75">
                  <c:v>570.62148354470401</c:v>
                </c:pt>
                <c:pt idx="76">
                  <c:v>496.97026394110162</c:v>
                </c:pt>
                <c:pt idx="77">
                  <c:v>509.26059140461626</c:v>
                </c:pt>
                <c:pt idx="78">
                  <c:v>521.5446528480187</c:v>
                </c:pt>
                <c:pt idx="79">
                  <c:v>533.82261663157112</c:v>
                </c:pt>
                <c:pt idx="80">
                  <c:v>546.09464274073559</c:v>
                </c:pt>
                <c:pt idx="81">
                  <c:v>557.95210035753439</c:v>
                </c:pt>
                <c:pt idx="82">
                  <c:v>569.80428287631264</c:v>
                </c:pt>
                <c:pt idx="83">
                  <c:v>581.65131546152315</c:v>
                </c:pt>
                <c:pt idx="84">
                  <c:v>593.49331776439851</c:v>
                </c:pt>
                <c:pt idx="85">
                  <c:v>605.33040427327262</c:v>
                </c:pt>
                <c:pt idx="86">
                  <c:v>530.13985807620031</c:v>
                </c:pt>
                <c:pt idx="87">
                  <c:v>540.77748384329095</c:v>
                </c:pt>
                <c:pt idx="88">
                  <c:v>551.41071534837454</c:v>
                </c:pt>
                <c:pt idx="89">
                  <c:v>562.03964926820106</c:v>
                </c:pt>
                <c:pt idx="90">
                  <c:v>572.66437832506824</c:v>
                </c:pt>
                <c:pt idx="91">
                  <c:v>583.28499152050153</c:v>
                </c:pt>
                <c:pt idx="92">
                  <c:v>593.90157435102833</c:v>
                </c:pt>
                <c:pt idx="93">
                  <c:v>604.5142090077278</c:v>
                </c:pt>
                <c:pt idx="94">
                  <c:v>615.12297456104193</c:v>
                </c:pt>
                <c:pt idx="95">
                  <c:v>625.72794713217752</c:v>
                </c:pt>
                <c:pt idx="96">
                  <c:v>549.57065854842915</c:v>
                </c:pt>
                <c:pt idx="97">
                  <c:v>559.17843064711394</c:v>
                </c:pt>
                <c:pt idx="98">
                  <c:v>568.78274759401654</c:v>
                </c:pt>
                <c:pt idx="99">
                  <c:v>578.38367595679699</c:v>
                </c:pt>
                <c:pt idx="100">
                  <c:v>587.98127991295848</c:v>
                </c:pt>
                <c:pt idx="101">
                  <c:v>597.57562137411821</c:v>
                </c:pt>
                <c:pt idx="102">
                  <c:v>607.16676010187734</c:v>
                </c:pt>
                <c:pt idx="103">
                  <c:v>616.75475381599483</c:v>
                </c:pt>
                <c:pt idx="104">
                  <c:v>626.33965829548413</c:v>
                </c:pt>
                <c:pt idx="105">
                  <c:v>635.92152747320245</c:v>
                </c:pt>
                <c:pt idx="106">
                  <c:v>560.40470463156862</c:v>
                </c:pt>
                <c:pt idx="107">
                  <c:v>568.57843593837208</c:v>
                </c:pt>
                <c:pt idx="108">
                  <c:v>576.74971189331598</c:v>
                </c:pt>
                <c:pt idx="109">
                  <c:v>584.91857219258907</c:v>
                </c:pt>
                <c:pt idx="110">
                  <c:v>593.0850553330697</c:v>
                </c:pt>
                <c:pt idx="111">
                  <c:v>601.24919866493178</c:v>
                </c:pt>
                <c:pt idx="112">
                  <c:v>609.41103844124279</c:v>
                </c:pt>
                <c:pt idx="113">
                  <c:v>617.5706098647687</c:v>
                </c:pt>
                <c:pt idx="114">
                  <c:v>625.72794713217729</c:v>
                </c:pt>
                <c:pt idx="115">
                  <c:v>633.88308347581449</c:v>
                </c:pt>
                <c:pt idx="116">
                  <c:v>565.30924032241239</c:v>
                </c:pt>
                <c:pt idx="117">
                  <c:v>572.25581156512055</c:v>
                </c:pt>
                <c:pt idx="118">
                  <c:v>579.20062185262395</c:v>
                </c:pt>
                <c:pt idx="119">
                  <c:v>586.14369528207624</c:v>
                </c:pt>
                <c:pt idx="120">
                  <c:v>593.08505533306959</c:v>
                </c:pt>
                <c:pt idx="121">
                  <c:v>600.02472489066076</c:v>
                </c:pt>
                <c:pt idx="122">
                  <c:v>606.96272626727875</c:v>
                </c:pt>
                <c:pt idx="123">
                  <c:v>613.89908122357576</c:v>
                </c:pt>
                <c:pt idx="124">
                  <c:v>620.83381098828875</c:v>
                </c:pt>
                <c:pt idx="125">
                  <c:v>627.76693627716634</c:v>
                </c:pt>
                <c:pt idx="126">
                  <c:v>566.53523487867551</c:v>
                </c:pt>
                <c:pt idx="127">
                  <c:v>572.66437832506745</c:v>
                </c:pt>
                <c:pt idx="128">
                  <c:v>578.79215191198807</c:v>
                </c:pt>
                <c:pt idx="129">
                  <c:v>584.91857219258861</c:v>
                </c:pt>
                <c:pt idx="130">
                  <c:v>591.04365534487772</c:v>
                </c:pt>
                <c:pt idx="131">
                  <c:v>597.16741718410913</c:v>
                </c:pt>
                <c:pt idx="132">
                  <c:v>603.28987317463339</c:v>
                </c:pt>
                <c:pt idx="133">
                  <c:v>609.41103844124234</c:v>
                </c:pt>
                <c:pt idx="134">
                  <c:v>615.53092778003713</c:v>
                </c:pt>
                <c:pt idx="135">
                  <c:v>621.64955566883805</c:v>
                </c:pt>
                <c:pt idx="136">
                  <c:v>567.48874784305497</c:v>
                </c:pt>
                <c:pt idx="137">
                  <c:v>572.52819008178778</c:v>
                </c:pt>
                <c:pt idx="138">
                  <c:v>577.56670598332778</c:v>
                </c:pt>
                <c:pt idx="139">
                  <c:v>582.60430477227158</c:v>
                </c:pt>
                <c:pt idx="140">
                  <c:v>587.64099550061076</c:v>
                </c:pt>
                <c:pt idx="141">
                  <c:v>592.67678705244703</c:v>
                </c:pt>
                <c:pt idx="142">
                  <c:v>597.71168814853706</c:v>
                </c:pt>
                <c:pt idx="143">
                  <c:v>602.7457073506763</c:v>
                </c:pt>
                <c:pt idx="144">
                  <c:v>607.77885306593032</c:v>
                </c:pt>
                <c:pt idx="145">
                  <c:v>612.81113355071682</c:v>
                </c:pt>
                <c:pt idx="146">
                  <c:v>617.84255691474698</c:v>
                </c:pt>
                <c:pt idx="147">
                  <c:v>622.87313112483321</c:v>
                </c:pt>
                <c:pt idx="148">
                  <c:v>627.90286400856496</c:v>
                </c:pt>
                <c:pt idx="149">
                  <c:v>632.93176325786294</c:v>
                </c:pt>
                <c:pt idx="150">
                  <c:v>637.959836432413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5671184"/>
        <c:axId val="1375678800"/>
      </c:scatterChart>
      <c:valAx>
        <c:axId val="13756711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5678800"/>
        <c:crosses val="autoZero"/>
        <c:crossBetween val="midCat"/>
      </c:valAx>
      <c:valAx>
        <c:axId val="1375678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56711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2.1180139732612671</c:v>
                </c:pt>
                <c:pt idx="2">
                  <c:v>2.8930352277757714</c:v>
                </c:pt>
                <c:pt idx="3">
                  <c:v>3.9528563294914054</c:v>
                </c:pt>
                <c:pt idx="4">
                  <c:v>5.4025506025518295</c:v>
                </c:pt>
                <c:pt idx="5">
                  <c:v>7.3861004857514656</c:v>
                </c:pt>
                <c:pt idx="6">
                  <c:v>10.100855037538478</c:v>
                </c:pt>
                <c:pt idx="7">
                  <c:v>13.817376284253774</c:v>
                </c:pt>
                <c:pt idx="8">
                  <c:v>18.906688773103248</c:v>
                </c:pt>
                <c:pt idx="9">
                  <c:v>25.877701614343255</c:v>
                </c:pt>
                <c:pt idx="10">
                  <c:v>35.428610803418827</c:v>
                </c:pt>
                <c:pt idx="11">
                  <c:v>48.517518453192395</c:v>
                </c:pt>
                <c:pt idx="12">
                  <c:v>66.459471748081853</c:v>
                </c:pt>
                <c:pt idx="13">
                  <c:v>89.518491602178926</c:v>
                </c:pt>
                <c:pt idx="14">
                  <c:v>115.34507792286411</c:v>
                </c:pt>
                <c:pt idx="15">
                  <c:v>107.7353130524844</c:v>
                </c:pt>
                <c:pt idx="16">
                  <c:v>121.79757291627975</c:v>
                </c:pt>
                <c:pt idx="17">
                  <c:v>137.94887635398439</c:v>
                </c:pt>
                <c:pt idx="18">
                  <c:v>155.82325453701938</c:v>
                </c:pt>
                <c:pt idx="19">
                  <c:v>178.71809195658315</c:v>
                </c:pt>
                <c:pt idx="20">
                  <c:v>156.01113549659763</c:v>
                </c:pt>
                <c:pt idx="21">
                  <c:v>179.46716142681086</c:v>
                </c:pt>
                <c:pt idx="22">
                  <c:v>203.97157947599115</c:v>
                </c:pt>
                <c:pt idx="23">
                  <c:v>229.34983593044987</c:v>
                </c:pt>
                <c:pt idx="24">
                  <c:v>256.16070947885601</c:v>
                </c:pt>
                <c:pt idx="25">
                  <c:v>283.4422200558077</c:v>
                </c:pt>
                <c:pt idx="26">
                  <c:v>235.98505858386409</c:v>
                </c:pt>
                <c:pt idx="27">
                  <c:v>258.05062536478636</c:v>
                </c:pt>
                <c:pt idx="28">
                  <c:v>280.5423775629647</c:v>
                </c:pt>
                <c:pt idx="29">
                  <c:v>303.43995205127447</c:v>
                </c:pt>
                <c:pt idx="30">
                  <c:v>326.35342702648575</c:v>
                </c:pt>
                <c:pt idx="31">
                  <c:v>263.57758625668515</c:v>
                </c:pt>
                <c:pt idx="32">
                  <c:v>282.32530618124969</c:v>
                </c:pt>
                <c:pt idx="33">
                  <c:v>301.04513895814603</c:v>
                </c:pt>
                <c:pt idx="34">
                  <c:v>319.73906218774476</c:v>
                </c:pt>
                <c:pt idx="35">
                  <c:v>338.4088033505289</c:v>
                </c:pt>
                <c:pt idx="36">
                  <c:v>357.05588378376507</c:v>
                </c:pt>
                <c:pt idx="37">
                  <c:v>375.68165298611603</c:v>
                </c:pt>
                <c:pt idx="38">
                  <c:v>394.28731576110903</c:v>
                </c:pt>
                <c:pt idx="39">
                  <c:v>412.87395396848279</c:v>
                </c:pt>
                <c:pt idx="40">
                  <c:v>431.44254415391998</c:v>
                </c:pt>
                <c:pt idx="41">
                  <c:v>449.99397198545029</c:v>
                </c:pt>
                <c:pt idx="42">
                  <c:v>468.52904418534723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5672816"/>
        <c:axId val="1375673360"/>
      </c:scatterChart>
      <c:valAx>
        <c:axId val="13756728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5673360"/>
        <c:crosses val="autoZero"/>
        <c:crossBetween val="midCat"/>
      </c:valAx>
      <c:valAx>
        <c:axId val="1375673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56728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1.5022410021006125</c:v>
                </c:pt>
                <c:pt idx="2">
                  <c:v>1.9459616973812475</c:v>
                </c:pt>
                <c:pt idx="3">
                  <c:v>2.521285332776916</c:v>
                </c:pt>
                <c:pt idx="4">
                  <c:v>3.2673953934160438</c:v>
                </c:pt>
                <c:pt idx="5">
                  <c:v>4.235184146058768</c:v>
                </c:pt>
                <c:pt idx="6">
                  <c:v>5.4907632104920969</c:v>
                </c:pt>
                <c:pt idx="7">
                  <c:v>7.120029943526343</c:v>
                </c:pt>
                <c:pt idx="8">
                  <c:v>9.2346080741441288</c:v>
                </c:pt>
                <c:pt idx="9">
                  <c:v>11.97957731902479</c:v>
                </c:pt>
                <c:pt idx="10">
                  <c:v>15.543532183168628</c:v>
                </c:pt>
                <c:pt idx="11">
                  <c:v>20.171673674982838</c:v>
                </c:pt>
                <c:pt idx="12">
                  <c:v>26.182850800720303</c:v>
                </c:pt>
                <c:pt idx="13">
                  <c:v>33.9917465310265</c:v>
                </c:pt>
                <c:pt idx="14">
                  <c:v>44.137765126927377</c:v>
                </c:pt>
                <c:pt idx="15">
                  <c:v>57.322649942187887</c:v>
                </c:pt>
                <c:pt idx="16">
                  <c:v>74.459476574772168</c:v>
                </c:pt>
                <c:pt idx="17">
                  <c:v>99.029467559871023</c:v>
                </c:pt>
                <c:pt idx="18">
                  <c:v>123.44706877903754</c:v>
                </c:pt>
                <c:pt idx="19">
                  <c:v>147.74687633905023</c:v>
                </c:pt>
                <c:pt idx="20">
                  <c:v>171.95105751487822</c:v>
                </c:pt>
                <c:pt idx="21">
                  <c:v>196.07498994746314</c:v>
                </c:pt>
                <c:pt idx="22">
                  <c:v>152.94093318958377</c:v>
                </c:pt>
                <c:pt idx="23">
                  <c:v>183.63935342254391</c:v>
                </c:pt>
                <c:pt idx="24">
                  <c:v>214.21755678529436</c:v>
                </c:pt>
                <c:pt idx="25">
                  <c:v>244.69513935377486</c:v>
                </c:pt>
                <c:pt idx="26">
                  <c:v>275.08639972457911</c:v>
                </c:pt>
                <c:pt idx="27">
                  <c:v>307.67310724702298</c:v>
                </c:pt>
                <c:pt idx="28">
                  <c:v>340.18312239698088</c:v>
                </c:pt>
                <c:pt idx="29">
                  <c:v>372.62479780733065</c:v>
                </c:pt>
                <c:pt idx="30">
                  <c:v>405.00491290761573</c:v>
                </c:pt>
                <c:pt idx="31">
                  <c:v>437.32907500345806</c:v>
                </c:pt>
                <c:pt idx="32">
                  <c:v>324.12614511182915</c:v>
                </c:pt>
                <c:pt idx="33">
                  <c:v>356.03481754405374</c:v>
                </c:pt>
                <c:pt idx="34">
                  <c:v>387.88087575820492</c:v>
                </c:pt>
                <c:pt idx="35">
                  <c:v>419.67017704670849</c:v>
                </c:pt>
                <c:pt idx="36">
                  <c:v>451.40761938899283</c:v>
                </c:pt>
                <c:pt idx="37">
                  <c:v>480.47389339882147</c:v>
                </c:pt>
                <c:pt idx="38">
                  <c:v>509.50281029910246</c:v>
                </c:pt>
                <c:pt idx="39">
                  <c:v>538.49679489583264</c:v>
                </c:pt>
                <c:pt idx="40">
                  <c:v>567.45798988344666</c:v>
                </c:pt>
                <c:pt idx="41">
                  <c:v>596.38830167631079</c:v>
                </c:pt>
                <c:pt idx="42">
                  <c:v>478.59980494134192</c:v>
                </c:pt>
                <c:pt idx="43">
                  <c:v>504.82314949826542</c:v>
                </c:pt>
                <c:pt idx="44">
                  <c:v>531.01769692472055</c:v>
                </c:pt>
                <c:pt idx="45">
                  <c:v>557.18506581171687</c:v>
                </c:pt>
                <c:pt idx="46">
                  <c:v>583.32671049205817</c:v>
                </c:pt>
                <c:pt idx="47">
                  <c:v>606.46031430125743</c:v>
                </c:pt>
                <c:pt idx="48">
                  <c:v>629.57560224664394</c:v>
                </c:pt>
                <c:pt idx="49">
                  <c:v>652.67334066465514</c:v>
                </c:pt>
                <c:pt idx="50">
                  <c:v>675.75423729144848</c:v>
                </c:pt>
                <c:pt idx="51">
                  <c:v>698.81894763237381</c:v>
                </c:pt>
                <c:pt idx="52">
                  <c:v>610.56272753633527</c:v>
                </c:pt>
                <c:pt idx="53">
                  <c:v>631.25263281623927</c:v>
                </c:pt>
                <c:pt idx="54">
                  <c:v>651.92851886448943</c:v>
                </c:pt>
                <c:pt idx="55">
                  <c:v>672.59089243288122</c:v>
                </c:pt>
                <c:pt idx="56">
                  <c:v>693.24022663192443</c:v>
                </c:pt>
                <c:pt idx="57">
                  <c:v>710.71718271308134</c:v>
                </c:pt>
                <c:pt idx="58">
                  <c:v>728.18535875256578</c:v>
                </c:pt>
                <c:pt idx="59">
                  <c:v>745.64499484021553</c:v>
                </c:pt>
                <c:pt idx="60">
                  <c:v>763.09631891636582</c:v>
                </c:pt>
                <c:pt idx="61">
                  <c:v>780.53954765609626</c:v>
                </c:pt>
                <c:pt idx="62">
                  <c:v>714.43454290642524</c:v>
                </c:pt>
                <c:pt idx="63">
                  <c:v>729.11427577930488</c:v>
                </c:pt>
                <c:pt idx="64">
                  <c:v>743.78798573845904</c:v>
                </c:pt>
                <c:pt idx="65">
                  <c:v>758.45580825595073</c:v>
                </c:pt>
                <c:pt idx="66">
                  <c:v>773.11787314100184</c:v>
                </c:pt>
                <c:pt idx="67">
                  <c:v>785.17736787656065</c:v>
                </c:pt>
                <c:pt idx="68">
                  <c:v>797.23311599229453</c:v>
                </c:pt>
                <c:pt idx="69">
                  <c:v>809.28518209095171</c:v>
                </c:pt>
                <c:pt idx="70">
                  <c:v>821.33362869558584</c:v>
                </c:pt>
                <c:pt idx="71">
                  <c:v>833.37851634666515</c:v>
                </c:pt>
                <c:pt idx="72">
                  <c:v>781.28163628874279</c:v>
                </c:pt>
                <c:pt idx="73">
                  <c:v>791.29844256770241</c:v>
                </c:pt>
                <c:pt idx="74">
                  <c:v>801.31268587221336</c:v>
                </c:pt>
                <c:pt idx="75">
                  <c:v>811.32440273032853</c:v>
                </c:pt>
                <c:pt idx="76">
                  <c:v>821.33362869558584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5670640"/>
        <c:axId val="1375679888"/>
      </c:scatterChart>
      <c:valAx>
        <c:axId val="13756706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5679888"/>
        <c:crosses val="autoZero"/>
        <c:crossBetween val="midCat"/>
      </c:valAx>
      <c:valAx>
        <c:axId val="1375679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56706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1.9027625333787848</c:v>
                </c:pt>
                <c:pt idx="2">
                  <c:v>2.3344741345749918</c:v>
                </c:pt>
                <c:pt idx="3">
                  <c:v>2.8645149000345267</c:v>
                </c:pt>
                <c:pt idx="4">
                  <c:v>3.5153625765662295</c:v>
                </c:pt>
                <c:pt idx="5">
                  <c:v>4.3146507835864822</c:v>
                </c:pt>
                <c:pt idx="6">
                  <c:v>5.2963553964521255</c:v>
                </c:pt>
                <c:pt idx="7">
                  <c:v>6.5022547183660953</c:v>
                </c:pt>
                <c:pt idx="8">
                  <c:v>7.9837267940278549</c:v>
                </c:pt>
                <c:pt idx="9">
                  <c:v>9.8039619136364866</c:v>
                </c:pt>
                <c:pt idx="10">
                  <c:v>12.040686467621816</c:v>
                </c:pt>
                <c:pt idx="11">
                  <c:v>14.789516636387651</c:v>
                </c:pt>
                <c:pt idx="12">
                  <c:v>18.168087916922143</c:v>
                </c:pt>
                <c:pt idx="13">
                  <c:v>22.321140410006929</c:v>
                </c:pt>
                <c:pt idx="14">
                  <c:v>27.42678161127364</c:v>
                </c:pt>
                <c:pt idx="15">
                  <c:v>33.704200008653665</c:v>
                </c:pt>
                <c:pt idx="16">
                  <c:v>41.423166360383227</c:v>
                </c:pt>
                <c:pt idx="17">
                  <c:v>50.91573791531308</c:v>
                </c:pt>
                <c:pt idx="18">
                  <c:v>62.590677499897197</c:v>
                </c:pt>
                <c:pt idx="19">
                  <c:v>76.951218601821182</c:v>
                </c:pt>
                <c:pt idx="20">
                  <c:v>94.616954594965264</c:v>
                </c:pt>
                <c:pt idx="21">
                  <c:v>116.35081157253938</c:v>
                </c:pt>
                <c:pt idx="22">
                  <c:v>143.09228790376088</c:v>
                </c:pt>
                <c:pt idx="23">
                  <c:v>158.70719102606964</c:v>
                </c:pt>
                <c:pt idx="24">
                  <c:v>174.28565960860999</c:v>
                </c:pt>
                <c:pt idx="25">
                  <c:v>189.83141075244791</c:v>
                </c:pt>
                <c:pt idx="26">
                  <c:v>160.0067319394324</c:v>
                </c:pt>
                <c:pt idx="27">
                  <c:v>172.98874990477893</c:v>
                </c:pt>
                <c:pt idx="28">
                  <c:v>185.9478634358592</c:v>
                </c:pt>
                <c:pt idx="29">
                  <c:v>198.88589463565651</c:v>
                </c:pt>
                <c:pt idx="30">
                  <c:v>211.80440891545263</c:v>
                </c:pt>
                <c:pt idx="31">
                  <c:v>228.82924230229631</c:v>
                </c:pt>
                <c:pt idx="32">
                  <c:v>245.82510561630218</c:v>
                </c:pt>
                <c:pt idx="33">
                  <c:v>262.79428372548284</c:v>
                </c:pt>
                <c:pt idx="34">
                  <c:v>279.73874219610627</c:v>
                </c:pt>
                <c:pt idx="35">
                  <c:v>296.6601889647884</c:v>
                </c:pt>
                <c:pt idx="36">
                  <c:v>218.77277702212461</c:v>
                </c:pt>
                <c:pt idx="37">
                  <c:v>237.33064408253642</c:v>
                </c:pt>
                <c:pt idx="38">
                  <c:v>255.85544021473845</c:v>
                </c:pt>
                <c:pt idx="39">
                  <c:v>274.34989649044331</c:v>
                </c:pt>
                <c:pt idx="40">
                  <c:v>292.81634557312492</c:v>
                </c:pt>
                <c:pt idx="41">
                  <c:v>314.07191886152776</c:v>
                </c:pt>
                <c:pt idx="42">
                  <c:v>335.29560709579096</c:v>
                </c:pt>
                <c:pt idx="43">
                  <c:v>356.48971133078356</c:v>
                </c:pt>
                <c:pt idx="44">
                  <c:v>377.65623675733718</c:v>
                </c:pt>
                <c:pt idx="45">
                  <c:v>398.79694553728081</c:v>
                </c:pt>
                <c:pt idx="46">
                  <c:v>301.01520311808832</c:v>
                </c:pt>
                <c:pt idx="47">
                  <c:v>323.28114705504538</c:v>
                </c:pt>
                <c:pt idx="48">
                  <c:v>345.513196505407</c:v>
                </c:pt>
                <c:pt idx="49">
                  <c:v>367.71383775268987</c:v>
                </c:pt>
                <c:pt idx="50">
                  <c:v>389.88523246274644</c:v>
                </c:pt>
                <c:pt idx="51">
                  <c:v>408.34042828106112</c:v>
                </c:pt>
                <c:pt idx="52">
                  <c:v>426.77761307453534</c:v>
                </c:pt>
                <c:pt idx="53">
                  <c:v>445.19767404919008</c:v>
                </c:pt>
                <c:pt idx="54">
                  <c:v>463.60141904065904</c:v>
                </c:pt>
                <c:pt idx="55">
                  <c:v>481.98958654831648</c:v>
                </c:pt>
                <c:pt idx="56">
                  <c:v>500.36285415876506</c:v>
                </c:pt>
                <c:pt idx="57">
                  <c:v>518.721845668029</c:v>
                </c:pt>
                <c:pt idx="58">
                  <c:v>537.06713714333148</c:v>
                </c:pt>
                <c:pt idx="59">
                  <c:v>394.02335674191119</c:v>
                </c:pt>
                <c:pt idx="60">
                  <c:v>417.2433301458077</c:v>
                </c:pt>
                <c:pt idx="61">
                  <c:v>440.43546056187211</c:v>
                </c:pt>
                <c:pt idx="62">
                  <c:v>463.60141904065904</c:v>
                </c:pt>
                <c:pt idx="63">
                  <c:v>486.74269613269013</c:v>
                </c:pt>
                <c:pt idx="64">
                  <c:v>509.8606292136231</c:v>
                </c:pt>
                <c:pt idx="65">
                  <c:v>532.95642459676958</c:v>
                </c:pt>
                <c:pt idx="66">
                  <c:v>556.03117561453939</c:v>
                </c:pt>
                <c:pt idx="67">
                  <c:v>494.50399470328807</c:v>
                </c:pt>
                <c:pt idx="68">
                  <c:v>515.24103765857433</c:v>
                </c:pt>
                <c:pt idx="69">
                  <c:v>535.96047213768099</c:v>
                </c:pt>
                <c:pt idx="70">
                  <c:v>556.66307407149009</c:v>
                </c:pt>
                <c:pt idx="71">
                  <c:v>577.34955701911861</c:v>
                </c:pt>
                <c:pt idx="72">
                  <c:v>598.02057928186207</c:v>
                </c:pt>
                <c:pt idx="73">
                  <c:v>618.67674998301311</c:v>
                </c:pt>
                <c:pt idx="74">
                  <c:v>639.31863429406849</c:v>
                </c:pt>
                <c:pt idx="75">
                  <c:v>605.59094566242993</c:v>
                </c:pt>
                <c:pt idx="76">
                  <c:v>618.51912409554768</c:v>
                </c:pt>
                <c:pt idx="77">
                  <c:v>631.44170400699352</c:v>
                </c:pt>
                <c:pt idx="78">
                  <c:v>644.35881606732414</c:v>
                </c:pt>
                <c:pt idx="79">
                  <c:v>657.27058528336488</c:v>
                </c:pt>
                <c:pt idx="80">
                  <c:v>670.17713135245776</c:v>
                </c:pt>
                <c:pt idx="81">
                  <c:v>683.07856898801435</c:v>
                </c:pt>
                <c:pt idx="82">
                  <c:v>695.97500821921176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5677712"/>
        <c:axId val="1375669008"/>
      </c:scatterChart>
      <c:valAx>
        <c:axId val="1375677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5669008"/>
        <c:crosses val="autoZero"/>
        <c:crossBetween val="midCat"/>
      </c:valAx>
      <c:valAx>
        <c:axId val="1375669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5677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5680432"/>
        <c:axId val="1375680976"/>
      </c:scatterChart>
      <c:valAx>
        <c:axId val="1375680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5680976"/>
        <c:crosses val="autoZero"/>
        <c:crossBetween val="midCat"/>
      </c:valAx>
      <c:valAx>
        <c:axId val="1375680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5680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5671728"/>
        <c:axId val="1375667920"/>
      </c:scatterChart>
      <c:valAx>
        <c:axId val="13756717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5667920"/>
        <c:crosses val="autoZero"/>
        <c:crossBetween val="midCat"/>
      </c:valAx>
      <c:valAx>
        <c:axId val="1375667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56717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5667376"/>
        <c:axId val="1375668464"/>
      </c:scatterChart>
      <c:valAx>
        <c:axId val="13756673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5668464"/>
        <c:crosses val="autoZero"/>
        <c:crossBetween val="midCat"/>
      </c:valAx>
      <c:valAx>
        <c:axId val="1375668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56673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5681520"/>
        <c:axId val="1375672272"/>
      </c:scatterChart>
      <c:valAx>
        <c:axId val="13756815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5672272"/>
        <c:crosses val="autoZero"/>
        <c:crossBetween val="midCat"/>
      </c:valAx>
      <c:valAx>
        <c:axId val="137567227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756815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abSelected="1" zoomScale="70" zoomScaleNormal="70" workbookViewId="0">
      <selection activeCell="E29" sqref="E29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7.79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0.51</v>
      </c>
      <c r="D9" s="36">
        <f t="shared" ref="D9:D18" si="0">C9*$C$5</f>
        <v>3.9729000000000001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</v>
      </c>
      <c r="C10" s="35">
        <v>0.06</v>
      </c>
      <c r="D10" s="36">
        <f t="shared" si="0"/>
        <v>0.46739999999999998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36</v>
      </c>
      <c r="C11" s="35">
        <v>0.13</v>
      </c>
      <c r="D11" s="36">
        <f t="shared" si="0"/>
        <v>1.0126999999999999</v>
      </c>
      <c r="E11" s="37">
        <v>42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156</v>
      </c>
      <c r="C12" s="35">
        <v>0.01</v>
      </c>
      <c r="D12" s="36">
        <f t="shared" si="0"/>
        <v>7.7899999999999997E-2</v>
      </c>
      <c r="E12" s="37">
        <v>76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35</v>
      </c>
      <c r="C13" s="35">
        <v>0.28999999999999998</v>
      </c>
      <c r="D13" s="36">
        <f t="shared" si="0"/>
        <v>2.2590999999999997</v>
      </c>
      <c r="E13" s="37">
        <v>82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7.7899999999999991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42</v>
      </c>
      <c r="C36" s="63"/>
      <c r="D36" s="63"/>
      <c r="E36" s="54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v>70</v>
      </c>
      <c r="C37" s="63">
        <v>1</v>
      </c>
      <c r="D37" s="63">
        <v>8</v>
      </c>
      <c r="E37" s="54"/>
      <c r="F37" s="54"/>
      <c r="G37" s="54"/>
      <c r="H37" s="54">
        <v>1</v>
      </c>
      <c r="I37" s="56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97</v>
      </c>
      <c r="C38" s="63"/>
      <c r="D38" s="63"/>
      <c r="E38" s="54"/>
      <c r="F38" s="54"/>
      <c r="G38" s="54"/>
      <c r="H38" s="54"/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v>137</v>
      </c>
      <c r="C39" s="63">
        <v>2</v>
      </c>
      <c r="D39" s="63">
        <v>42</v>
      </c>
      <c r="E39" s="54"/>
      <c r="F39" s="54"/>
      <c r="G39" s="54"/>
      <c r="H39" s="54"/>
      <c r="I39" s="52">
        <f t="shared" si="1"/>
        <v>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v>137</v>
      </c>
      <c r="C40" s="63"/>
      <c r="D40" s="63"/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v>179</v>
      </c>
      <c r="C41" s="63">
        <v>3</v>
      </c>
      <c r="D41" s="63">
        <v>42</v>
      </c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v>178</v>
      </c>
      <c r="C42" s="63"/>
      <c r="D42" s="63"/>
      <c r="E42" s="54"/>
      <c r="F42" s="54"/>
      <c r="G42" s="54"/>
      <c r="H42" s="54"/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53">
        <v>55</v>
      </c>
      <c r="B43" s="63">
        <v>218</v>
      </c>
      <c r="C43" s="63">
        <v>4</v>
      </c>
      <c r="D43" s="63">
        <v>42</v>
      </c>
      <c r="E43" s="54"/>
      <c r="F43" s="54"/>
      <c r="G43" s="54"/>
      <c r="H43" s="54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53">
        <v>60</v>
      </c>
      <c r="B44" s="63">
        <v>214</v>
      </c>
      <c r="C44" s="63"/>
      <c r="D44" s="63"/>
      <c r="E44" s="54"/>
      <c r="F44" s="54"/>
      <c r="G44" s="54"/>
      <c r="H44" s="54"/>
      <c r="I44" s="52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53">
        <v>65</v>
      </c>
      <c r="B45" s="63">
        <v>250</v>
      </c>
      <c r="C45" s="63">
        <v>5</v>
      </c>
      <c r="D45" s="63">
        <v>42</v>
      </c>
      <c r="E45" s="54"/>
      <c r="F45" s="54"/>
      <c r="G45" s="54"/>
      <c r="H45" s="54"/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53">
        <v>70</v>
      </c>
      <c r="B46" s="63">
        <v>242</v>
      </c>
      <c r="C46" s="63"/>
      <c r="D46" s="63"/>
      <c r="E46" s="54"/>
      <c r="F46" s="54"/>
      <c r="G46" s="54"/>
      <c r="H46" s="54"/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53">
        <v>75</v>
      </c>
      <c r="B47" s="63">
        <v>273</v>
      </c>
      <c r="C47" s="63">
        <v>6</v>
      </c>
      <c r="D47" s="63">
        <v>42</v>
      </c>
      <c r="E47" s="54"/>
      <c r="F47" s="54"/>
      <c r="G47" s="54"/>
      <c r="H47" s="54"/>
      <c r="I47" s="52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53">
        <v>80</v>
      </c>
      <c r="B48" s="63">
        <v>261</v>
      </c>
      <c r="C48" s="63"/>
      <c r="D48" s="63"/>
      <c r="E48" s="54"/>
      <c r="F48" s="54"/>
      <c r="G48" s="54"/>
      <c r="H48" s="54"/>
      <c r="I48" s="52">
        <f t="shared" si="1"/>
        <v>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53">
        <v>85</v>
      </c>
      <c r="B49" s="63">
        <v>290</v>
      </c>
      <c r="C49" s="63">
        <v>7</v>
      </c>
      <c r="D49" s="63">
        <v>42</v>
      </c>
      <c r="E49" s="54"/>
      <c r="F49" s="54"/>
      <c r="G49" s="54"/>
      <c r="H49" s="54"/>
      <c r="I49" s="52">
        <f t="shared" si="1"/>
        <v>5.8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95</v>
      </c>
      <c r="B50" s="53">
        <v>300</v>
      </c>
      <c r="C50" s="53">
        <v>8</v>
      </c>
      <c r="D50" s="53">
        <v>42</v>
      </c>
      <c r="E50" s="54"/>
      <c r="F50" s="54"/>
      <c r="G50" s="54"/>
      <c r="H50" s="54"/>
      <c r="I50" s="52">
        <f t="shared" si="1"/>
        <v>5.2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105</v>
      </c>
      <c r="B51" s="53">
        <v>305</v>
      </c>
      <c r="C51" s="53">
        <v>9</v>
      </c>
      <c r="D51" s="53">
        <v>41</v>
      </c>
      <c r="E51" s="54"/>
      <c r="F51" s="54"/>
      <c r="G51" s="54"/>
      <c r="H51" s="54"/>
      <c r="I51" s="52">
        <f t="shared" si="1"/>
        <v>4.7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115</v>
      </c>
      <c r="B52" s="53">
        <v>304</v>
      </c>
      <c r="C52" s="53">
        <v>10</v>
      </c>
      <c r="D52" s="53">
        <v>37</v>
      </c>
      <c r="E52" s="54"/>
      <c r="F52" s="54"/>
      <c r="G52" s="54"/>
      <c r="H52" s="54"/>
      <c r="I52" s="52">
        <f t="shared" si="1"/>
        <v>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125</v>
      </c>
      <c r="B53" s="53">
        <v>301</v>
      </c>
      <c r="C53" s="53">
        <v>11</v>
      </c>
      <c r="D53" s="53">
        <v>33</v>
      </c>
      <c r="E53" s="54"/>
      <c r="F53" s="54"/>
      <c r="G53" s="54"/>
      <c r="H53" s="54"/>
      <c r="I53" s="52">
        <f t="shared" si="1"/>
        <v>3.4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135</v>
      </c>
      <c r="B54" s="53">
        <v>298</v>
      </c>
      <c r="C54" s="53">
        <v>12</v>
      </c>
      <c r="D54" s="53">
        <v>29</v>
      </c>
      <c r="E54" s="54"/>
      <c r="F54" s="54"/>
      <c r="G54" s="54"/>
      <c r="H54" s="54"/>
      <c r="I54" s="52">
        <f t="shared" si="1"/>
        <v>3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150</v>
      </c>
      <c r="B55" s="53">
        <v>306</v>
      </c>
      <c r="C55" s="53">
        <v>13</v>
      </c>
      <c r="D55" s="53">
        <v>306</v>
      </c>
      <c r="E55" s="54"/>
      <c r="F55" s="54"/>
      <c r="G55" s="54"/>
      <c r="H55" s="54"/>
      <c r="I55" s="52">
        <f t="shared" si="1"/>
        <v>2.4666666666666668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Alisier torminal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42</v>
      </c>
      <c r="C62" s="63"/>
      <c r="D62" s="63"/>
      <c r="E62" s="54"/>
      <c r="F62" s="54"/>
      <c r="G62" s="54"/>
      <c r="H62" s="54"/>
      <c r="I62" s="56">
        <f>IFERROR(B62/A62,"")</f>
        <v>2.1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v>70</v>
      </c>
      <c r="C63" s="63">
        <v>1</v>
      </c>
      <c r="D63" s="63">
        <v>8</v>
      </c>
      <c r="E63" s="54"/>
      <c r="F63" s="54"/>
      <c r="G63" s="54"/>
      <c r="H63" s="54">
        <v>1</v>
      </c>
      <c r="I63" s="52">
        <f>IF(A63&lt;&gt;0,(B63-(B62-D62))/(A63-A62),"")</f>
        <v>5.6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97</v>
      </c>
      <c r="C64" s="63"/>
      <c r="D64" s="63"/>
      <c r="E64" s="54"/>
      <c r="F64" s="54"/>
      <c r="G64" s="54"/>
      <c r="H64" s="54"/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v>137</v>
      </c>
      <c r="C65" s="63">
        <v>2</v>
      </c>
      <c r="D65" s="63">
        <v>42</v>
      </c>
      <c r="E65" s="54"/>
      <c r="F65" s="54"/>
      <c r="G65" s="54"/>
      <c r="H65" s="54"/>
      <c r="I65" s="52">
        <f>IF(A65&lt;&gt;0,(B65-(B64-D64))/(A65-A64),"")</f>
        <v>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v>137</v>
      </c>
      <c r="C66" s="63"/>
      <c r="D66" s="63"/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v>179</v>
      </c>
      <c r="C67" s="63">
        <v>3</v>
      </c>
      <c r="D67" s="63">
        <v>42</v>
      </c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v>178</v>
      </c>
      <c r="C68" s="63"/>
      <c r="D68" s="63"/>
      <c r="E68" s="54"/>
      <c r="F68" s="54"/>
      <c r="G68" s="54"/>
      <c r="H68" s="54"/>
      <c r="I68" s="52">
        <f t="shared" si="2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63">
        <v>218</v>
      </c>
      <c r="C69" s="63">
        <v>4</v>
      </c>
      <c r="D69" s="63">
        <v>42</v>
      </c>
      <c r="E69" s="54"/>
      <c r="F69" s="54"/>
      <c r="G69" s="54"/>
      <c r="H69" s="54"/>
      <c r="I69" s="52">
        <f t="shared" si="2"/>
        <v>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63">
        <v>214</v>
      </c>
      <c r="C70" s="63"/>
      <c r="D70" s="63"/>
      <c r="E70" s="54"/>
      <c r="F70" s="54"/>
      <c r="G70" s="54"/>
      <c r="H70" s="54"/>
      <c r="I70" s="52">
        <f t="shared" si="2"/>
        <v>7.6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63">
        <v>250</v>
      </c>
      <c r="C71" s="63">
        <v>5</v>
      </c>
      <c r="D71" s="63">
        <v>42</v>
      </c>
      <c r="E71" s="54"/>
      <c r="F71" s="54"/>
      <c r="G71" s="54"/>
      <c r="H71" s="54"/>
      <c r="I71" s="52">
        <f t="shared" si="2"/>
        <v>7.2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70</v>
      </c>
      <c r="B72" s="63">
        <v>242</v>
      </c>
      <c r="C72" s="63"/>
      <c r="D72" s="63"/>
      <c r="E72" s="54"/>
      <c r="F72" s="54"/>
      <c r="G72" s="54"/>
      <c r="H72" s="54"/>
      <c r="I72" s="52">
        <f t="shared" si="2"/>
        <v>6.8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75</v>
      </c>
      <c r="B73" s="63">
        <v>273</v>
      </c>
      <c r="C73" s="63">
        <v>6</v>
      </c>
      <c r="D73" s="63">
        <v>42</v>
      </c>
      <c r="E73" s="54"/>
      <c r="F73" s="54"/>
      <c r="G73" s="54"/>
      <c r="H73" s="54"/>
      <c r="I73" s="52">
        <f t="shared" si="2"/>
        <v>6.2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80</v>
      </c>
      <c r="B74" s="63">
        <v>261</v>
      </c>
      <c r="C74" s="63"/>
      <c r="D74" s="63"/>
      <c r="E74" s="54"/>
      <c r="F74" s="54"/>
      <c r="G74" s="54"/>
      <c r="H74" s="54"/>
      <c r="I74" s="52">
        <f t="shared" si="2"/>
        <v>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85</v>
      </c>
      <c r="B75" s="63">
        <v>290</v>
      </c>
      <c r="C75" s="63">
        <v>7</v>
      </c>
      <c r="D75" s="63">
        <v>42</v>
      </c>
      <c r="E75" s="54"/>
      <c r="F75" s="54"/>
      <c r="G75" s="54"/>
      <c r="H75" s="54"/>
      <c r="I75" s="52">
        <f t="shared" si="2"/>
        <v>5.8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283">
        <v>95</v>
      </c>
      <c r="B76" s="53">
        <v>300</v>
      </c>
      <c r="C76" s="53">
        <v>8</v>
      </c>
      <c r="D76" s="53">
        <v>42</v>
      </c>
      <c r="E76" s="54"/>
      <c r="F76" s="54"/>
      <c r="G76" s="54"/>
      <c r="H76" s="54"/>
      <c r="I76" s="52">
        <f t="shared" si="2"/>
        <v>5.2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283">
        <v>105</v>
      </c>
      <c r="B77" s="53">
        <v>305</v>
      </c>
      <c r="C77" s="53">
        <v>9</v>
      </c>
      <c r="D77" s="53">
        <v>41</v>
      </c>
      <c r="E77" s="54"/>
      <c r="F77" s="54"/>
      <c r="G77" s="54"/>
      <c r="H77" s="54"/>
      <c r="I77" s="52">
        <f t="shared" si="2"/>
        <v>4.7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283">
        <v>115</v>
      </c>
      <c r="B78" s="53">
        <v>304</v>
      </c>
      <c r="C78" s="53">
        <v>10</v>
      </c>
      <c r="D78" s="53">
        <v>37</v>
      </c>
      <c r="E78" s="54"/>
      <c r="F78" s="54"/>
      <c r="G78" s="54"/>
      <c r="H78" s="54"/>
      <c r="I78" s="52">
        <f t="shared" si="2"/>
        <v>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283">
        <v>125</v>
      </c>
      <c r="B79" s="53">
        <v>301</v>
      </c>
      <c r="C79" s="53">
        <v>11</v>
      </c>
      <c r="D79" s="53">
        <v>33</v>
      </c>
      <c r="E79" s="54"/>
      <c r="F79" s="54"/>
      <c r="G79" s="54"/>
      <c r="H79" s="54"/>
      <c r="I79" s="52">
        <f t="shared" si="2"/>
        <v>3.4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283">
        <v>135</v>
      </c>
      <c r="B80" s="53">
        <v>298</v>
      </c>
      <c r="C80" s="53">
        <v>12</v>
      </c>
      <c r="D80" s="53">
        <v>29</v>
      </c>
      <c r="E80" s="54"/>
      <c r="F80" s="54"/>
      <c r="G80" s="54"/>
      <c r="H80" s="54"/>
      <c r="I80" s="52">
        <f t="shared" si="2"/>
        <v>3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283">
        <v>150</v>
      </c>
      <c r="B81" s="53">
        <v>306</v>
      </c>
      <c r="C81" s="53">
        <v>13</v>
      </c>
      <c r="D81" s="53">
        <v>306</v>
      </c>
      <c r="E81" s="54"/>
      <c r="F81" s="54"/>
      <c r="G81" s="54"/>
      <c r="H81" s="54"/>
      <c r="I81" s="52">
        <f t="shared" si="2"/>
        <v>2.4666666666666668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Pin maritime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12</v>
      </c>
      <c r="B88" s="63">
        <v>48.662500000000001</v>
      </c>
      <c r="C88" s="63"/>
      <c r="D88" s="63"/>
      <c r="E88" s="54"/>
      <c r="F88" s="54"/>
      <c r="G88" s="54"/>
      <c r="H88" s="54"/>
      <c r="I88" s="56">
        <f>IFERROR(B88/A88,"")</f>
        <v>4.0552083333333337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13</v>
      </c>
      <c r="B89" s="63">
        <v>66.096000000000004</v>
      </c>
      <c r="C89" s="63"/>
      <c r="D89" s="63"/>
      <c r="E89" s="54"/>
      <c r="F89" s="54"/>
      <c r="G89" s="54"/>
      <c r="H89" s="54"/>
      <c r="I89" s="56">
        <f t="shared" ref="I89:I107" si="3">IF(A89&lt;&gt;0,(B89-(B88-D88))/(A89-A88),"")</f>
        <v>17.433500000000002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14</v>
      </c>
      <c r="B90" s="63">
        <v>85.756500000000003</v>
      </c>
      <c r="C90" s="63">
        <v>1</v>
      </c>
      <c r="D90" s="63">
        <v>22.2</v>
      </c>
      <c r="E90" s="54"/>
      <c r="F90" s="54"/>
      <c r="G90" s="54">
        <v>1</v>
      </c>
      <c r="H90" s="54"/>
      <c r="I90" s="56">
        <f t="shared" si="3"/>
        <v>19.660499999999999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15</v>
      </c>
      <c r="B91" s="63">
        <v>79.950999999999993</v>
      </c>
      <c r="C91" s="63"/>
      <c r="D91" s="63"/>
      <c r="E91" s="54"/>
      <c r="F91" s="54"/>
      <c r="G91" s="54"/>
      <c r="H91" s="54"/>
      <c r="I91" s="56">
        <f t="shared" si="3"/>
        <v>16.394499999999994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16</v>
      </c>
      <c r="B92" s="63">
        <v>90.686499999999995</v>
      </c>
      <c r="C92" s="63"/>
      <c r="D92" s="63"/>
      <c r="E92" s="54"/>
      <c r="F92" s="54"/>
      <c r="G92" s="54"/>
      <c r="H92" s="54"/>
      <c r="I92" s="56">
        <f t="shared" si="3"/>
        <v>10.735500000000002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17</v>
      </c>
      <c r="B93" s="63">
        <v>103.054</v>
      </c>
      <c r="C93" s="63"/>
      <c r="D93" s="63"/>
      <c r="E93" s="54"/>
      <c r="F93" s="54"/>
      <c r="G93" s="54"/>
      <c r="H93" s="54"/>
      <c r="I93" s="56">
        <f t="shared" si="3"/>
        <v>12.367500000000007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18</v>
      </c>
      <c r="B94" s="63">
        <v>116.78149999999999</v>
      </c>
      <c r="C94" s="63"/>
      <c r="D94" s="63"/>
      <c r="E94" s="54"/>
      <c r="F94" s="54"/>
      <c r="G94" s="54"/>
      <c r="H94" s="54"/>
      <c r="I94" s="56">
        <f t="shared" si="3"/>
        <v>13.727499999999992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3">
        <v>19</v>
      </c>
      <c r="B95" s="63">
        <v>134.41899999999998</v>
      </c>
      <c r="C95" s="63">
        <v>2</v>
      </c>
      <c r="D95" s="63">
        <v>34.9</v>
      </c>
      <c r="E95" s="54">
        <v>0.25</v>
      </c>
      <c r="F95" s="54"/>
      <c r="G95" s="54">
        <v>0.75</v>
      </c>
      <c r="H95" s="54"/>
      <c r="I95" s="56">
        <f t="shared" si="3"/>
        <v>17.637499999999989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53">
        <v>20</v>
      </c>
      <c r="B96" s="63">
        <v>116.926</v>
      </c>
      <c r="C96" s="63"/>
      <c r="D96" s="63"/>
      <c r="E96" s="54"/>
      <c r="F96" s="54"/>
      <c r="G96" s="54"/>
      <c r="H96" s="54"/>
      <c r="I96" s="56">
        <f t="shared" si="3"/>
        <v>17.407000000000025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53">
        <v>21</v>
      </c>
      <c r="B97" s="63">
        <v>134.99699999999999</v>
      </c>
      <c r="C97" s="63"/>
      <c r="D97" s="63"/>
      <c r="E97" s="54"/>
      <c r="F97" s="54"/>
      <c r="G97" s="54"/>
      <c r="H97" s="54"/>
      <c r="I97" s="56">
        <f t="shared" si="3"/>
        <v>18.070999999999984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53">
        <v>22</v>
      </c>
      <c r="B98" s="63">
        <v>153.935</v>
      </c>
      <c r="C98" s="63"/>
      <c r="D98" s="63"/>
      <c r="E98" s="54"/>
      <c r="F98" s="54"/>
      <c r="G98" s="54"/>
      <c r="H98" s="54"/>
      <c r="I98" s="56">
        <f t="shared" si="3"/>
        <v>18.938000000000017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53">
        <v>23</v>
      </c>
      <c r="B99" s="63">
        <v>173.60400000000001</v>
      </c>
      <c r="C99" s="63"/>
      <c r="D99" s="63"/>
      <c r="E99" s="54"/>
      <c r="F99" s="54"/>
      <c r="G99" s="54"/>
      <c r="H99" s="54"/>
      <c r="I99" s="56">
        <f t="shared" si="3"/>
        <v>19.669000000000011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53">
        <v>24</v>
      </c>
      <c r="B100" s="63">
        <v>194.4375</v>
      </c>
      <c r="C100" s="63"/>
      <c r="D100" s="63"/>
      <c r="E100" s="54"/>
      <c r="F100" s="54"/>
      <c r="G100" s="54"/>
      <c r="H100" s="54"/>
      <c r="I100" s="56">
        <f t="shared" si="3"/>
        <v>20.833499999999987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53">
        <v>25</v>
      </c>
      <c r="B101" s="63">
        <v>215.6875</v>
      </c>
      <c r="C101" s="63">
        <v>3</v>
      </c>
      <c r="D101" s="63">
        <v>54</v>
      </c>
      <c r="E101" s="54">
        <v>0.25</v>
      </c>
      <c r="F101" s="54"/>
      <c r="G101" s="54">
        <v>0.75</v>
      </c>
      <c r="H101" s="54"/>
      <c r="I101" s="56">
        <f t="shared" si="3"/>
        <v>21.25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283">
        <v>26</v>
      </c>
      <c r="B102" s="53">
        <v>178.755</v>
      </c>
      <c r="C102" s="53"/>
      <c r="D102" s="53"/>
      <c r="E102" s="54"/>
      <c r="F102" s="54"/>
      <c r="G102" s="54"/>
      <c r="H102" s="54"/>
      <c r="I102" s="56">
        <f t="shared" si="3"/>
        <v>17.067499999999995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283">
        <v>27</v>
      </c>
      <c r="B103" s="53">
        <v>195.90799999999999</v>
      </c>
      <c r="C103" s="53"/>
      <c r="D103" s="53"/>
      <c r="E103" s="54"/>
      <c r="F103" s="54"/>
      <c r="G103" s="54"/>
      <c r="H103" s="54"/>
      <c r="I103" s="56">
        <f t="shared" si="3"/>
        <v>17.152999999999992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283">
        <v>28</v>
      </c>
      <c r="B104" s="53">
        <v>213.4265</v>
      </c>
      <c r="C104" s="53"/>
      <c r="D104" s="53"/>
      <c r="E104" s="54"/>
      <c r="F104" s="54"/>
      <c r="G104" s="54"/>
      <c r="H104" s="54"/>
      <c r="I104" s="56">
        <f t="shared" si="3"/>
        <v>17.518500000000017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283">
        <v>29</v>
      </c>
      <c r="B105" s="53">
        <v>231.29350000000002</v>
      </c>
      <c r="C105" s="53"/>
      <c r="D105" s="53"/>
      <c r="E105" s="54"/>
      <c r="F105" s="54"/>
      <c r="G105" s="54"/>
      <c r="H105" s="54"/>
      <c r="I105" s="56">
        <f t="shared" si="3"/>
        <v>17.867000000000019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283">
        <v>30</v>
      </c>
      <c r="B106" s="53">
        <v>249.203</v>
      </c>
      <c r="C106" s="53">
        <v>4</v>
      </c>
      <c r="D106" s="53">
        <v>63.6</v>
      </c>
      <c r="E106" s="54">
        <v>0.25</v>
      </c>
      <c r="F106" s="54"/>
      <c r="G106" s="54">
        <v>0.75</v>
      </c>
      <c r="H106" s="54"/>
      <c r="I106" s="56">
        <f t="shared" si="3"/>
        <v>17.90949999999998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283">
        <v>42</v>
      </c>
      <c r="B107" s="53">
        <v>360.8845</v>
      </c>
      <c r="C107" s="53">
        <v>5</v>
      </c>
      <c r="D107" s="53">
        <f>B107</f>
        <v>360.8845</v>
      </c>
      <c r="E107" s="54">
        <v>0.6</v>
      </c>
      <c r="F107" s="54"/>
      <c r="G107" s="54">
        <v>0.4</v>
      </c>
      <c r="H107" s="54"/>
      <c r="I107" s="56">
        <f t="shared" si="3"/>
        <v>14.606791666666666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Séquoia toujours vert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16</v>
      </c>
      <c r="B114" s="63">
        <v>74</v>
      </c>
      <c r="C114" s="53"/>
      <c r="D114" s="63"/>
      <c r="E114" s="54"/>
      <c r="F114" s="54"/>
      <c r="G114" s="54"/>
      <c r="H114" s="54"/>
      <c r="I114" s="56">
        <f>IFERROR(B114/A114,"")</f>
        <v>4.625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21</v>
      </c>
      <c r="B115" s="63">
        <v>200</v>
      </c>
      <c r="C115" s="53">
        <v>1</v>
      </c>
      <c r="D115" s="63">
        <v>77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25.2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26</v>
      </c>
      <c r="B116" s="63">
        <v>283</v>
      </c>
      <c r="C116" s="53"/>
      <c r="D116" s="63"/>
      <c r="E116" s="54"/>
      <c r="F116" s="54"/>
      <c r="G116" s="54"/>
      <c r="H116" s="54"/>
      <c r="I116" s="56">
        <f t="shared" si="4"/>
        <v>32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31</v>
      </c>
      <c r="B117" s="63">
        <f>378+77</f>
        <v>455</v>
      </c>
      <c r="C117" s="53">
        <v>2</v>
      </c>
      <c r="D117" s="63">
        <f>77+77</f>
        <v>154</v>
      </c>
      <c r="E117" s="54"/>
      <c r="F117" s="54"/>
      <c r="G117" s="54"/>
      <c r="H117" s="54"/>
      <c r="I117" s="56">
        <f t="shared" si="4"/>
        <v>34.4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36</v>
      </c>
      <c r="B118" s="63">
        <v>470</v>
      </c>
      <c r="C118" s="53"/>
      <c r="D118" s="63"/>
      <c r="E118" s="54"/>
      <c r="F118" s="54"/>
      <c r="G118" s="54"/>
      <c r="H118" s="54"/>
      <c r="I118" s="56">
        <f t="shared" si="4"/>
        <v>33.799999999999997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41</v>
      </c>
      <c r="B119" s="63">
        <f>548+77</f>
        <v>625</v>
      </c>
      <c r="C119" s="53">
        <v>3</v>
      </c>
      <c r="D119" s="63">
        <f>77+77</f>
        <v>154</v>
      </c>
      <c r="E119" s="54"/>
      <c r="F119" s="54"/>
      <c r="G119" s="54"/>
      <c r="H119" s="54"/>
      <c r="I119" s="56">
        <f t="shared" si="4"/>
        <v>31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46</v>
      </c>
      <c r="B120" s="63">
        <v>611</v>
      </c>
      <c r="C120" s="63"/>
      <c r="D120" s="63"/>
      <c r="E120" s="93"/>
      <c r="F120" s="93"/>
      <c r="G120" s="93"/>
      <c r="H120" s="93"/>
      <c r="I120" s="56">
        <f t="shared" si="4"/>
        <v>28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51</v>
      </c>
      <c r="B121" s="63">
        <f>672+63</f>
        <v>735</v>
      </c>
      <c r="C121" s="63">
        <v>4</v>
      </c>
      <c r="D121" s="63">
        <f>54+63</f>
        <v>117</v>
      </c>
      <c r="E121" s="93"/>
      <c r="F121" s="93"/>
      <c r="G121" s="93"/>
      <c r="H121" s="93"/>
      <c r="I121" s="56">
        <f t="shared" si="4"/>
        <v>24.8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56</v>
      </c>
      <c r="B122" s="63">
        <v>729</v>
      </c>
      <c r="C122" s="63"/>
      <c r="D122" s="63"/>
      <c r="E122" s="93"/>
      <c r="F122" s="93"/>
      <c r="G122" s="93"/>
      <c r="H122" s="93"/>
      <c r="I122" s="56">
        <f t="shared" si="4"/>
        <v>22.2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61</v>
      </c>
      <c r="B123" s="63">
        <f>777+46</f>
        <v>823</v>
      </c>
      <c r="C123" s="63">
        <v>5</v>
      </c>
      <c r="D123" s="63">
        <f>41+46</f>
        <v>87</v>
      </c>
      <c r="E123" s="93"/>
      <c r="F123" s="93"/>
      <c r="G123" s="93"/>
      <c r="H123" s="93"/>
      <c r="I123" s="56">
        <f t="shared" si="4"/>
        <v>18.8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66</v>
      </c>
      <c r="B124" s="63">
        <v>815</v>
      </c>
      <c r="C124" s="63"/>
      <c r="D124" s="63"/>
      <c r="E124" s="93"/>
      <c r="F124" s="93"/>
      <c r="G124" s="93"/>
      <c r="H124" s="93"/>
      <c r="I124" s="56">
        <f t="shared" si="4"/>
        <v>15.8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71</v>
      </c>
      <c r="B125" s="63">
        <f>844+36</f>
        <v>880</v>
      </c>
      <c r="C125" s="63">
        <v>6</v>
      </c>
      <c r="D125" s="63">
        <f>31+36</f>
        <v>67</v>
      </c>
      <c r="E125" s="93"/>
      <c r="F125" s="93"/>
      <c r="G125" s="93"/>
      <c r="H125" s="93"/>
      <c r="I125" s="56">
        <f t="shared" si="4"/>
        <v>13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76</v>
      </c>
      <c r="B126" s="63">
        <v>867</v>
      </c>
      <c r="C126" s="63">
        <v>7</v>
      </c>
      <c r="D126" s="63">
        <f>B126</f>
        <v>867</v>
      </c>
      <c r="E126" s="68"/>
      <c r="F126" s="68"/>
      <c r="G126" s="68"/>
      <c r="H126" s="68"/>
      <c r="I126" s="56">
        <f t="shared" si="4"/>
        <v>10.8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Pin laricio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22</v>
      </c>
      <c r="B140" s="63">
        <v>107</v>
      </c>
      <c r="C140" s="53"/>
      <c r="D140" s="63"/>
      <c r="E140" s="54"/>
      <c r="F140" s="54"/>
      <c r="G140" s="54"/>
      <c r="H140" s="54"/>
      <c r="I140" s="60">
        <f>IFERROR(B140/A140,"")</f>
        <v>4.8636363636363633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25</v>
      </c>
      <c r="B141" s="63">
        <f>127+16</f>
        <v>143</v>
      </c>
      <c r="C141" s="53">
        <v>1</v>
      </c>
      <c r="D141" s="63">
        <f>16+17</f>
        <v>33</v>
      </c>
      <c r="E141" s="54"/>
      <c r="F141" s="54"/>
      <c r="G141" s="54"/>
      <c r="H141" s="54">
        <v>1</v>
      </c>
      <c r="I141" s="60">
        <f t="shared" ref="I141:I159" si="5">IF(A141&lt;&gt;0,(B141-(B140-D140))/(A141-A140),"")</f>
        <v>12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30</v>
      </c>
      <c r="B142" s="63">
        <v>160</v>
      </c>
      <c r="C142" s="53"/>
      <c r="D142" s="63"/>
      <c r="E142" s="54"/>
      <c r="F142" s="54"/>
      <c r="G142" s="54"/>
      <c r="H142" s="54"/>
      <c r="I142" s="60">
        <f t="shared" si="5"/>
        <v>10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35</v>
      </c>
      <c r="B143" s="63">
        <f>192+34</f>
        <v>226</v>
      </c>
      <c r="C143" s="53">
        <v>2</v>
      </c>
      <c r="D143" s="63">
        <f>34+41</f>
        <v>75</v>
      </c>
      <c r="E143" s="54"/>
      <c r="F143" s="54"/>
      <c r="G143" s="54"/>
      <c r="H143" s="54">
        <v>1</v>
      </c>
      <c r="I143" s="60">
        <f t="shared" si="5"/>
        <v>13.2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40</v>
      </c>
      <c r="B144" s="63">
        <v>223</v>
      </c>
      <c r="C144" s="53"/>
      <c r="D144" s="63"/>
      <c r="E144" s="54"/>
      <c r="F144" s="54"/>
      <c r="G144" s="54"/>
      <c r="H144" s="54"/>
      <c r="I144" s="60">
        <f t="shared" si="5"/>
        <v>14.4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45</v>
      </c>
      <c r="B145" s="63">
        <f>265+41</f>
        <v>306</v>
      </c>
      <c r="C145" s="53">
        <v>3</v>
      </c>
      <c r="D145" s="63">
        <f>41+53</f>
        <v>94</v>
      </c>
      <c r="E145" s="54"/>
      <c r="F145" s="54"/>
      <c r="G145" s="54"/>
      <c r="H145" s="54"/>
      <c r="I145" s="60">
        <f t="shared" si="5"/>
        <v>16.600000000000001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50</v>
      </c>
      <c r="B146" s="63">
        <v>299</v>
      </c>
      <c r="C146" s="53"/>
      <c r="D146" s="63"/>
      <c r="E146" s="54"/>
      <c r="F146" s="54"/>
      <c r="G146" s="54"/>
      <c r="H146" s="54"/>
      <c r="I146" s="60">
        <f t="shared" si="5"/>
        <v>17.399999999999999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58</v>
      </c>
      <c r="B147" s="63">
        <f>362+53</f>
        <v>415</v>
      </c>
      <c r="C147" s="53">
        <v>4</v>
      </c>
      <c r="D147" s="63">
        <f>53+78</f>
        <v>131</v>
      </c>
      <c r="E147" s="54"/>
      <c r="F147" s="54"/>
      <c r="G147" s="54"/>
      <c r="H147" s="54"/>
      <c r="I147" s="60">
        <f>IF(A147&lt;&gt;0,(B147-(B146-D146))/(A147-A146),"")</f>
        <v>14.5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66</v>
      </c>
      <c r="B148" s="63">
        <v>430</v>
      </c>
      <c r="C148" s="53">
        <v>5</v>
      </c>
      <c r="D148" s="63">
        <v>65</v>
      </c>
      <c r="E148" s="54"/>
      <c r="F148" s="54"/>
      <c r="G148" s="54"/>
      <c r="H148" s="54"/>
      <c r="I148" s="60">
        <f t="shared" si="5"/>
        <v>18.25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74</v>
      </c>
      <c r="B149" s="63">
        <v>496</v>
      </c>
      <c r="C149" s="53">
        <v>6</v>
      </c>
      <c r="D149" s="63">
        <v>37</v>
      </c>
      <c r="E149" s="54"/>
      <c r="F149" s="54"/>
      <c r="G149" s="54"/>
      <c r="H149" s="54"/>
      <c r="I149" s="60">
        <f t="shared" si="5"/>
        <v>16.375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82</v>
      </c>
      <c r="B150" s="63">
        <v>541</v>
      </c>
      <c r="C150" s="53">
        <v>7</v>
      </c>
      <c r="D150" s="63">
        <f>B150</f>
        <v>541</v>
      </c>
      <c r="E150" s="54"/>
      <c r="F150" s="54"/>
      <c r="G150" s="54"/>
      <c r="H150" s="54"/>
      <c r="I150" s="60">
        <f t="shared" si="5"/>
        <v>10.25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C13" sqref="C1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sessile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Alisier torminal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Pin maritime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Séquoia toujours vert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Pin laricio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430.11660085503223</v>
      </c>
      <c r="T3" s="62">
        <f>IF('Données projet'!E9&gt;30,$R$33-$H$33,LOOKUP('Données projet'!$E$9,$A$3:$A$203,R3:R203)-LOOKUP('Données projet'!$E$9,$A$3:$A$203,$H$3:$H$203))</f>
        <v>231.36959598460686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456.86147223520601</v>
      </c>
      <c r="AO3" s="62">
        <f>IF('Données projet'!E10&gt;30,$AM$33-$H$33,LOOKUP('Données projet'!$E$10,$A$3:$A$203,AM3:AM203)-LOOKUP('Données projet'!$E$10,$A$3:$A$203,$H$3:$H$203))</f>
        <v>244.45149244446094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215.43756133069593</v>
      </c>
      <c r="BJ3" s="62">
        <f>IF('Données projet'!E11&gt;30,$BH$33-$H$33,LOOKUP('Données projet'!$E$11,$A$3:$A$203,BH3:BH203)-LOOKUP('Données projet'!$E$11,$A$3:$A$203,$H$3:$H$203))</f>
        <v>363.02009369315243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461.75392711528474</v>
      </c>
      <c r="CE3" s="62">
        <f>IF('Données projet'!E12&gt;30,$CC$33-$H$33,LOOKUP('Données projet'!$E$12,$A$3:$A$203,CC3:CC203)-LOOKUP('Données projet'!$E$12,$A$3:$A$203,$H$3:$H$203))</f>
        <v>441.67157957428236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338.72479490324491</v>
      </c>
      <c r="CZ3" s="62">
        <f>IF('Données projet'!E13&gt;30,$CX$33-$H$33,LOOKUP('Données projet'!$E$13,$A$3:$A$203,CX3:CX203)-LOOKUP('Données projet'!$E$13,$A$3:$A$203,$H$3:$H$203))</f>
        <v>248.47107558211923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1.0907244698905405</v>
      </c>
      <c r="P4" s="14">
        <f>EXP(-1.0587+0.8836*LN(O4)+0.284)</f>
        <v>0.49759623852608204</v>
      </c>
      <c r="Q4" s="22">
        <f t="shared" ref="Q4:Q34" si="2">(O4+P4)*0.475*44/12</f>
        <v>2.7663252338256172</v>
      </c>
      <c r="R4" s="62">
        <f t="shared" si="0"/>
        <v>260.65521412271448</v>
      </c>
      <c r="S4" s="62">
        <f ca="1">AVERAGE(OFFSET($R$3,0,0,'Données projet'!$E$9+1,1))-AVERAGE(OFFSET($H$3,0,0,'Données projet'!$E$9+1,1))</f>
        <v>430.11660085503223</v>
      </c>
      <c r="T4" s="62">
        <f>$T$3</f>
        <v>231.36959598460686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IF('Données projet'!$A$62&gt;35,AI3+AH4-AQ3,IF(A4&lt;'Données projet'!$A$62,$AF$205^A4,IF(A4='Données projet'!$A$62,'Données projet'!$B$62,AI3+AH4-AQ3)))</f>
        <v>1.2054868146447177</v>
      </c>
      <c r="AJ4" s="14">
        <f>AI4*VLOOKUP('Données projet'!$B$10,Paramètres!$A$1:$I$89,3,0)*VLOOKUP('Données projet'!$B$10,Paramètres!$A$1:$I$89,5,0)</f>
        <v>1.165946847124371</v>
      </c>
      <c r="AK4" s="14">
        <f>EXP(-1.0587+0.8836*LN(AJ4)+0.284)</f>
        <v>0.52780002987456354</v>
      </c>
      <c r="AL4" s="22">
        <f t="shared" ref="AL4:AL67" si="4">(AJ4+AK4)*0.475*44/12</f>
        <v>2.9499424774398109</v>
      </c>
      <c r="AM4" s="62">
        <f t="shared" ref="AM4:AM67" si="5">AL4+(AD4+AE4)*44/12</f>
        <v>260.83883136632869</v>
      </c>
      <c r="AN4" s="62">
        <f ca="1">AVERAGE(OFFSET($AM$3,0,0,'Données projet'!$E$10+1,1))-AVERAGE(OFFSET($H$3,0,0,'Données projet'!$E$10+1,1))</f>
        <v>456.86147223520601</v>
      </c>
      <c r="AO4" s="62">
        <f>$AO$3</f>
        <v>244.45149244446094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4.0552083333333337</v>
      </c>
      <c r="BD4" s="13">
        <f>IF('Données projet'!$A$88&gt;35,BD3+BC4-BL3,IF(A4&lt;'Données projet'!$A$88,$BA$205^A4,IF(A4='Données projet'!$A$88,'Données projet'!$B$88,BD3+BC4-BL3)))</f>
        <v>1.3822911730149987</v>
      </c>
      <c r="BE4" s="14">
        <f>BD4*VLOOKUP('Données projet'!$B$11,Paramètres!$A$1:$I$89,3,0)*VLOOKUP('Données projet'!$B$11,Paramètres!$A$1:$I$89,5,0)</f>
        <v>0.82661012146296919</v>
      </c>
      <c r="BF4" s="14">
        <f>EXP(-1.0587+0.8836*LN(BE4)+0.284)</f>
        <v>0.38947445648608353</v>
      </c>
      <c r="BG4" s="22">
        <f t="shared" ref="BG4:BG67" si="7">(BE4+BF4)*0.475*44/12</f>
        <v>2.1180139732612671</v>
      </c>
      <c r="BH4" s="62">
        <f t="shared" ref="BH4:BH67" si="8">BG4+(AY4+AZ4)*44/12</f>
        <v>260.00690286215013</v>
      </c>
      <c r="BI4" s="62">
        <f ca="1">AVERAGE(OFFSET($BH$3,0,0,'Données projet'!$E$11+1,1))-AVERAGE(OFFSET($H$3,0,0,'Données projet'!$E$11+1,1))</f>
        <v>215.43756133069593</v>
      </c>
      <c r="BJ4" s="62">
        <f>$BJ$3</f>
        <v>363.02009369315243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4.625</v>
      </c>
      <c r="BY4" s="13">
        <f>IF('Données projet'!$A$114&gt;35,BY3+BX4-CG3,IF(A4&lt;'Données projet'!$A$114,$BV$205^A4,IF(A4='Données projet'!$A$114,'Données projet'!$B$114,BY3+BX4-CG3)))</f>
        <v>1.3086604650920644</v>
      </c>
      <c r="BZ4" s="14">
        <f>BY4*VLOOKUP('Données projet'!$B$12,Paramètres!$A$1:$I$89,3,0)*VLOOKUP('Données projet'!$B$12,Paramètres!$A$1:$I$89,5,0)</f>
        <v>0.57842792557069245</v>
      </c>
      <c r="CA4" s="14">
        <f>EXP(-1.0587+0.8836*LN(BZ4)+0.284)</f>
        <v>0.28410279333875021</v>
      </c>
      <c r="CB4" s="22">
        <f t="shared" ref="CB4:CB67" si="10">(BZ4+CA4)*0.475*44/12</f>
        <v>1.5022410021006125</v>
      </c>
      <c r="CC4" s="62">
        <f t="shared" ref="CC4:CC67" si="11">CB4+(BT4+BU4)*44/12</f>
        <v>259.39112989098948</v>
      </c>
      <c r="CD4" s="62">
        <f ca="1">AVERAGE(OFFSET($CC$3,0,0,'Données projet'!$E$12+1,1))-AVERAGE(OFFSET($H$3,0,0,'Données projet'!$E$12+1,1))</f>
        <v>461.75392711528474</v>
      </c>
      <c r="CE4" s="62">
        <f>$CE$3</f>
        <v>441.67157957428236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4.8636363636363633</v>
      </c>
      <c r="CT4" s="13">
        <f>IF('Données projet'!$A$140&gt;35,CT3+CS4-DB3,IF(A4&lt;'Données projet'!$A$140,$CQ$205^A4,IF(A4='Données projet'!$A$140,'Données projet'!$B$140,CT3+CS4-DB3)))</f>
        <v>1.2366440639531338</v>
      </c>
      <c r="CU4" s="18">
        <f>CT4*VLOOKUP('Données projet'!$B$13,Paramètres!$A$1:$I$89,3,0)*VLOOKUP('Données projet'!$B$13,Paramètres!$A$1:$I$89,5,0)</f>
        <v>0.73951315024397413</v>
      </c>
      <c r="CV4" s="14">
        <f>EXP(-1.0587+0.8836*LN(CU4)+0.284)</f>
        <v>0.35298208423188321</v>
      </c>
      <c r="CW4" s="22">
        <f t="shared" ref="CW4:CW67" si="13">(CU4+CV4)*0.475*44/12</f>
        <v>1.9027625333787848</v>
      </c>
      <c r="CX4" s="62">
        <f t="shared" ref="CX4:CX67" si="14">CW4+(CO4+CP4)*44/12</f>
        <v>259.79165142226765</v>
      </c>
      <c r="CY4" s="62">
        <f ca="1">AVERAGE(OFFSET($CX$3,0,0,'Données projet'!$E$13+1,1))-AVERAGE(OFFSET($H$3,0,0,'Données projet'!$E$13+1,1))</f>
        <v>338.72479490324491</v>
      </c>
      <c r="CZ4" s="62">
        <f>$CZ$3</f>
        <v>248.47107558211923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1.3148539668633961</v>
      </c>
      <c r="P5" s="14">
        <f t="shared" ref="P5:P68" si="33">EXP(-1.0587+0.8836*LN(O5)+0.284)</f>
        <v>0.58693801963664449</v>
      </c>
      <c r="Q5" s="22">
        <f t="shared" si="2"/>
        <v>3.3122877098209038</v>
      </c>
      <c r="R5" s="62">
        <f t="shared" si="0"/>
        <v>262.42339882093205</v>
      </c>
      <c r="S5" s="62">
        <f ca="1">AVERAGE(OFFSET($R$3,0,0,'Données projet'!$E$9+1,1))-AVERAGE(OFFSET($H$3,0,0,'Données projet'!$E$9+1,1))</f>
        <v>430.11660085503223</v>
      </c>
      <c r="T5" s="62">
        <f t="shared" ref="T5:T68" si="34">$T$3</f>
        <v>231.36959598460686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IF('Données projet'!$A$62&gt;35,AI4+AH5-AQ4,IF(A5&lt;'Données projet'!$A$62,$AF$205^A5,IF(A5='Données projet'!$A$62,'Données projet'!$B$62,AI4+AH5-AQ4)))</f>
        <v>1.4531984602822681</v>
      </c>
      <c r="AJ5" s="14">
        <f>AI5*VLOOKUP('Données projet'!$B$10,Paramètres!$A$1:$I$89,3,0)*VLOOKUP('Données projet'!$B$10,Paramètres!$A$1:$I$89,5,0)</f>
        <v>1.4055335507850097</v>
      </c>
      <c r="AK5" s="14">
        <f t="shared" ref="AK5:AK68" si="35">EXP(-1.0587+0.8836*LN(AJ5)+0.284)</f>
        <v>0.62256480317525631</v>
      </c>
      <c r="AL5" s="22">
        <f t="shared" si="4"/>
        <v>3.5322712998141292</v>
      </c>
      <c r="AM5" s="62">
        <f t="shared" si="5"/>
        <v>262.64338241092526</v>
      </c>
      <c r="AN5" s="62">
        <f ca="1">AVERAGE(OFFSET($AM$3,0,0,'Données projet'!$E$10+1,1))-AVERAGE(OFFSET($H$3,0,0,'Données projet'!$E$10+1,1))</f>
        <v>456.86147223520601</v>
      </c>
      <c r="AO5" s="62">
        <f t="shared" ref="AO5:AO68" si="36">$AO$3</f>
        <v>244.45149244446094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4.0552083333333337</v>
      </c>
      <c r="BD5" s="13">
        <f>IF('Données projet'!$A$88&gt;35,BD4+BC5-BL4,IF(A5&lt;'Données projet'!$A$88,$BA$205^A5,IF(A5='Données projet'!$A$88,'Données projet'!$B$88,BD4+BC5-BL4)))</f>
        <v>1.9107288869951811</v>
      </c>
      <c r="BE5" s="14">
        <f>BD5*VLOOKUP('Données projet'!$B$11,Paramètres!$A$1:$I$89,3,0)*VLOOKUP('Données projet'!$B$11,Paramètres!$A$1:$I$89,5,0)</f>
        <v>1.1426158744231183</v>
      </c>
      <c r="BF5" s="14">
        <f t="shared" ref="BF5:BF68" si="37">EXP(-1.0587+0.8836*LN(BE5)+0.284)</f>
        <v>0.51845698362995651</v>
      </c>
      <c r="BG5" s="22">
        <f t="shared" si="7"/>
        <v>2.8930352277757714</v>
      </c>
      <c r="BH5" s="62">
        <f t="shared" si="8"/>
        <v>262.00414633888693</v>
      </c>
      <c r="BI5" s="62">
        <f ca="1">AVERAGE(OFFSET($BH$3,0,0,'Données projet'!$E$11+1,1))-AVERAGE(OFFSET($H$3,0,0,'Données projet'!$E$11+1,1))</f>
        <v>215.43756133069593</v>
      </c>
      <c r="BJ5" s="62">
        <f t="shared" ref="BJ5:BJ68" si="38">$BJ$3</f>
        <v>363.02009369315243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4.625</v>
      </c>
      <c r="BY5" s="13">
        <f>IF('Données projet'!$A$114&gt;35,BY4+BX5-CG4,IF(A5&lt;'Données projet'!$A$114,$BV$205^A5,IF(A5='Données projet'!$A$114,'Données projet'!$B$114,BY4+BX5-CG4)))</f>
        <v>1.7125922128949782</v>
      </c>
      <c r="BZ5" s="14">
        <f>BY5*VLOOKUP('Données projet'!$B$12,Paramètres!$A$1:$I$89,3,0)*VLOOKUP('Données projet'!$B$12,Paramètres!$A$1:$I$89,5,0)</f>
        <v>0.75696575809958055</v>
      </c>
      <c r="CA5" s="14">
        <f t="shared" ref="CA5:CA68" si="39">EXP(-1.0587+0.8836*LN(BZ5)+0.284)</f>
        <v>0.36033282412888712</v>
      </c>
      <c r="CB5" s="22">
        <f t="shared" si="10"/>
        <v>1.9459616973812475</v>
      </c>
      <c r="CC5" s="62">
        <f t="shared" si="11"/>
        <v>261.05707280849236</v>
      </c>
      <c r="CD5" s="62">
        <f ca="1">AVERAGE(OFFSET($CC$3,0,0,'Données projet'!$E$12+1,1))-AVERAGE(OFFSET($H$3,0,0,'Données projet'!$E$12+1,1))</f>
        <v>461.75392711528474</v>
      </c>
      <c r="CE5" s="62">
        <f t="shared" ref="CE5:CE68" si="40">$CE$3</f>
        <v>441.67157957428236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4.8636363636363633</v>
      </c>
      <c r="CT5" s="13">
        <f>IF('Données projet'!$A$140&gt;35,CT4+CS5-DB4,IF(A5&lt;'Données projet'!$A$140,$CQ$205^A5,IF(A5='Données projet'!$A$140,'Données projet'!$B$140,CT4+CS5-DB4)))</f>
        <v>1.5292885409105224</v>
      </c>
      <c r="CU5" s="18">
        <f>CT5*VLOOKUP('Données projet'!$B$13,Paramètres!$A$1:$I$89,3,0)*VLOOKUP('Données projet'!$B$13,Paramètres!$A$1:$I$89,5,0)</f>
        <v>0.91451454746449234</v>
      </c>
      <c r="CV5" s="14">
        <f t="shared" ref="CV5:CV68" si="41">EXP(-1.0587+0.8836*LN(CU5)+0.284)</f>
        <v>0.42585337669339779</v>
      </c>
      <c r="CW5" s="22">
        <f t="shared" si="13"/>
        <v>2.3344741345749918</v>
      </c>
      <c r="CX5" s="62">
        <f t="shared" si="14"/>
        <v>261.44558524568612</v>
      </c>
      <c r="CY5" s="62">
        <f ca="1">AVERAGE(OFFSET($CX$3,0,0,'Données projet'!$E$13+1,1))-AVERAGE(OFFSET($H$3,0,0,'Données projet'!$E$13+1,1))</f>
        <v>338.72479490324491</v>
      </c>
      <c r="CZ5" s="62">
        <f t="shared" ref="CZ5:CZ68" si="42">$CZ$3</f>
        <v>248.47107558211923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1.5850391202371266</v>
      </c>
      <c r="P6" s="14">
        <f t="shared" si="33"/>
        <v>0.69232082604846479</v>
      </c>
      <c r="Q6" s="22">
        <f t="shared" si="2"/>
        <v>3.966401906447405</v>
      </c>
      <c r="R6" s="62">
        <f t="shared" si="0"/>
        <v>264.29973523978072</v>
      </c>
      <c r="S6" s="62">
        <f ca="1">AVERAGE(OFFSET($R$3,0,0,'Données projet'!$E$9+1,1))-AVERAGE(OFFSET($H$3,0,0,'Données projet'!$E$9+1,1))</f>
        <v>430.11660085503223</v>
      </c>
      <c r="T6" s="62">
        <f t="shared" si="34"/>
        <v>231.36959598460686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IF('Données projet'!$A$62&gt;35,AI5+AH6-AQ5,IF(A6&lt;'Données projet'!$A$62,$AF$205^A6,IF(A6='Données projet'!$A$62,'Données projet'!$B$62,AI5+AH6-AQ5)))</f>
        <v>1.7518115829322798</v>
      </c>
      <c r="AJ6" s="14">
        <f>AI6*VLOOKUP('Données projet'!$B$10,Paramètres!$A$1:$I$89,3,0)*VLOOKUP('Données projet'!$B$10,Paramètres!$A$1:$I$89,5,0)</f>
        <v>1.694352163012101</v>
      </c>
      <c r="AK6" s="14">
        <f t="shared" si="35"/>
        <v>0.73434428233124405</v>
      </c>
      <c r="AL6" s="22">
        <f t="shared" si="4"/>
        <v>4.2299796423063247</v>
      </c>
      <c r="AM6" s="62">
        <f t="shared" si="5"/>
        <v>264.56331297563963</v>
      </c>
      <c r="AN6" s="62">
        <f ca="1">AVERAGE(OFFSET($AM$3,0,0,'Données projet'!$E$10+1,1))-AVERAGE(OFFSET($H$3,0,0,'Données projet'!$E$10+1,1))</f>
        <v>456.86147223520601</v>
      </c>
      <c r="AO6" s="62">
        <f t="shared" si="36"/>
        <v>244.45149244446094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4.0552083333333337</v>
      </c>
      <c r="BD6" s="13">
        <f>IF('Données projet'!$A$88&gt;35,BD5+BC6-BL5,IF(A6&lt;'Données projet'!$A$88,$BA$205^A6,IF(A6='Données projet'!$A$88,'Données projet'!$B$88,BD5+BC6-BL5)))</f>
        <v>2.6411836745182118</v>
      </c>
      <c r="BE6" s="14">
        <f>BD6*VLOOKUP('Données projet'!$B$11,Paramètres!$A$1:$I$89,3,0)*VLOOKUP('Données projet'!$B$11,Paramètres!$A$1:$I$89,5,0)</f>
        <v>1.5794278373618909</v>
      </c>
      <c r="BF6" s="14">
        <f t="shared" si="37"/>
        <v>0.69015474416427491</v>
      </c>
      <c r="BG6" s="22">
        <f t="shared" si="7"/>
        <v>3.9528563294914054</v>
      </c>
      <c r="BH6" s="62">
        <f t="shared" si="8"/>
        <v>264.28618966282471</v>
      </c>
      <c r="BI6" s="62">
        <f ca="1">AVERAGE(OFFSET($BH$3,0,0,'Données projet'!$E$11+1,1))-AVERAGE(OFFSET($H$3,0,0,'Données projet'!$E$11+1,1))</f>
        <v>215.43756133069593</v>
      </c>
      <c r="BJ6" s="62">
        <f t="shared" si="38"/>
        <v>363.02009369315243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4.625</v>
      </c>
      <c r="BY6" s="13">
        <f>IF('Données projet'!$A$114&gt;35,BY5+BX6-CG5,IF(A6&lt;'Données projet'!$A$114,$BV$205^A6,IF(A6='Données projet'!$A$114,'Données projet'!$B$114,BY5+BX6-CG5)))</f>
        <v>2.2412017218401901</v>
      </c>
      <c r="BZ6" s="14">
        <f>BY6*VLOOKUP('Données projet'!$B$12,Paramètres!$A$1:$I$89,3,0)*VLOOKUP('Données projet'!$B$12,Paramètres!$A$1:$I$89,5,0)</f>
        <v>0.99061116105336411</v>
      </c>
      <c r="CA6" s="14">
        <f t="shared" si="39"/>
        <v>0.45701678121089406</v>
      </c>
      <c r="CB6" s="22">
        <f t="shared" si="10"/>
        <v>2.521285332776916</v>
      </c>
      <c r="CC6" s="62">
        <f t="shared" si="11"/>
        <v>262.85461866611024</v>
      </c>
      <c r="CD6" s="62">
        <f ca="1">AVERAGE(OFFSET($CC$3,0,0,'Données projet'!$E$12+1,1))-AVERAGE(OFFSET($H$3,0,0,'Données projet'!$E$12+1,1))</f>
        <v>461.75392711528474</v>
      </c>
      <c r="CE6" s="62">
        <f t="shared" si="40"/>
        <v>441.67157957428236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4.8636363636363633</v>
      </c>
      <c r="CT6" s="13">
        <f>IF('Données projet'!$A$140&gt;35,CT5+CS6-DB5,IF(A6&lt;'Données projet'!$A$140,$CQ$205^A6,IF(A6='Données projet'!$A$140,'Données projet'!$B$140,CT5+CS6-DB5)))</f>
        <v>1.8911855961885466</v>
      </c>
      <c r="CU6" s="18">
        <f>CT6*VLOOKUP('Données projet'!$B$13,Paramètres!$A$1:$I$89,3,0)*VLOOKUP('Données projet'!$B$13,Paramètres!$A$1:$I$89,5,0)</f>
        <v>1.130928986520751</v>
      </c>
      <c r="CV6" s="14">
        <f t="shared" si="41"/>
        <v>0.5137685637383077</v>
      </c>
      <c r="CW6" s="22">
        <f t="shared" si="13"/>
        <v>2.8645149000345267</v>
      </c>
      <c r="CX6" s="62">
        <f t="shared" si="14"/>
        <v>263.19784823336784</v>
      </c>
      <c r="CY6" s="62">
        <f ca="1">AVERAGE(OFFSET($CX$3,0,0,'Données projet'!$E$13+1,1))-AVERAGE(OFFSET($H$3,0,0,'Données projet'!$E$13+1,1))</f>
        <v>338.72479490324491</v>
      </c>
      <c r="CZ6" s="62">
        <f t="shared" si="42"/>
        <v>248.47107558211923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1.9107437601419195</v>
      </c>
      <c r="P7" s="14">
        <f t="shared" si="33"/>
        <v>0.81662477151702284</v>
      </c>
      <c r="Q7" s="22">
        <f t="shared" si="2"/>
        <v>4.7501668593059909</v>
      </c>
      <c r="R7" s="62">
        <f t="shared" si="0"/>
        <v>266.30572241486152</v>
      </c>
      <c r="S7" s="62">
        <f ca="1">AVERAGE(OFFSET($R$3,0,0,'Données projet'!$E$9+1,1))-AVERAGE(OFFSET($H$3,0,0,'Données projet'!$E$9+1,1))</f>
        <v>430.11660085503223</v>
      </c>
      <c r="T7" s="62">
        <f t="shared" si="34"/>
        <v>231.36959598460686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IF('Données projet'!$A$62&gt;35,AI6+AH7-AQ6,IF(A7&lt;'Données projet'!$A$62,$AF$205^A7,IF(A7='Données projet'!$A$62,'Données projet'!$B$62,AI6+AH7-AQ6)))</f>
        <v>2.1117857649667546</v>
      </c>
      <c r="AJ7" s="14">
        <f>AI7*VLOOKUP('Données projet'!$B$10,Paramètres!$A$1:$I$89,3,0)*VLOOKUP('Données projet'!$B$10,Paramètres!$A$1:$I$89,5,0)</f>
        <v>2.042519191875845</v>
      </c>
      <c r="AK7" s="14">
        <f t="shared" si="35"/>
        <v>0.86619340226463792</v>
      </c>
      <c r="AL7" s="22">
        <f t="shared" si="4"/>
        <v>5.0660077681280073</v>
      </c>
      <c r="AM7" s="62">
        <f t="shared" si="5"/>
        <v>266.62156332368357</v>
      </c>
      <c r="AN7" s="62">
        <f ca="1">AVERAGE(OFFSET($AM$3,0,0,'Données projet'!$E$10+1,1))-AVERAGE(OFFSET($H$3,0,0,'Données projet'!$E$10+1,1))</f>
        <v>456.86147223520601</v>
      </c>
      <c r="AO7" s="62">
        <f t="shared" si="36"/>
        <v>244.45149244446094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4.0552083333333337</v>
      </c>
      <c r="BD7" s="13">
        <f>IF('Données projet'!$A$88&gt;35,BD6+BC7-BL6,IF(A7&lt;'Données projet'!$A$88,$BA$205^A7,IF(A7='Données projet'!$A$88,'Données projet'!$B$88,BD6+BC7-BL6)))</f>
        <v>3.6508848795978435</v>
      </c>
      <c r="BE7" s="14">
        <f>BD7*VLOOKUP('Données projet'!$B$11,Paramètres!$A$1:$I$89,3,0)*VLOOKUP('Données projet'!$B$11,Paramètres!$A$1:$I$89,5,0)</f>
        <v>2.1832291579995107</v>
      </c>
      <c r="BF7" s="14">
        <f t="shared" si="37"/>
        <v>0.91871377169531943</v>
      </c>
      <c r="BG7" s="22">
        <f t="shared" si="7"/>
        <v>5.4025506025518295</v>
      </c>
      <c r="BH7" s="62">
        <f t="shared" si="8"/>
        <v>266.9581061581074</v>
      </c>
      <c r="BI7" s="62">
        <f ca="1">AVERAGE(OFFSET($BH$3,0,0,'Données projet'!$E$11+1,1))-AVERAGE(OFFSET($H$3,0,0,'Données projet'!$E$11+1,1))</f>
        <v>215.43756133069593</v>
      </c>
      <c r="BJ7" s="62">
        <f t="shared" si="38"/>
        <v>363.02009369315243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4.625</v>
      </c>
      <c r="BY7" s="13">
        <f>IF('Données projet'!$A$114&gt;35,BY6+BX7-CG6,IF(A7&lt;'Données projet'!$A$114,$BV$205^A7,IF(A7='Données projet'!$A$114,'Données projet'!$B$114,BY6+BX7-CG6)))</f>
        <v>2.9329720876685181</v>
      </c>
      <c r="BZ7" s="14">
        <f>BY7*VLOOKUP('Données projet'!$B$12,Paramètres!$A$1:$I$89,3,0)*VLOOKUP('Données projet'!$B$12,Paramètres!$A$1:$I$89,5,0)</f>
        <v>1.2963736627494851</v>
      </c>
      <c r="CA7" s="14">
        <f t="shared" si="39"/>
        <v>0.57964283107790837</v>
      </c>
      <c r="CB7" s="22">
        <f t="shared" si="10"/>
        <v>3.2673953934160438</v>
      </c>
      <c r="CC7" s="62">
        <f t="shared" si="11"/>
        <v>264.8229509489716</v>
      </c>
      <c r="CD7" s="62">
        <f ca="1">AVERAGE(OFFSET($CC$3,0,0,'Données projet'!$E$12+1,1))-AVERAGE(OFFSET($H$3,0,0,'Données projet'!$E$12+1,1))</f>
        <v>461.75392711528474</v>
      </c>
      <c r="CE7" s="62">
        <f t="shared" si="40"/>
        <v>441.67157957428236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4.8636363636363633</v>
      </c>
      <c r="CT7" s="13">
        <f>IF('Données projet'!$A$140&gt;35,CT6+CS7-DB6,IF(A7&lt;'Données projet'!$A$140,$CQ$205^A7,IF(A7='Données projet'!$A$140,'Données projet'!$B$140,CT6+CS7-DB6)))</f>
        <v>2.3387234413602345</v>
      </c>
      <c r="CU7" s="18">
        <f>CT7*VLOOKUP('Données projet'!$B$13,Paramètres!$A$1:$I$89,3,0)*VLOOKUP('Données projet'!$B$13,Paramètres!$A$1:$I$89,5,0)</f>
        <v>1.3985566179334201</v>
      </c>
      <c r="CV7" s="14">
        <f t="shared" si="41"/>
        <v>0.6198333781811618</v>
      </c>
      <c r="CW7" s="22">
        <f t="shared" si="13"/>
        <v>3.5153625765662295</v>
      </c>
      <c r="CX7" s="62">
        <f t="shared" si="14"/>
        <v>265.07091813212179</v>
      </c>
      <c r="CY7" s="62">
        <f ca="1">AVERAGE(OFFSET($CX$3,0,0,'Données projet'!$E$13+1,1))-AVERAGE(OFFSET($H$3,0,0,'Données projet'!$E$13+1,1))</f>
        <v>338.72479490324491</v>
      </c>
      <c r="CZ7" s="62">
        <f t="shared" si="42"/>
        <v>248.47107558211923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2.3033764090157529</v>
      </c>
      <c r="P8" s="14">
        <f t="shared" si="33"/>
        <v>0.96324708482559218</v>
      </c>
      <c r="Q8" s="22">
        <f t="shared" si="2"/>
        <v>5.6893692517736758</v>
      </c>
      <c r="R8" s="62">
        <f t="shared" si="0"/>
        <v>268.46714702955143</v>
      </c>
      <c r="S8" s="62">
        <f ca="1">AVERAGE(OFFSET($R$3,0,0,'Données projet'!$E$9+1,1))-AVERAGE(OFFSET($H$3,0,0,'Données projet'!$E$9+1,1))</f>
        <v>430.11660085503223</v>
      </c>
      <c r="T8" s="62">
        <f t="shared" si="34"/>
        <v>231.36959598460686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IF('Données projet'!$A$62&gt;35,AI7+AH8-AQ7,IF(A8&lt;'Données projet'!$A$62,$AF$205^A8,IF(A8='Données projet'!$A$62,'Données projet'!$B$62,AI7+AH8-AQ7)))</f>
        <v>2.5457298950218314</v>
      </c>
      <c r="AJ8" s="14">
        <f>AI8*VLOOKUP('Données projet'!$B$10,Paramètres!$A$1:$I$89,3,0)*VLOOKUP('Données projet'!$B$10,Paramètres!$A$1:$I$89,5,0)</f>
        <v>2.4622299544651152</v>
      </c>
      <c r="AK8" s="14">
        <f t="shared" si="35"/>
        <v>1.021715601495419</v>
      </c>
      <c r="AL8" s="22">
        <f t="shared" si="4"/>
        <v>6.0678718432979295</v>
      </c>
      <c r="AM8" s="62">
        <f t="shared" si="5"/>
        <v>268.84564962107572</v>
      </c>
      <c r="AN8" s="62">
        <f ca="1">AVERAGE(OFFSET($AM$3,0,0,'Données projet'!$E$10+1,1))-AVERAGE(OFFSET($H$3,0,0,'Données projet'!$E$10+1,1))</f>
        <v>456.86147223520601</v>
      </c>
      <c r="AO8" s="62">
        <f t="shared" si="36"/>
        <v>244.45149244446094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4.0552083333333337</v>
      </c>
      <c r="BD8" s="13">
        <f>IF('Données projet'!$A$88&gt;35,BD7+BC8-BL7,IF(A8&lt;'Données projet'!$A$88,$BA$205^A8,IF(A8='Données projet'!$A$88,'Données projet'!$B$88,BD7+BC8-BL7)))</f>
        <v>5.0465859427620252</v>
      </c>
      <c r="BE8" s="14">
        <f>BD8*VLOOKUP('Données projet'!$B$11,Paramètres!$A$1:$I$89,3,0)*VLOOKUP('Données projet'!$B$11,Paramètres!$A$1:$I$89,5,0)</f>
        <v>3.0178583937716912</v>
      </c>
      <c r="BF8" s="14">
        <f t="shared" si="37"/>
        <v>1.222964851635848</v>
      </c>
      <c r="BG8" s="22">
        <f t="shared" si="7"/>
        <v>7.3861004857514656</v>
      </c>
      <c r="BH8" s="62">
        <f t="shared" si="8"/>
        <v>270.16387826352923</v>
      </c>
      <c r="BI8" s="62">
        <f ca="1">AVERAGE(OFFSET($BH$3,0,0,'Données projet'!$E$11+1,1))-AVERAGE(OFFSET($H$3,0,0,'Données projet'!$E$11+1,1))</f>
        <v>215.43756133069593</v>
      </c>
      <c r="BJ8" s="62">
        <f t="shared" si="38"/>
        <v>363.02009369315243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4.625</v>
      </c>
      <c r="BY8" s="13">
        <f>IF('Données projet'!$A$114&gt;35,BY7+BX8-CG7,IF(A8&lt;'Données projet'!$A$114,$BV$205^A8,IF(A8='Données projet'!$A$114,'Données projet'!$B$114,BY7+BX8-CG7)))</f>
        <v>3.838264616350326</v>
      </c>
      <c r="BZ8" s="14">
        <f>BY8*VLOOKUP('Données projet'!$B$12,Paramètres!$A$1:$I$89,3,0)*VLOOKUP('Données projet'!$B$12,Paramètres!$A$1:$I$89,5,0)</f>
        <v>1.6965129604268441</v>
      </c>
      <c r="CA8" s="14">
        <f t="shared" si="39"/>
        <v>0.73517171673608495</v>
      </c>
      <c r="CB8" s="22">
        <f t="shared" si="10"/>
        <v>4.235184146058768</v>
      </c>
      <c r="CC8" s="62">
        <f t="shared" si="11"/>
        <v>267.01296192383654</v>
      </c>
      <c r="CD8" s="62">
        <f ca="1">AVERAGE(OFFSET($CC$3,0,0,'Données projet'!$E$12+1,1))-AVERAGE(OFFSET($H$3,0,0,'Données projet'!$E$12+1,1))</f>
        <v>461.75392711528474</v>
      </c>
      <c r="CE8" s="62">
        <f t="shared" si="40"/>
        <v>441.67157957428236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4.8636363636363633</v>
      </c>
      <c r="CT8" s="13">
        <f>IF('Données projet'!$A$140&gt;35,CT7+CS8-DB7,IF(A8&lt;'Données projet'!$A$140,$CQ$205^A8,IF(A8='Données projet'!$A$140,'Données projet'!$B$140,CT7+CS8-DB7)))</f>
        <v>2.8921684609861789</v>
      </c>
      <c r="CU8" s="18">
        <f>CT8*VLOOKUP('Données projet'!$B$13,Paramètres!$A$1:$I$89,3,0)*VLOOKUP('Données projet'!$B$13,Paramètres!$A$1:$I$89,5,0)</f>
        <v>1.7295167396697351</v>
      </c>
      <c r="CV8" s="14">
        <f t="shared" si="41"/>
        <v>0.74779471502106798</v>
      </c>
      <c r="CW8" s="22">
        <f t="shared" si="13"/>
        <v>4.3146507835864822</v>
      </c>
      <c r="CX8" s="62">
        <f t="shared" si="14"/>
        <v>267.09242856136427</v>
      </c>
      <c r="CY8" s="62">
        <f ca="1">AVERAGE(OFFSET($CX$3,0,0,'Données projet'!$E$13+1,1))-AVERAGE(OFFSET($H$3,0,0,'Données projet'!$E$13+1,1))</f>
        <v>338.72479490324491</v>
      </c>
      <c r="CZ8" s="62">
        <f t="shared" si="42"/>
        <v>248.47107558211923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2.7766898902321886</v>
      </c>
      <c r="P9" s="14">
        <f t="shared" si="33"/>
        <v>1.1361949561012803</v>
      </c>
      <c r="Q9" s="22">
        <f t="shared" si="2"/>
        <v>6.8149411073641248</v>
      </c>
      <c r="R9" s="62">
        <f t="shared" si="0"/>
        <v>270.81494110736412</v>
      </c>
      <c r="S9" s="62">
        <f ca="1">AVERAGE(OFFSET($R$3,0,0,'Données projet'!$E$9+1,1))-AVERAGE(OFFSET($H$3,0,0,'Données projet'!$E$9+1,1))</f>
        <v>430.11660085503223</v>
      </c>
      <c r="T9" s="62">
        <f t="shared" si="34"/>
        <v>231.36959598460686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IF('Données projet'!$A$62&gt;35,AI8+AH9-AQ8,IF(A9&lt;'Données projet'!$A$62,$AF$205^A9,IF(A9='Données projet'!$A$62,'Données projet'!$B$62,AI8+AH9-AQ8)))</f>
        <v>3.0688438220956993</v>
      </c>
      <c r="AJ9" s="14">
        <f>AI9*VLOOKUP('Données projet'!$B$10,Paramètres!$A$1:$I$89,3,0)*VLOOKUP('Données projet'!$B$10,Paramètres!$A$1:$I$89,5,0)</f>
        <v>2.9681857447309605</v>
      </c>
      <c r="AK9" s="14">
        <f t="shared" si="35"/>
        <v>1.2051613041728233</v>
      </c>
      <c r="AL9" s="22">
        <f t="shared" si="4"/>
        <v>7.2685794435074236</v>
      </c>
      <c r="AM9" s="62">
        <f t="shared" si="5"/>
        <v>271.26857944350741</v>
      </c>
      <c r="AN9" s="62">
        <f ca="1">AVERAGE(OFFSET($AM$3,0,0,'Données projet'!$E$10+1,1))-AVERAGE(OFFSET($H$3,0,0,'Données projet'!$E$10+1,1))</f>
        <v>456.86147223520601</v>
      </c>
      <c r="AO9" s="62">
        <f t="shared" si="36"/>
        <v>244.45149244446094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4.0552083333333337</v>
      </c>
      <c r="BD9" s="13">
        <f>IF('Données projet'!$A$88&gt;35,BD8+BC9-BL8,IF(A9&lt;'Données projet'!$A$88,$BA$205^A9,IF(A9='Données projet'!$A$88,'Données projet'!$B$88,BD8+BC9-BL8)))</f>
        <v>6.9758512025415227</v>
      </c>
      <c r="BE9" s="14">
        <f>BD9*VLOOKUP('Données projet'!$B$11,Paramètres!$A$1:$I$89,3,0)*VLOOKUP('Données projet'!$B$11,Paramètres!$A$1:$I$89,5,0)</f>
        <v>4.1715590191198313</v>
      </c>
      <c r="BF9" s="14">
        <f t="shared" si="37"/>
        <v>1.6279749737252278</v>
      </c>
      <c r="BG9" s="22">
        <f t="shared" si="7"/>
        <v>10.100855037538478</v>
      </c>
      <c r="BH9" s="62">
        <f t="shared" si="8"/>
        <v>274.10085503753845</v>
      </c>
      <c r="BI9" s="62">
        <f ca="1">AVERAGE(OFFSET($BH$3,0,0,'Données projet'!$E$11+1,1))-AVERAGE(OFFSET($H$3,0,0,'Données projet'!$E$11+1,1))</f>
        <v>215.43756133069593</v>
      </c>
      <c r="BJ9" s="62">
        <f t="shared" si="38"/>
        <v>363.02009369315243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4.625</v>
      </c>
      <c r="BY9" s="13">
        <f>IF('Données projet'!$A$114&gt;35,BY8+BX9-CG8,IF(A9&lt;'Données projet'!$A$114,$BV$205^A9,IF(A9='Données projet'!$A$114,'Données projet'!$B$114,BY8+BX9-CG8)))</f>
        <v>5.0229851579794316</v>
      </c>
      <c r="BZ9" s="14">
        <f>BY9*VLOOKUP('Données projet'!$B$12,Paramètres!$A$1:$I$89,3,0)*VLOOKUP('Données projet'!$B$12,Paramètres!$A$1:$I$89,5,0)</f>
        <v>2.2201594398269093</v>
      </c>
      <c r="CA9" s="14">
        <f t="shared" si="39"/>
        <v>0.93243187720204568</v>
      </c>
      <c r="CB9" s="22">
        <f t="shared" si="10"/>
        <v>5.4907632104920969</v>
      </c>
      <c r="CC9" s="62">
        <f t="shared" si="11"/>
        <v>269.4907632104921</v>
      </c>
      <c r="CD9" s="62">
        <f ca="1">AVERAGE(OFFSET($CC$3,0,0,'Données projet'!$E$12+1,1))-AVERAGE(OFFSET($H$3,0,0,'Données projet'!$E$12+1,1))</f>
        <v>461.75392711528474</v>
      </c>
      <c r="CE9" s="62">
        <f t="shared" si="40"/>
        <v>441.67157957428236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4.8636363636363633</v>
      </c>
      <c r="CT9" s="13">
        <f>IF('Données projet'!$A$140&gt;35,CT8+CS9-DB8,IF(A9&lt;'Données projet'!$A$140,$CQ$205^A9,IF(A9='Données projet'!$A$140,'Données projet'!$B$140,CT8+CS9-DB8)))</f>
        <v>3.5765829592310285</v>
      </c>
      <c r="CU9" s="18">
        <f>CT9*VLOOKUP('Données projet'!$B$13,Paramètres!$A$1:$I$89,3,0)*VLOOKUP('Données projet'!$B$13,Paramètres!$A$1:$I$89,5,0)</f>
        <v>2.1387966096201549</v>
      </c>
      <c r="CV9" s="14">
        <f t="shared" si="41"/>
        <v>0.90217299599829037</v>
      </c>
      <c r="CW9" s="22">
        <f t="shared" si="13"/>
        <v>5.2963553964521255</v>
      </c>
      <c r="CX9" s="62">
        <f t="shared" si="14"/>
        <v>269.2963553964521</v>
      </c>
      <c r="CY9" s="62">
        <f ca="1">AVERAGE(OFFSET($CX$3,0,0,'Données projet'!$E$13+1,1))-AVERAGE(OFFSET($H$3,0,0,'Données projet'!$E$13+1,1))</f>
        <v>338.72479490324491</v>
      </c>
      <c r="CZ9" s="62">
        <f t="shared" si="42"/>
        <v>248.47107558211923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3.3472630510321921</v>
      </c>
      <c r="P10" s="14">
        <f t="shared" si="33"/>
        <v>1.34019505338418</v>
      </c>
      <c r="Q10" s="22">
        <f t="shared" si="2"/>
        <v>8.1639895318585136</v>
      </c>
      <c r="R10" s="62">
        <f t="shared" si="0"/>
        <v>273.38621175408076</v>
      </c>
      <c r="S10" s="62">
        <f ca="1">AVERAGE(OFFSET($R$3,0,0,'Données projet'!$E$9+1,1))-AVERAGE(OFFSET($H$3,0,0,'Données projet'!$E$9+1,1))</f>
        <v>430.11660085503223</v>
      </c>
      <c r="T10" s="62">
        <f t="shared" si="34"/>
        <v>231.36959598460686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IF('Données projet'!$A$62&gt;35,AI9+AH10-AQ9,IF(A10&lt;'Données projet'!$A$62,$AF$205^A10,IF(A10='Données projet'!$A$62,'Données projet'!$B$62,AI9+AH10-AQ9)))</f>
        <v>3.6994507637402658</v>
      </c>
      <c r="AJ10" s="14">
        <f>AI10*VLOOKUP('Données projet'!$B$10,Paramètres!$A$1:$I$89,3,0)*VLOOKUP('Données projet'!$B$10,Paramètres!$A$1:$I$89,5,0)</f>
        <v>3.5781087786895851</v>
      </c>
      <c r="AK10" s="14">
        <f t="shared" si="35"/>
        <v>1.4215440842341414</v>
      </c>
      <c r="AL10" s="22">
        <f t="shared" si="4"/>
        <v>8.707728736258824</v>
      </c>
      <c r="AM10" s="62">
        <f t="shared" si="5"/>
        <v>273.92995095848107</v>
      </c>
      <c r="AN10" s="62">
        <f ca="1">AVERAGE(OFFSET($AM$3,0,0,'Données projet'!$E$10+1,1))-AVERAGE(OFFSET($H$3,0,0,'Données projet'!$E$10+1,1))</f>
        <v>456.86147223520601</v>
      </c>
      <c r="AO10" s="62">
        <f t="shared" si="36"/>
        <v>244.45149244446094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4.0552083333333337</v>
      </c>
      <c r="BD10" s="13">
        <f>IF('Données projet'!$A$88&gt;35,BD9+BC10-BL9,IF(A10&lt;'Données projet'!$A$88,$BA$205^A10,IF(A10='Données projet'!$A$88,'Données projet'!$B$88,BD9+BC10-BL9)))</f>
        <v>9.6426575415392115</v>
      </c>
      <c r="BE10" s="14">
        <f>BD10*VLOOKUP('Données projet'!$B$11,Paramètres!$A$1:$I$89,3,0)*VLOOKUP('Données projet'!$B$11,Paramètres!$A$1:$I$89,5,0)</f>
        <v>5.7663092098404487</v>
      </c>
      <c r="BF10" s="14">
        <f t="shared" si="37"/>
        <v>2.1671125801617181</v>
      </c>
      <c r="BG10" s="22">
        <f t="shared" si="7"/>
        <v>13.817376284253774</v>
      </c>
      <c r="BH10" s="62">
        <f t="shared" si="8"/>
        <v>279.03959850647601</v>
      </c>
      <c r="BI10" s="62">
        <f ca="1">AVERAGE(OFFSET($BH$3,0,0,'Données projet'!$E$11+1,1))-AVERAGE(OFFSET($H$3,0,0,'Données projet'!$E$11+1,1))</f>
        <v>215.43756133069593</v>
      </c>
      <c r="BJ10" s="62">
        <f t="shared" si="38"/>
        <v>363.02009369315243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4.625</v>
      </c>
      <c r="BY10" s="13">
        <f>IF('Données projet'!$A$114&gt;35,BY9+BX10-CG9,IF(A10&lt;'Données projet'!$A$114,$BV$205^A10,IF(A10='Données projet'!$A$114,'Données projet'!$B$114,BY9+BX10-CG9)))</f>
        <v>6.5733820929919</v>
      </c>
      <c r="BZ10" s="14">
        <f>BY10*VLOOKUP('Données projet'!$B$12,Paramètres!$A$1:$I$89,3,0)*VLOOKUP('Données projet'!$B$12,Paramètres!$A$1:$I$89,5,0)</f>
        <v>2.9054348851024199</v>
      </c>
      <c r="CA10" s="14">
        <f t="shared" si="39"/>
        <v>1.1826205848648581</v>
      </c>
      <c r="CB10" s="22">
        <f t="shared" si="10"/>
        <v>7.120029943526343</v>
      </c>
      <c r="CC10" s="62">
        <f t="shared" si="11"/>
        <v>272.34225216574856</v>
      </c>
      <c r="CD10" s="62">
        <f ca="1">AVERAGE(OFFSET($CC$3,0,0,'Données projet'!$E$12+1,1))-AVERAGE(OFFSET($H$3,0,0,'Données projet'!$E$12+1,1))</f>
        <v>461.75392711528474</v>
      </c>
      <c r="CE10" s="62">
        <f t="shared" si="40"/>
        <v>441.67157957428236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4.8636363636363633</v>
      </c>
      <c r="CT10" s="13">
        <f>IF('Données projet'!$A$140&gt;35,CT9+CS10-DB9,IF(A10&lt;'Données projet'!$A$140,$CQ$205^A10,IF(A10='Données projet'!$A$140,'Données projet'!$B$140,CT9+CS10-DB9)))</f>
        <v>4.4229600857689846</v>
      </c>
      <c r="CU10" s="18">
        <f>CT10*VLOOKUP('Données projet'!$B$13,Paramètres!$A$1:$I$89,3,0)*VLOOKUP('Données projet'!$B$13,Paramètres!$A$1:$I$89,5,0)</f>
        <v>2.6449301312898532</v>
      </c>
      <c r="CV10" s="14">
        <f t="shared" si="41"/>
        <v>1.088421860116517</v>
      </c>
      <c r="CW10" s="22">
        <f t="shared" si="13"/>
        <v>6.5022547183660953</v>
      </c>
      <c r="CX10" s="62">
        <f t="shared" si="14"/>
        <v>271.72447694058832</v>
      </c>
      <c r="CY10" s="62">
        <f ca="1">AVERAGE(OFFSET($CX$3,0,0,'Données projet'!$E$13+1,1))-AVERAGE(OFFSET($H$3,0,0,'Données projet'!$E$13+1,1))</f>
        <v>338.72479490324491</v>
      </c>
      <c r="CZ10" s="62">
        <f t="shared" si="42"/>
        <v>248.47107558211923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4.0350814731667564</v>
      </c>
      <c r="P11" s="14">
        <f t="shared" si="33"/>
        <v>1.5808227025391921</v>
      </c>
      <c r="Q11" s="22">
        <f t="shared" si="2"/>
        <v>9.7810331060211926</v>
      </c>
      <c r="R11" s="62">
        <f t="shared" si="0"/>
        <v>276.22547755046565</v>
      </c>
      <c r="S11" s="62">
        <f ca="1">AVERAGE(OFFSET($R$3,0,0,'Données projet'!$E$9+1,1))-AVERAGE(OFFSET($H$3,0,0,'Données projet'!$E$9+1,1))</f>
        <v>430.11660085503223</v>
      </c>
      <c r="T11" s="62">
        <f t="shared" si="34"/>
        <v>231.36959598460686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IF('Données projet'!$A$62&gt;35,AI10+AH11-AQ10,IF(A11&lt;'Données projet'!$A$62,$AF$205^A11,IF(A11='Données projet'!$A$62,'Données projet'!$B$62,AI10+AH11-AQ10)))</f>
        <v>4.4596391171162209</v>
      </c>
      <c r="AJ11" s="14">
        <f>AI11*VLOOKUP('Données projet'!$B$10,Paramètres!$A$1:$I$89,3,0)*VLOOKUP('Données projet'!$B$10,Paramètres!$A$1:$I$89,5,0)</f>
        <v>4.3133629540748091</v>
      </c>
      <c r="AK11" s="14">
        <f t="shared" si="35"/>
        <v>1.6767776864592203</v>
      </c>
      <c r="AL11" s="22">
        <f t="shared" si="4"/>
        <v>10.432828282263435</v>
      </c>
      <c r="AM11" s="62">
        <f t="shared" si="5"/>
        <v>276.87727272670787</v>
      </c>
      <c r="AN11" s="62">
        <f ca="1">AVERAGE(OFFSET($AM$3,0,0,'Données projet'!$E$10+1,1))-AVERAGE(OFFSET($H$3,0,0,'Données projet'!$E$10+1,1))</f>
        <v>456.86147223520601</v>
      </c>
      <c r="AO11" s="62">
        <f t="shared" si="36"/>
        <v>244.45149244446094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4.0552083333333337</v>
      </c>
      <c r="BD11" s="13">
        <f>IF('Données projet'!$A$88&gt;35,BD10+BC11-BL10,IF(A11&lt;'Données projet'!$A$88,$BA$205^A11,IF(A11='Données projet'!$A$88,'Données projet'!$B$88,BD10+BC11-BL10)))</f>
        <v>13.32896040407616</v>
      </c>
      <c r="BE11" s="14">
        <f>BD11*VLOOKUP('Données projet'!$B$11,Paramètres!$A$1:$I$89,3,0)*VLOOKUP('Données projet'!$B$11,Paramètres!$A$1:$I$89,5,0)</f>
        <v>7.9707183216375439</v>
      </c>
      <c r="BF11" s="14">
        <f t="shared" si="37"/>
        <v>2.8847967633978144</v>
      </c>
      <c r="BG11" s="22">
        <f t="shared" si="7"/>
        <v>18.906688773103248</v>
      </c>
      <c r="BH11" s="62">
        <f t="shared" si="8"/>
        <v>285.35113321754773</v>
      </c>
      <c r="BI11" s="62">
        <f ca="1">AVERAGE(OFFSET($BH$3,0,0,'Données projet'!$E$11+1,1))-AVERAGE(OFFSET($H$3,0,0,'Données projet'!$E$11+1,1))</f>
        <v>215.43756133069593</v>
      </c>
      <c r="BJ11" s="62">
        <f t="shared" si="38"/>
        <v>363.02009369315243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4.625</v>
      </c>
      <c r="BY11" s="13">
        <f>IF('Données projet'!$A$114&gt;35,BY10+BX11-CG10,IF(A11&lt;'Données projet'!$A$114,$BV$205^A11,IF(A11='Données projet'!$A$114,'Données projet'!$B$114,BY10+BX11-CG10)))</f>
        <v>8.6023252670426249</v>
      </c>
      <c r="BZ11" s="14">
        <f>BY11*VLOOKUP('Données projet'!$B$12,Paramètres!$A$1:$I$89,3,0)*VLOOKUP('Données projet'!$B$12,Paramètres!$A$1:$I$89,5,0)</f>
        <v>3.8022277680328407</v>
      </c>
      <c r="CA11" s="14">
        <f t="shared" si="39"/>
        <v>1.4999395472652237</v>
      </c>
      <c r="CB11" s="22">
        <f t="shared" si="10"/>
        <v>9.2346080741441288</v>
      </c>
      <c r="CC11" s="62">
        <f t="shared" si="11"/>
        <v>275.67905251858861</v>
      </c>
      <c r="CD11" s="62">
        <f ca="1">AVERAGE(OFFSET($CC$3,0,0,'Données projet'!$E$12+1,1))-AVERAGE(OFFSET($H$3,0,0,'Données projet'!$E$12+1,1))</f>
        <v>461.75392711528474</v>
      </c>
      <c r="CE11" s="62">
        <f t="shared" si="40"/>
        <v>441.67157957428236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4.8636363636363633</v>
      </c>
      <c r="CT11" s="13">
        <f>IF('Données projet'!$A$140&gt;35,CT10+CS11-DB10,IF(A11&lt;'Données projet'!$A$140,$CQ$205^A11,IF(A11='Données projet'!$A$140,'Données projet'!$B$140,CT10+CS11-DB10)))</f>
        <v>5.4696273351678579</v>
      </c>
      <c r="CU11" s="18">
        <f>CT11*VLOOKUP('Données projet'!$B$13,Paramètres!$A$1:$I$89,3,0)*VLOOKUP('Données projet'!$B$13,Paramètres!$A$1:$I$89,5,0)</f>
        <v>3.2708371464303791</v>
      </c>
      <c r="CV11" s="14">
        <f t="shared" si="41"/>
        <v>1.3131208214325043</v>
      </c>
      <c r="CW11" s="22">
        <f t="shared" si="13"/>
        <v>7.9837267940278549</v>
      </c>
      <c r="CX11" s="62">
        <f t="shared" si="14"/>
        <v>274.42817123847232</v>
      </c>
      <c r="CY11" s="62">
        <f ca="1">AVERAGE(OFFSET($CX$3,0,0,'Données projet'!$E$13+1,1))-AVERAGE(OFFSET($H$3,0,0,'Données projet'!$E$13+1,1))</f>
        <v>338.72479490324491</v>
      </c>
      <c r="CZ11" s="62">
        <f t="shared" si="42"/>
        <v>248.47107558211923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4.8642375119197085</v>
      </c>
      <c r="P12" s="14">
        <f t="shared" si="33"/>
        <v>1.8646542609995393</v>
      </c>
      <c r="Q12" s="22">
        <f t="shared" si="2"/>
        <v>11.719486504501022</v>
      </c>
      <c r="R12" s="62">
        <f t="shared" si="0"/>
        <v>279.38615317116773</v>
      </c>
      <c r="S12" s="62">
        <f ca="1">AVERAGE(OFFSET($R$3,0,0,'Données projet'!$E$9+1,1))-AVERAGE(OFFSET($H$3,0,0,'Données projet'!$E$9+1,1))</f>
        <v>430.11660085503223</v>
      </c>
      <c r="T12" s="62">
        <f t="shared" si="34"/>
        <v>231.36959598460686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IF('Données projet'!$A$62&gt;35,AI11+AH12-AQ11,IF(A12&lt;'Données projet'!$A$62,$AF$205^A12,IF(A12='Données projet'!$A$62,'Données projet'!$B$62,AI11+AH12-AQ11)))</f>
        <v>5.3760361537574148</v>
      </c>
      <c r="AJ12" s="14">
        <f>AI12*VLOOKUP('Données projet'!$B$10,Paramètres!$A$1:$I$89,3,0)*VLOOKUP('Données projet'!$B$10,Paramètres!$A$1:$I$89,5,0)</f>
        <v>5.1997021679141717</v>
      </c>
      <c r="AK12" s="14">
        <f t="shared" si="35"/>
        <v>1.977837649208241</v>
      </c>
      <c r="AL12" s="22">
        <f t="shared" si="4"/>
        <v>12.500881848154869</v>
      </c>
      <c r="AM12" s="62">
        <f t="shared" si="5"/>
        <v>280.16754851482153</v>
      </c>
      <c r="AN12" s="62">
        <f ca="1">AVERAGE(OFFSET($AM$3,0,0,'Données projet'!$E$10+1,1))-AVERAGE(OFFSET($H$3,0,0,'Données projet'!$E$10+1,1))</f>
        <v>456.86147223520601</v>
      </c>
      <c r="AO12" s="62">
        <f t="shared" si="36"/>
        <v>244.45149244446094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4.0552083333333337</v>
      </c>
      <c r="BD12" s="13">
        <f>IF('Données projet'!$A$88&gt;35,BD11+BC12-BL11,IF(A12&lt;'Données projet'!$A$88,$BA$205^A12,IF(A12='Données projet'!$A$88,'Données projet'!$B$88,BD11+BC12-BL11)))</f>
        <v>18.424504312020908</v>
      </c>
      <c r="BE12" s="14">
        <f>BD12*VLOOKUP('Données projet'!$B$11,Paramètres!$A$1:$I$89,3,0)*VLOOKUP('Données projet'!$B$11,Paramètres!$A$1:$I$89,5,0)</f>
        <v>11.017853578588504</v>
      </c>
      <c r="BF12" s="14">
        <f t="shared" si="37"/>
        <v>3.8401569176851367</v>
      </c>
      <c r="BG12" s="22">
        <f t="shared" si="7"/>
        <v>25.877701614343255</v>
      </c>
      <c r="BH12" s="62">
        <f t="shared" si="8"/>
        <v>293.54436828100995</v>
      </c>
      <c r="BI12" s="62">
        <f ca="1">AVERAGE(OFFSET($BH$3,0,0,'Données projet'!$E$11+1,1))-AVERAGE(OFFSET($H$3,0,0,'Données projet'!$E$11+1,1))</f>
        <v>215.43756133069593</v>
      </c>
      <c r="BJ12" s="62">
        <f t="shared" si="38"/>
        <v>363.02009369315243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4.625</v>
      </c>
      <c r="BY12" s="13">
        <f>IF('Données projet'!$A$114&gt;35,BY11+BX12-CG11,IF(A12&lt;'Données projet'!$A$114,$BV$205^A12,IF(A12='Données projet'!$A$114,'Données projet'!$B$114,BY11+BX12-CG11)))</f>
        <v>11.257522984841218</v>
      </c>
      <c r="BZ12" s="14">
        <f>BY12*VLOOKUP('Données projet'!$B$12,Paramètres!$A$1:$I$89,3,0)*VLOOKUP('Données projet'!$B$12,Paramètres!$A$1:$I$89,5,0)</f>
        <v>4.9758251592998191</v>
      </c>
      <c r="CA12" s="14">
        <f t="shared" si="39"/>
        <v>1.9024010525804427</v>
      </c>
      <c r="CB12" s="22">
        <f t="shared" si="10"/>
        <v>11.97957731902479</v>
      </c>
      <c r="CC12" s="62">
        <f t="shared" si="11"/>
        <v>279.64624398569146</v>
      </c>
      <c r="CD12" s="62">
        <f ca="1">AVERAGE(OFFSET($CC$3,0,0,'Données projet'!$E$12+1,1))-AVERAGE(OFFSET($H$3,0,0,'Données projet'!$E$12+1,1))</f>
        <v>461.75392711528474</v>
      </c>
      <c r="CE12" s="62">
        <f t="shared" si="40"/>
        <v>441.67157957428236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4.8636363636363633</v>
      </c>
      <c r="CT12" s="13">
        <f>IF('Données projet'!$A$140&gt;35,CT11+CS12-DB11,IF(A12&lt;'Données projet'!$A$140,$CQ$205^A12,IF(A12='Données projet'!$A$140,'Données projet'!$B$140,CT11+CS12-DB11)))</f>
        <v>6.7639821760711287</v>
      </c>
      <c r="CU12" s="18">
        <f>CT12*VLOOKUP('Données projet'!$B$13,Paramètres!$A$1:$I$89,3,0)*VLOOKUP('Données projet'!$B$13,Paramètres!$A$1:$I$89,5,0)</f>
        <v>4.0448613412905354</v>
      </c>
      <c r="CV12" s="14">
        <f t="shared" si="41"/>
        <v>1.5842077000318497</v>
      </c>
      <c r="CW12" s="22">
        <f t="shared" si="13"/>
        <v>9.8039619136364866</v>
      </c>
      <c r="CX12" s="62">
        <f t="shared" si="14"/>
        <v>277.47062858030318</v>
      </c>
      <c r="CY12" s="62">
        <f ca="1">AVERAGE(OFFSET($CX$3,0,0,'Données projet'!$E$13+1,1))-AVERAGE(OFFSET($H$3,0,0,'Données projet'!$E$13+1,1))</f>
        <v>338.72479490324491</v>
      </c>
      <c r="CZ12" s="62">
        <f t="shared" si="42"/>
        <v>248.47107558211923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5.8637741839194364</v>
      </c>
      <c r="P13" s="14">
        <f t="shared" si="33"/>
        <v>2.1994468497187687</v>
      </c>
      <c r="Q13" s="22">
        <f t="shared" si="2"/>
        <v>14.043443300253207</v>
      </c>
      <c r="R13" s="62">
        <f t="shared" si="0"/>
        <v>282.93233218914207</v>
      </c>
      <c r="S13" s="62">
        <f ca="1">AVERAGE(OFFSET($R$3,0,0,'Données projet'!$E$9+1,1))-AVERAGE(OFFSET($H$3,0,0,'Données projet'!$E$9+1,1))</f>
        <v>430.11660085503223</v>
      </c>
      <c r="T13" s="62">
        <f t="shared" si="34"/>
        <v>231.36959598460686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IF('Données projet'!$A$62&gt;35,AI12+AH13-AQ12,IF(A13&lt;'Données projet'!$A$62,$AF$205^A13,IF(A13='Données projet'!$A$62,'Données projet'!$B$62,AI12+AH13-AQ12)))</f>
        <v>6.4807406984078657</v>
      </c>
      <c r="AJ13" s="14">
        <f>AI13*VLOOKUP('Données projet'!$B$10,Paramètres!$A$1:$I$89,3,0)*VLOOKUP('Données projet'!$B$10,Paramètres!$A$1:$I$89,5,0)</f>
        <v>6.2681724035000874</v>
      </c>
      <c r="AK13" s="14">
        <f t="shared" si="35"/>
        <v>2.3329519459947301</v>
      </c>
      <c r="AL13" s="22">
        <f t="shared" si="4"/>
        <v>14.98029157537014</v>
      </c>
      <c r="AM13" s="62">
        <f t="shared" si="5"/>
        <v>283.86918046425899</v>
      </c>
      <c r="AN13" s="62">
        <f ca="1">AVERAGE(OFFSET($AM$3,0,0,'Données projet'!$E$10+1,1))-AVERAGE(OFFSET($H$3,0,0,'Données projet'!$E$10+1,1))</f>
        <v>456.86147223520601</v>
      </c>
      <c r="AO13" s="62">
        <f t="shared" si="36"/>
        <v>244.45149244446094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4.0552083333333337</v>
      </c>
      <c r="BD13" s="13">
        <f>IF('Données projet'!$A$88&gt;35,BD12+BC13-BL12,IF(A13&lt;'Données projet'!$A$88,$BA$205^A13,IF(A13='Données projet'!$A$88,'Données projet'!$B$88,BD12+BC13-BL12)))</f>
        <v>25.46802967768328</v>
      </c>
      <c r="BE13" s="14">
        <f>BD13*VLOOKUP('Données projet'!$B$11,Paramètres!$A$1:$I$89,3,0)*VLOOKUP('Données projet'!$B$11,Paramètres!$A$1:$I$89,5,0)</f>
        <v>15.229881747254604</v>
      </c>
      <c r="BF13" s="14">
        <f t="shared" si="37"/>
        <v>5.1119043599715157</v>
      </c>
      <c r="BG13" s="22">
        <f t="shared" si="7"/>
        <v>35.428610803418827</v>
      </c>
      <c r="BH13" s="62">
        <f t="shared" si="8"/>
        <v>304.31749969230771</v>
      </c>
      <c r="BI13" s="62">
        <f ca="1">AVERAGE(OFFSET($BH$3,0,0,'Données projet'!$E$11+1,1))-AVERAGE(OFFSET($H$3,0,0,'Données projet'!$E$11+1,1))</f>
        <v>215.43756133069593</v>
      </c>
      <c r="BJ13" s="62">
        <f t="shared" si="38"/>
        <v>363.02009369315243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4.625</v>
      </c>
      <c r="BY13" s="13">
        <f>IF('Données projet'!$A$114&gt;35,BY12+BX13-CG12,IF(A13&lt;'Données projet'!$A$114,$BV$205^A13,IF(A13='Données projet'!$A$114,'Données projet'!$B$114,BY12+BX13-CG12)))</f>
        <v>14.732275265126914</v>
      </c>
      <c r="BZ13" s="14">
        <f>BY13*VLOOKUP('Données projet'!$B$12,Paramètres!$A$1:$I$89,3,0)*VLOOKUP('Données projet'!$B$12,Paramètres!$A$1:$I$89,5,0)</f>
        <v>6.5116656671860973</v>
      </c>
      <c r="CA13" s="14">
        <f t="shared" si="39"/>
        <v>2.4128504188437345</v>
      </c>
      <c r="CB13" s="22">
        <f t="shared" si="10"/>
        <v>15.543532183168628</v>
      </c>
      <c r="CC13" s="62">
        <f t="shared" si="11"/>
        <v>284.43242107205748</v>
      </c>
      <c r="CD13" s="62">
        <f ca="1">AVERAGE(OFFSET($CC$3,0,0,'Données projet'!$E$12+1,1))-AVERAGE(OFFSET($H$3,0,0,'Données projet'!$E$12+1,1))</f>
        <v>461.75392711528474</v>
      </c>
      <c r="CE13" s="62">
        <f t="shared" si="40"/>
        <v>441.67157957428236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4.8636363636363633</v>
      </c>
      <c r="CT13" s="13">
        <f>IF('Données projet'!$A$140&gt;35,CT12+CS13-DB12,IF(A13&lt;'Données projet'!$A$140,$CQ$205^A13,IF(A13='Données projet'!$A$140,'Données projet'!$B$140,CT12+CS13-DB12)))</f>
        <v>8.3646384067231629</v>
      </c>
      <c r="CU13" s="18">
        <f>CT13*VLOOKUP('Données projet'!$B$13,Paramètres!$A$1:$I$89,3,0)*VLOOKUP('Données projet'!$B$13,Paramètres!$A$1:$I$89,5,0)</f>
        <v>5.0020537672204517</v>
      </c>
      <c r="CV13" s="14">
        <f t="shared" si="41"/>
        <v>1.9112590371557101</v>
      </c>
      <c r="CW13" s="22">
        <f t="shared" si="13"/>
        <v>12.040686467621816</v>
      </c>
      <c r="CX13" s="62">
        <f t="shared" si="14"/>
        <v>280.92957535651067</v>
      </c>
      <c r="CY13" s="62">
        <f ca="1">AVERAGE(OFFSET($CX$3,0,0,'Données projet'!$E$13+1,1))-AVERAGE(OFFSET($H$3,0,0,'Données projet'!$E$13+1,1))</f>
        <v>338.72479490324491</v>
      </c>
      <c r="CZ13" s="62">
        <f t="shared" si="42"/>
        <v>248.47107558211923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7.0687024627689707</v>
      </c>
      <c r="P14" s="14">
        <f t="shared" si="33"/>
        <v>2.5943503554083325</v>
      </c>
      <c r="Q14" s="22">
        <f t="shared" si="2"/>
        <v>16.829816991658799</v>
      </c>
      <c r="R14" s="62">
        <f t="shared" si="0"/>
        <v>286.94092810276993</v>
      </c>
      <c r="S14" s="62">
        <f ca="1">AVERAGE(OFFSET($R$3,0,0,'Données projet'!$E$9+1,1))-AVERAGE(OFFSET($H$3,0,0,'Données projet'!$E$9+1,1))</f>
        <v>430.11660085503223</v>
      </c>
      <c r="T14" s="62">
        <f t="shared" si="34"/>
        <v>231.36959598460686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IF('Données projet'!$A$62&gt;35,AI13+AH14-AQ13,IF(A14&lt;'Données projet'!$A$62,$AF$205^A14,IF(A14='Données projet'!$A$62,'Données projet'!$B$62,AI13+AH14-AQ13)))</f>
        <v>7.8124474610620815</v>
      </c>
      <c r="AJ14" s="14">
        <f>AI14*VLOOKUP('Données projet'!$B$10,Paramètres!$A$1:$I$89,3,0)*VLOOKUP('Données projet'!$B$10,Paramètres!$A$1:$I$89,5,0)</f>
        <v>7.5561991843392455</v>
      </c>
      <c r="AK14" s="14">
        <f t="shared" si="35"/>
        <v>2.7518258561310041</v>
      </c>
      <c r="AL14" s="22">
        <f t="shared" si="4"/>
        <v>17.953143612152349</v>
      </c>
      <c r="AM14" s="62">
        <f t="shared" si="5"/>
        <v>288.0642547232635</v>
      </c>
      <c r="AN14" s="62">
        <f ca="1">AVERAGE(OFFSET($AM$3,0,0,'Données projet'!$E$10+1,1))-AVERAGE(OFFSET($H$3,0,0,'Données projet'!$E$10+1,1))</f>
        <v>456.86147223520601</v>
      </c>
      <c r="AO14" s="62">
        <f t="shared" si="36"/>
        <v>244.45149244446094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4.0552083333333337</v>
      </c>
      <c r="BD14" s="13">
        <f>IF('Données projet'!$A$88&gt;35,BD13+BC14-BL13,IF(A14&lt;'Données projet'!$A$88,$BA$205^A14,IF(A14='Données projet'!$A$88,'Données projet'!$B$88,BD13+BC14-BL13)))</f>
        <v>35.204232617545621</v>
      </c>
      <c r="BE14" s="14">
        <f>BD14*VLOOKUP('Données projet'!$B$11,Paramètres!$A$1:$I$89,3,0)*VLOOKUP('Données projet'!$B$11,Paramètres!$A$1:$I$89,5,0)</f>
        <v>21.052131105292283</v>
      </c>
      <c r="BF14" s="14">
        <f t="shared" si="37"/>
        <v>6.8048172888851708</v>
      </c>
      <c r="BG14" s="22">
        <f t="shared" si="7"/>
        <v>48.517518453192395</v>
      </c>
      <c r="BH14" s="62">
        <f t="shared" si="8"/>
        <v>318.62862956430354</v>
      </c>
      <c r="BI14" s="62">
        <f ca="1">AVERAGE(OFFSET($BH$3,0,0,'Données projet'!$E$11+1,1))-AVERAGE(OFFSET($H$3,0,0,'Données projet'!$E$11+1,1))</f>
        <v>215.43756133069593</v>
      </c>
      <c r="BJ14" s="62">
        <f t="shared" si="38"/>
        <v>363.02009369315243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4.625</v>
      </c>
      <c r="BY14" s="13">
        <f>IF('Données projet'!$A$114&gt;35,BY13+BX14-CG13,IF(A14&lt;'Données projet'!$A$114,$BV$205^A14,IF(A14='Données projet'!$A$114,'Données projet'!$B$114,BY13+BX14-CG13)))</f>
        <v>19.279546200325303</v>
      </c>
      <c r="BZ14" s="14">
        <f>BY14*VLOOKUP('Données projet'!$B$12,Paramètres!$A$1:$I$89,3,0)*VLOOKUP('Données projet'!$B$12,Paramètres!$A$1:$I$89,5,0)</f>
        <v>8.5215594205437846</v>
      </c>
      <c r="CA14" s="14">
        <f t="shared" si="39"/>
        <v>3.0602627851879864</v>
      </c>
      <c r="CB14" s="22">
        <f t="shared" si="10"/>
        <v>20.171673674982838</v>
      </c>
      <c r="CC14" s="62">
        <f t="shared" si="11"/>
        <v>290.282784786094</v>
      </c>
      <c r="CD14" s="62">
        <f ca="1">AVERAGE(OFFSET($CC$3,0,0,'Données projet'!$E$12+1,1))-AVERAGE(OFFSET($H$3,0,0,'Données projet'!$E$12+1,1))</f>
        <v>461.75392711528474</v>
      </c>
      <c r="CE14" s="62">
        <f t="shared" si="40"/>
        <v>441.67157957428236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4.8636363636363633</v>
      </c>
      <c r="CT14" s="13">
        <f>IF('Données projet'!$A$140&gt;35,CT13+CS14-DB13,IF(A14&lt;'Données projet'!$A$140,$CQ$205^A14,IF(A14='Données projet'!$A$140,'Données projet'!$B$140,CT13+CS14-DB13)))</f>
        <v>10.344080432788598</v>
      </c>
      <c r="CU14" s="18">
        <f>CT14*VLOOKUP('Données projet'!$B$13,Paramètres!$A$1:$I$89,3,0)*VLOOKUP('Données projet'!$B$13,Paramètres!$A$1:$I$89,5,0)</f>
        <v>6.1857600988075827</v>
      </c>
      <c r="CV14" s="14">
        <f t="shared" si="41"/>
        <v>2.3058284005537484</v>
      </c>
      <c r="CW14" s="22">
        <f t="shared" si="13"/>
        <v>14.789516636387651</v>
      </c>
      <c r="CX14" s="62">
        <f t="shared" si="14"/>
        <v>284.90062774749879</v>
      </c>
      <c r="CY14" s="62">
        <f ca="1">AVERAGE(OFFSET($CX$3,0,0,'Données projet'!$E$13+1,1))-AVERAGE(OFFSET($H$3,0,0,'Données projet'!$E$13+1,1))</f>
        <v>338.72479490324491</v>
      </c>
      <c r="CZ14" s="62">
        <f t="shared" si="42"/>
        <v>248.47107558211923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8.521227615514638</v>
      </c>
      <c r="P15" s="14">
        <f t="shared" si="33"/>
        <v>3.0601574970852128</v>
      </c>
      <c r="Q15" s="22">
        <f t="shared" si="2"/>
        <v>20.170912404444739</v>
      </c>
      <c r="R15" s="62">
        <f t="shared" si="0"/>
        <v>291.50424573777804</v>
      </c>
      <c r="S15" s="62">
        <f ca="1">AVERAGE(OFFSET($R$3,0,0,'Données projet'!$E$9+1,1))-AVERAGE(OFFSET($H$3,0,0,'Données projet'!$E$9+1,1))</f>
        <v>430.11660085503223</v>
      </c>
      <c r="T15" s="62">
        <f t="shared" si="34"/>
        <v>231.36959598460686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IF('Données projet'!$A$62&gt;35,AI14+AH15-AQ14,IF(A15&lt;'Données projet'!$A$62,$AF$205^A15,IF(A15='Données projet'!$A$62,'Données projet'!$B$62,AI14+AH15-AQ14)))</f>
        <v>9.4178024044149407</v>
      </c>
      <c r="AJ15" s="14">
        <f>AI15*VLOOKUP('Données projet'!$B$10,Paramètres!$A$1:$I$89,3,0)*VLOOKUP('Données projet'!$B$10,Paramètres!$A$1:$I$89,5,0)</f>
        <v>9.1088984855501316</v>
      </c>
      <c r="AK15" s="14">
        <f t="shared" si="35"/>
        <v>3.2459072101643005</v>
      </c>
      <c r="AL15" s="22">
        <f t="shared" si="4"/>
        <v>21.517953253369303</v>
      </c>
      <c r="AM15" s="62">
        <f t="shared" si="5"/>
        <v>292.8512865867026</v>
      </c>
      <c r="AN15" s="62">
        <f ca="1">AVERAGE(OFFSET($AM$3,0,0,'Données projet'!$E$10+1,1))-AVERAGE(OFFSET($H$3,0,0,'Données projet'!$E$10+1,1))</f>
        <v>456.86147223520601</v>
      </c>
      <c r="AO15" s="62">
        <f t="shared" si="36"/>
        <v>244.45149244446094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>
        <f>VLOOKUP(A15,'Données projet'!$A$87:$I$107,2,0)</f>
        <v>48.662500000000001</v>
      </c>
      <c r="BB15" s="13">
        <f>VLOOKUP(A15,'Données projet'!$A$87:$I$107,9,0)</f>
        <v>4.0552083333333337</v>
      </c>
      <c r="BC15" s="13">
        <f t="array" ref="BC15">INDEX(BB:BB,MIN(IF(ISNUMBER(BB15:BB211),ROW(BB15:BB211),"")))</f>
        <v>4.0552083333333337</v>
      </c>
      <c r="BD15" s="13">
        <f>IF('Données projet'!$A$88&gt;35,BD14+BC15-BL14,IF(A15&lt;'Données projet'!$A$88,$BA$205^A15,IF(A15='Données projet'!$A$88,'Données projet'!$B$88,BD14+BC15-BL14)))</f>
        <v>48.662500000000001</v>
      </c>
      <c r="BE15" s="14">
        <f>BD15*VLOOKUP('Données projet'!$B$11,Paramètres!$A$1:$I$89,3,0)*VLOOKUP('Données projet'!$B$11,Paramètres!$A$1:$I$89,5,0)</f>
        <v>29.100175</v>
      </c>
      <c r="BF15" s="14">
        <f t="shared" si="37"/>
        <v>9.0583733721044215</v>
      </c>
      <c r="BG15" s="22">
        <f t="shared" si="7"/>
        <v>66.459471748081853</v>
      </c>
      <c r="BH15" s="62">
        <f t="shared" si="8"/>
        <v>337.79280508141517</v>
      </c>
      <c r="BI15" s="62">
        <f ca="1">AVERAGE(OFFSET($BH$3,0,0,'Données projet'!$E$11+1,1))-AVERAGE(OFFSET($H$3,0,0,'Données projet'!$E$11+1,1))</f>
        <v>215.43756133069593</v>
      </c>
      <c r="BJ15" s="62">
        <f t="shared" si="38"/>
        <v>363.02009369315243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4.625</v>
      </c>
      <c r="BY15" s="13">
        <f>IF('Données projet'!$A$114&gt;35,BY14+BX15-CG14,IF(A15&lt;'Données projet'!$A$114,$BV$205^A15,IF(A15='Données projet'!$A$114,'Données projet'!$B$114,BY14+BX15-CG14)))</f>
        <v>25.230379897281651</v>
      </c>
      <c r="BZ15" s="14">
        <f>BY15*VLOOKUP('Données projet'!$B$12,Paramètres!$A$1:$I$89,3,0)*VLOOKUP('Données projet'!$B$12,Paramètres!$A$1:$I$89,5,0)</f>
        <v>11.15182791459849</v>
      </c>
      <c r="CA15" s="14">
        <f t="shared" si="39"/>
        <v>3.8813878561500079</v>
      </c>
      <c r="CB15" s="22">
        <f t="shared" si="10"/>
        <v>26.182850800720303</v>
      </c>
      <c r="CC15" s="62">
        <f t="shared" si="11"/>
        <v>297.51618413405362</v>
      </c>
      <c r="CD15" s="62">
        <f ca="1">AVERAGE(OFFSET($CC$3,0,0,'Données projet'!$E$12+1,1))-AVERAGE(OFFSET($H$3,0,0,'Données projet'!$E$12+1,1))</f>
        <v>461.75392711528474</v>
      </c>
      <c r="CE15" s="62">
        <f t="shared" si="40"/>
        <v>441.67157957428236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4.8636363636363633</v>
      </c>
      <c r="CT15" s="13">
        <f>IF('Données projet'!$A$140&gt;35,CT14+CS15-DB14,IF(A15&lt;'Données projet'!$A$140,$CQ$205^A15,IF(A15='Données projet'!$A$140,'Données projet'!$B$140,CT14+CS15-DB14)))</f>
        <v>12.791945664261782</v>
      </c>
      <c r="CU15" s="18">
        <f>CT15*VLOOKUP('Données projet'!$B$13,Paramètres!$A$1:$I$89,3,0)*VLOOKUP('Données projet'!$B$13,Paramètres!$A$1:$I$89,5,0)</f>
        <v>7.6495835072285452</v>
      </c>
      <c r="CV15" s="14">
        <f t="shared" si="41"/>
        <v>2.7818545311956537</v>
      </c>
      <c r="CW15" s="22">
        <f t="shared" si="13"/>
        <v>18.168087916922143</v>
      </c>
      <c r="CX15" s="62">
        <f t="shared" si="14"/>
        <v>289.50142125025548</v>
      </c>
      <c r="CY15" s="62">
        <f ca="1">AVERAGE(OFFSET($CX$3,0,0,'Données projet'!$E$13+1,1))-AVERAGE(OFFSET($H$3,0,0,'Données projet'!$E$13+1,1))</f>
        <v>338.72479490324491</v>
      </c>
      <c r="CZ15" s="62">
        <f t="shared" si="42"/>
        <v>248.47107558211923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10.272227535089344</v>
      </c>
      <c r="P16" s="14">
        <f t="shared" si="33"/>
        <v>3.6095987912522753</v>
      </c>
      <c r="Q16" s="22">
        <f t="shared" si="2"/>
        <v>24.177514185044988</v>
      </c>
      <c r="R16" s="62">
        <f t="shared" si="0"/>
        <v>296.73306974060051</v>
      </c>
      <c r="S16" s="62">
        <f ca="1">AVERAGE(OFFSET($R$3,0,0,'Données projet'!$E$9+1,1))-AVERAGE(OFFSET($H$3,0,0,'Données projet'!$E$9+1,1))</f>
        <v>430.11660085503223</v>
      </c>
      <c r="T16" s="62">
        <f t="shared" si="34"/>
        <v>231.36959598460686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IF('Données projet'!$A$62&gt;35,AI15+AH16-AQ15,IF(A16&lt;'Données projet'!$A$62,$AF$205^A16,IF(A16='Données projet'!$A$62,'Données projet'!$B$62,AI15+AH16-AQ15)))</f>
        <v>11.35303662145153</v>
      </c>
      <c r="AJ16" s="14">
        <f>AI16*VLOOKUP('Données projet'!$B$10,Paramètres!$A$1:$I$89,3,0)*VLOOKUP('Données projet'!$B$10,Paramètres!$A$1:$I$89,5,0)</f>
        <v>10.98065702026792</v>
      </c>
      <c r="AK16" s="14">
        <f t="shared" si="35"/>
        <v>3.8286992592655618</v>
      </c>
      <c r="AL16" s="22">
        <f t="shared" si="4"/>
        <v>25.792962186854144</v>
      </c>
      <c r="AM16" s="62">
        <f t="shared" si="5"/>
        <v>298.34851774240968</v>
      </c>
      <c r="AN16" s="62">
        <f ca="1">AVERAGE(OFFSET($AM$3,0,0,'Données projet'!$E$10+1,1))-AVERAGE(OFFSET($H$3,0,0,'Données projet'!$E$10+1,1))</f>
        <v>456.86147223520601</v>
      </c>
      <c r="AO16" s="62">
        <f t="shared" si="36"/>
        <v>244.45149244446094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>
        <f>VLOOKUP(A16,'Données projet'!$A$87:$I$107,2,0)</f>
        <v>66.096000000000004</v>
      </c>
      <c r="BB16" s="13">
        <f>VLOOKUP(A16,'Données projet'!$A$87:$I$107,9,0)</f>
        <v>17.433500000000002</v>
      </c>
      <c r="BC16" s="13">
        <f t="array" ref="BC16">INDEX(BB:BB,MIN(IF(ISNUMBER(BB16:BB212),ROW(BB16:BB212),"")))</f>
        <v>17.433500000000002</v>
      </c>
      <c r="BD16" s="13">
        <f>IF('Données projet'!$A$88&gt;35,BD15+BC16-BL15,IF(A16&lt;'Données projet'!$A$88,$BA$205^A16,IF(A16='Données projet'!$A$88,'Données projet'!$B$88,BD15+BC16-BL15)))</f>
        <v>66.096000000000004</v>
      </c>
      <c r="BE16" s="14">
        <f>BD16*VLOOKUP('Données projet'!$B$11,Paramètres!$A$1:$I$89,3,0)*VLOOKUP('Données projet'!$B$11,Paramètres!$A$1:$I$89,5,0)</f>
        <v>39.525408000000006</v>
      </c>
      <c r="BF16" s="14">
        <f t="shared" si="37"/>
        <v>11.872768996466366</v>
      </c>
      <c r="BG16" s="22">
        <f t="shared" si="7"/>
        <v>89.518491602178926</v>
      </c>
      <c r="BH16" s="62">
        <f t="shared" si="8"/>
        <v>362.07404715773447</v>
      </c>
      <c r="BI16" s="62">
        <f ca="1">AVERAGE(OFFSET($BH$3,0,0,'Données projet'!$E$11+1,1))-AVERAGE(OFFSET($H$3,0,0,'Données projet'!$E$11+1,1))</f>
        <v>215.43756133069593</v>
      </c>
      <c r="BJ16" s="62">
        <f t="shared" si="38"/>
        <v>363.02009369315243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4.625</v>
      </c>
      <c r="BY16" s="13">
        <f>IF('Données projet'!$A$114&gt;35,BY15+BX16-CG15,IF(A16&lt;'Données projet'!$A$114,$BV$205^A16,IF(A16='Données projet'!$A$114,'Données projet'!$B$114,BY15+BX16-CG15)))</f>
        <v>33.018000690826078</v>
      </c>
      <c r="BZ16" s="14">
        <f>BY16*VLOOKUP('Données projet'!$B$12,Paramètres!$A$1:$I$89,3,0)*VLOOKUP('Données projet'!$B$12,Paramètres!$A$1:$I$89,5,0)</f>
        <v>14.593956305345127</v>
      </c>
      <c r="CA16" s="14">
        <f t="shared" si="39"/>
        <v>4.9228359612729591</v>
      </c>
      <c r="CB16" s="22">
        <f t="shared" si="10"/>
        <v>33.9917465310265</v>
      </c>
      <c r="CC16" s="62">
        <f t="shared" si="11"/>
        <v>306.54730208658202</v>
      </c>
      <c r="CD16" s="62">
        <f ca="1">AVERAGE(OFFSET($CC$3,0,0,'Données projet'!$E$12+1,1))-AVERAGE(OFFSET($H$3,0,0,'Données projet'!$E$12+1,1))</f>
        <v>461.75392711528474</v>
      </c>
      <c r="CE16" s="62">
        <f t="shared" si="40"/>
        <v>441.67157957428236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4.8636363636363633</v>
      </c>
      <c r="CT16" s="13">
        <f>IF('Données projet'!$A$140&gt;35,CT15+CS16-DB15,IF(A16&lt;'Données projet'!$A$140,$CQ$205^A16,IF(A16='Données projet'!$A$140,'Données projet'!$B$140,CT15+CS16-DB15)))</f>
        <v>15.819083672120358</v>
      </c>
      <c r="CU16" s="18">
        <f>CT16*VLOOKUP('Données projet'!$B$13,Paramètres!$A$1:$I$89,3,0)*VLOOKUP('Données projet'!$B$13,Paramètres!$A$1:$I$89,5,0)</f>
        <v>9.4598120359279747</v>
      </c>
      <c r="CV16" s="14">
        <f t="shared" si="41"/>
        <v>3.356153749721936</v>
      </c>
      <c r="CW16" s="22">
        <f t="shared" si="13"/>
        <v>22.321140410006929</v>
      </c>
      <c r="CX16" s="62">
        <f t="shared" si="14"/>
        <v>294.87669596556248</v>
      </c>
      <c r="CY16" s="62">
        <f ca="1">AVERAGE(OFFSET($CX$3,0,0,'Données projet'!$E$13+1,1))-AVERAGE(OFFSET($H$3,0,0,'Données projet'!$E$13+1,1))</f>
        <v>338.72479490324491</v>
      </c>
      <c r="CZ16" s="62">
        <f t="shared" si="42"/>
        <v>248.47107558211923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12.383034850580612</v>
      </c>
      <c r="P17" s="14">
        <f t="shared" si="33"/>
        <v>4.2576904771143838</v>
      </c>
      <c r="Q17" s="22">
        <f t="shared" si="2"/>
        <v>28.982596612402116</v>
      </c>
      <c r="R17" s="62">
        <f t="shared" si="0"/>
        <v>302.76037439017989</v>
      </c>
      <c r="S17" s="62">
        <f ca="1">AVERAGE(OFFSET($R$3,0,0,'Données projet'!$E$9+1,1))-AVERAGE(OFFSET($H$3,0,0,'Données projet'!$E$9+1,1))</f>
        <v>430.11660085503223</v>
      </c>
      <c r="T17" s="62">
        <f t="shared" si="34"/>
        <v>231.36959598460686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IF('Données projet'!$A$62&gt;35,AI16+AH17-AQ16,IF(A17&lt;'Données projet'!$A$62,$AF$205^A17,IF(A17='Données projet'!$A$62,'Données projet'!$B$62,AI16+AH17-AQ16)))</f>
        <v>13.685935953338433</v>
      </c>
      <c r="AJ17" s="14">
        <f>AI17*VLOOKUP('Données projet'!$B$10,Paramètres!$A$1:$I$89,3,0)*VLOOKUP('Données projet'!$B$10,Paramètres!$A$1:$I$89,5,0)</f>
        <v>13.237037254068934</v>
      </c>
      <c r="AK17" s="14">
        <f t="shared" si="35"/>
        <v>4.5161297192961545</v>
      </c>
      <c r="AL17" s="22">
        <f t="shared" si="4"/>
        <v>30.920099145277529</v>
      </c>
      <c r="AM17" s="62">
        <f t="shared" si="5"/>
        <v>304.69787692305528</v>
      </c>
      <c r="AN17" s="62">
        <f ca="1">AVERAGE(OFFSET($AM$3,0,0,'Données projet'!$E$10+1,1))-AVERAGE(OFFSET($H$3,0,0,'Données projet'!$E$10+1,1))</f>
        <v>456.86147223520601</v>
      </c>
      <c r="AO17" s="62">
        <f t="shared" si="36"/>
        <v>244.45149244446094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>
        <f>VLOOKUP(A17,'Données projet'!$A$87:$I$107,2,0)</f>
        <v>85.756500000000003</v>
      </c>
      <c r="BB17" s="13">
        <f>VLOOKUP(A17,'Données projet'!$A$87:$I$107,9,0)</f>
        <v>19.660499999999999</v>
      </c>
      <c r="BC17" s="13">
        <f t="array" ref="BC17">INDEX(BB:BB,MIN(IF(ISNUMBER(BB17:BB213),ROW(BB17:BB213),"")))</f>
        <v>19.660499999999999</v>
      </c>
      <c r="BD17" s="13">
        <f>IF('Données projet'!$A$88&gt;35,BD16+BC17-BL16,IF(A17&lt;'Données projet'!$A$88,$BA$205^A17,IF(A17='Données projet'!$A$88,'Données projet'!$B$88,BD16+BC17-BL16)))</f>
        <v>85.756500000000003</v>
      </c>
      <c r="BE17" s="14">
        <f>BD17*VLOOKUP('Données projet'!$B$11,Paramètres!$A$1:$I$89,3,0)*VLOOKUP('Données projet'!$B$11,Paramètres!$A$1:$I$89,5,0)</f>
        <v>51.282387000000007</v>
      </c>
      <c r="BF17" s="14">
        <f t="shared" si="37"/>
        <v>14.944451998773655</v>
      </c>
      <c r="BG17" s="22">
        <f t="shared" si="7"/>
        <v>115.34507792286411</v>
      </c>
      <c r="BH17" s="62">
        <f t="shared" si="8"/>
        <v>389.12285570064188</v>
      </c>
      <c r="BI17" s="62">
        <f ca="1">AVERAGE(OFFSET($BH$3,0,0,'Données projet'!$E$11+1,1))-AVERAGE(OFFSET($H$3,0,0,'Données projet'!$E$11+1,1))</f>
        <v>215.43756133069593</v>
      </c>
      <c r="BJ17" s="62">
        <f t="shared" si="38"/>
        <v>363.02009369315243</v>
      </c>
      <c r="BK17" s="16">
        <f>IF(ISNA(VLOOKUP(A17,'Données projet'!$A$87:$I$107,3,0)),0,VLOOKUP(A17,'Données projet'!$A$87:$I$107,3,0))</f>
        <v>1</v>
      </c>
      <c r="BL17" s="16">
        <f>IF(ISNA(VLOOKUP(A17,'Données projet'!$A$87:$I$107,4,0)),0,VLOOKUP(A17,'Données projet'!$A$87:$I$107,4,0))</f>
        <v>22.2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1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15.031063089042348</v>
      </c>
      <c r="BS17" s="24">
        <f t="shared" si="9"/>
        <v>15.031063089042348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4.625</v>
      </c>
      <c r="BY17" s="13">
        <f>IF('Données projet'!$A$114&gt;35,BY16+BX17-CG16,IF(A17&lt;'Données projet'!$A$114,$BV$205^A17,IF(A17='Données projet'!$A$114,'Données projet'!$B$114,BY16+BX17-CG16)))</f>
        <v>43.209352140466557</v>
      </c>
      <c r="BZ17" s="14">
        <f>BY17*VLOOKUP('Données projet'!$B$12,Paramètres!$A$1:$I$89,3,0)*VLOOKUP('Données projet'!$B$12,Paramètres!$A$1:$I$89,5,0)</f>
        <v>19.098533646086221</v>
      </c>
      <c r="CA17" s="14">
        <f t="shared" si="39"/>
        <v>6.2437238430586888</v>
      </c>
      <c r="CB17" s="22">
        <f t="shared" si="10"/>
        <v>44.137765126927377</v>
      </c>
      <c r="CC17" s="62">
        <f t="shared" si="11"/>
        <v>317.91554290470515</v>
      </c>
      <c r="CD17" s="62">
        <f ca="1">AVERAGE(OFFSET($CC$3,0,0,'Données projet'!$E$12+1,1))-AVERAGE(OFFSET($H$3,0,0,'Données projet'!$E$12+1,1))</f>
        <v>461.75392711528474</v>
      </c>
      <c r="CE17" s="62">
        <f t="shared" si="40"/>
        <v>441.67157957428236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4.8636363636363633</v>
      </c>
      <c r="CT17" s="13">
        <f>IF('Données projet'!$A$140&gt;35,CT16+CS17-DB16,IF(A17&lt;'Données projet'!$A$140,$CQ$205^A17,IF(A17='Données projet'!$A$140,'Données projet'!$B$140,CT16+CS17-DB16)))</f>
        <v>19.562575920305584</v>
      </c>
      <c r="CU17" s="18">
        <f>CT17*VLOOKUP('Données projet'!$B$13,Paramètres!$A$1:$I$89,3,0)*VLOOKUP('Données projet'!$B$13,Paramètres!$A$1:$I$89,5,0)</f>
        <v>11.698420400342741</v>
      </c>
      <c r="CV17" s="14">
        <f t="shared" si="41"/>
        <v>4.0490140176134179</v>
      </c>
      <c r="CW17" s="22">
        <f t="shared" si="13"/>
        <v>27.42678161127364</v>
      </c>
      <c r="CX17" s="62">
        <f t="shared" si="14"/>
        <v>301.20455938905138</v>
      </c>
      <c r="CY17" s="62">
        <f ca="1">AVERAGE(OFFSET($CX$3,0,0,'Données projet'!$E$13+1,1))-AVERAGE(OFFSET($H$3,0,0,'Données projet'!$E$13+1,1))</f>
        <v>338.72479490324491</v>
      </c>
      <c r="CZ17" s="62">
        <f t="shared" si="42"/>
        <v>248.47107558211923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14.927585237660953</v>
      </c>
      <c r="P18" s="14">
        <f t="shared" si="33"/>
        <v>5.0221449106318534</v>
      </c>
      <c r="Q18" s="22">
        <f t="shared" si="2"/>
        <v>34.745780008276633</v>
      </c>
      <c r="R18" s="62">
        <f t="shared" si="0"/>
        <v>309.74578000827665</v>
      </c>
      <c r="S18" s="62">
        <f ca="1">AVERAGE(OFFSET($R$3,0,0,'Données projet'!$E$9+1,1))-AVERAGE(OFFSET($H$3,0,0,'Données projet'!$E$9+1,1))</f>
        <v>430.11660085503223</v>
      </c>
      <c r="T18" s="62">
        <f t="shared" si="34"/>
        <v>231.36959598460686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IF('Données projet'!$A$62&gt;35,AI17+AH18-AQ17,IF(A18&lt;'Données projet'!$A$62,$AF$205^A18,IF(A18='Données projet'!$A$62,'Données projet'!$B$62,AI17+AH18-AQ17)))</f>
        <v>16.498215337821566</v>
      </c>
      <c r="AJ18" s="14">
        <f>AI18*VLOOKUP('Données projet'!$B$10,Paramètres!$A$1:$I$89,3,0)*VLOOKUP('Données projet'!$B$10,Paramètres!$A$1:$I$89,5,0)</f>
        <v>15.957073874741019</v>
      </c>
      <c r="AK18" s="14">
        <f t="shared" si="35"/>
        <v>5.3269860755326848</v>
      </c>
      <c r="AL18" s="22">
        <f t="shared" si="4"/>
        <v>37.069737746726702</v>
      </c>
      <c r="AM18" s="62">
        <f t="shared" si="5"/>
        <v>312.06973774672667</v>
      </c>
      <c r="AN18" s="62">
        <f ca="1">AVERAGE(OFFSET($AM$3,0,0,'Données projet'!$E$10+1,1))-AVERAGE(OFFSET($H$3,0,0,'Données projet'!$E$10+1,1))</f>
        <v>456.86147223520601</v>
      </c>
      <c r="AO18" s="62">
        <f t="shared" si="36"/>
        <v>244.45149244446094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79.950999999999993</v>
      </c>
      <c r="BB18" s="13">
        <f>VLOOKUP(A18,'Données projet'!$A$87:$I$107,9,0)</f>
        <v>16.394499999999994</v>
      </c>
      <c r="BC18" s="13">
        <f t="array" ref="BC18">INDEX(BB:BB,MIN(IF(ISNUMBER(BB18:BB214),ROW(BB18:BB214),"")))</f>
        <v>16.394499999999994</v>
      </c>
      <c r="BD18" s="13">
        <f>IF('Données projet'!$A$88&gt;35,BD17+BC18-BL17,IF(A18&lt;'Données projet'!$A$88,$BA$205^A18,IF(A18='Données projet'!$A$88,'Données projet'!$B$88,BD17+BC18-BL17)))</f>
        <v>79.950999999999993</v>
      </c>
      <c r="BE18" s="14">
        <f>BD18*VLOOKUP('Données projet'!$B$11,Paramètres!$A$1:$I$89,3,0)*VLOOKUP('Données projet'!$B$11,Paramètres!$A$1:$I$89,5,0)</f>
        <v>47.810698000000002</v>
      </c>
      <c r="BF18" s="14">
        <f t="shared" si="37"/>
        <v>14.046898010995823</v>
      </c>
      <c r="BG18" s="22">
        <f t="shared" si="7"/>
        <v>107.7353130524844</v>
      </c>
      <c r="BH18" s="62">
        <f t="shared" si="8"/>
        <v>382.7353130524844</v>
      </c>
      <c r="BI18" s="62">
        <f ca="1">AVERAGE(OFFSET($BH$3,0,0,'Données projet'!$E$11+1,1))-AVERAGE(OFFSET($H$3,0,0,'Données projet'!$E$11+1,1))</f>
        <v>215.43756133069593</v>
      </c>
      <c r="BJ18" s="62">
        <f t="shared" si="38"/>
        <v>363.02009369315243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10.62856663870466</v>
      </c>
      <c r="BS18" s="24">
        <f t="shared" si="9"/>
        <v>10.62856663870466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4.625</v>
      </c>
      <c r="BY18" s="13">
        <f>IF('Données projet'!$A$114&gt;35,BY17+BX18-CG17,IF(A18&lt;'Données projet'!$A$114,$BV$205^A18,IF(A18='Données projet'!$A$114,'Données projet'!$B$114,BY17+BX18-CG17)))</f>
        <v>56.546370868469758</v>
      </c>
      <c r="BZ18" s="14">
        <f>BY18*VLOOKUP('Données projet'!$B$12,Paramètres!$A$1:$I$89,3,0)*VLOOKUP('Données projet'!$B$12,Paramètres!$A$1:$I$89,5,0)</f>
        <v>24.993495923863637</v>
      </c>
      <c r="CA18" s="14">
        <f t="shared" si="39"/>
        <v>7.9190303587322779</v>
      </c>
      <c r="CB18" s="22">
        <f t="shared" si="10"/>
        <v>57.322649942187887</v>
      </c>
      <c r="CC18" s="62">
        <f t="shared" si="11"/>
        <v>332.32264994218787</v>
      </c>
      <c r="CD18" s="62">
        <f ca="1">AVERAGE(OFFSET($CC$3,0,0,'Données projet'!$E$12+1,1))-AVERAGE(OFFSET($H$3,0,0,'Données projet'!$E$12+1,1))</f>
        <v>461.75392711528474</v>
      </c>
      <c r="CE18" s="62">
        <f t="shared" si="40"/>
        <v>441.67157957428236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4.8636363636363633</v>
      </c>
      <c r="CT18" s="13">
        <f>IF('Données projet'!$A$140&gt;35,CT17+CS18-DB17,IF(A18&lt;'Données projet'!$A$140,$CQ$205^A18,IF(A18='Données projet'!$A$140,'Données projet'!$B$140,CT17+CS18-DB17)))</f>
        <v>24.19194338747841</v>
      </c>
      <c r="CU18" s="18">
        <f>CT18*VLOOKUP('Données projet'!$B$13,Paramètres!$A$1:$I$89,3,0)*VLOOKUP('Données projet'!$B$13,Paramètres!$A$1:$I$89,5,0)</f>
        <v>14.466782145712092</v>
      </c>
      <c r="CV18" s="14">
        <f t="shared" si="41"/>
        <v>4.8849116391608316</v>
      </c>
      <c r="CW18" s="22">
        <f t="shared" si="13"/>
        <v>33.704200008653665</v>
      </c>
      <c r="CX18" s="62">
        <f t="shared" si="14"/>
        <v>308.70420000865369</v>
      </c>
      <c r="CY18" s="62">
        <f ca="1">AVERAGE(OFFSET($CX$3,0,0,'Données projet'!$E$13+1,1))-AVERAGE(OFFSET($H$3,0,0,'Données projet'!$E$13+1,1))</f>
        <v>338.72479490324491</v>
      </c>
      <c r="CZ18" s="62">
        <f t="shared" si="42"/>
        <v>248.47107558211923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17.995007178485412</v>
      </c>
      <c r="P19" s="14">
        <f t="shared" si="33"/>
        <v>5.9238546434872337</v>
      </c>
      <c r="Q19" s="22">
        <f t="shared" si="2"/>
        <v>41.658684339935689</v>
      </c>
      <c r="R19" s="62">
        <f t="shared" si="0"/>
        <v>317.88090656215792</v>
      </c>
      <c r="S19" s="62">
        <f ca="1">AVERAGE(OFFSET($R$3,0,0,'Données projet'!$E$9+1,1))-AVERAGE(OFFSET($H$3,0,0,'Données projet'!$E$9+1,1))</f>
        <v>430.11660085503223</v>
      </c>
      <c r="T19" s="62">
        <f t="shared" si="34"/>
        <v>231.36959598460686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IF('Données projet'!$A$62&gt;35,AI18+AH19-AQ18,IF(A19&lt;'Données projet'!$A$62,$AF$205^A19,IF(A19='Données projet'!$A$62,'Données projet'!$B$62,AI18+AH19-AQ18)))</f>
        <v>19.888381054913147</v>
      </c>
      <c r="AJ19" s="14">
        <f>AI19*VLOOKUP('Données projet'!$B$10,Paramètres!$A$1:$I$89,3,0)*VLOOKUP('Données projet'!$B$10,Paramètres!$A$1:$I$89,5,0)</f>
        <v>19.236042156311996</v>
      </c>
      <c r="AK19" s="14">
        <f t="shared" si="35"/>
        <v>6.2834290449348904</v>
      </c>
      <c r="AL19" s="22">
        <f t="shared" si="4"/>
        <v>44.446412342171662</v>
      </c>
      <c r="AM19" s="62">
        <f t="shared" si="5"/>
        <v>320.66863456439387</v>
      </c>
      <c r="AN19" s="62">
        <f ca="1">AVERAGE(OFFSET($AM$3,0,0,'Données projet'!$E$10+1,1))-AVERAGE(OFFSET($H$3,0,0,'Données projet'!$E$10+1,1))</f>
        <v>456.86147223520601</v>
      </c>
      <c r="AO19" s="62">
        <f t="shared" si="36"/>
        <v>244.45149244446094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>
        <f>VLOOKUP(A19,'Données projet'!$A$87:$I$107,2,0)</f>
        <v>90.686499999999995</v>
      </c>
      <c r="BB19" s="13">
        <f>VLOOKUP(A19,'Données projet'!$A$87:$I$107,9,0)</f>
        <v>10.735500000000002</v>
      </c>
      <c r="BC19" s="13">
        <f t="array" ref="BC19">INDEX(BB:BB,MIN(IF(ISNUMBER(BB19:BB215),ROW(BB19:BB215),"")))</f>
        <v>10.735500000000002</v>
      </c>
      <c r="BD19" s="13">
        <f>IF('Données projet'!$A$88&gt;35,BD18+BC19-BL18,IF(A19&lt;'Données projet'!$A$88,$BA$205^A19,IF(A19='Données projet'!$A$88,'Données projet'!$B$88,BD18+BC19-BL18)))</f>
        <v>90.686499999999995</v>
      </c>
      <c r="BE19" s="14">
        <f>BD19*VLOOKUP('Données projet'!$B$11,Paramètres!$A$1:$I$89,3,0)*VLOOKUP('Données projet'!$B$11,Paramètres!$A$1:$I$89,5,0)</f>
        <v>54.230527000000002</v>
      </c>
      <c r="BF19" s="14">
        <f t="shared" si="37"/>
        <v>15.701093813174976</v>
      </c>
      <c r="BG19" s="22">
        <f t="shared" si="7"/>
        <v>121.79757291627975</v>
      </c>
      <c r="BH19" s="62">
        <f t="shared" si="8"/>
        <v>398.01979513850199</v>
      </c>
      <c r="BI19" s="62">
        <f ca="1">AVERAGE(OFFSET($BH$3,0,0,'Données projet'!$E$11+1,1))-AVERAGE(OFFSET($H$3,0,0,'Données projet'!$E$11+1,1))</f>
        <v>215.43756133069593</v>
      </c>
      <c r="BJ19" s="62">
        <f t="shared" si="38"/>
        <v>363.02009369315243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7.5155315445211759</v>
      </c>
      <c r="BS19" s="24">
        <f t="shared" si="9"/>
        <v>7.5155315445211759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>
        <f>VLOOKUP(A19,'Données projet'!$A$113:$I$133,2,0)</f>
        <v>74</v>
      </c>
      <c r="BW19" s="13">
        <f>VLOOKUP(A19,'Données projet'!$A$113:$I$133,9,0)</f>
        <v>4.625</v>
      </c>
      <c r="BX19" s="13">
        <f t="array" ref="BX19">INDEX(BW:BW,MIN(IF(ISNUMBER(BW19:BW215),ROW(BW19:BW215),"")))</f>
        <v>4.625</v>
      </c>
      <c r="BY19" s="13">
        <f>IF('Données projet'!$A$114&gt;35,BY18+BX19-CG18,IF(A19&lt;'Données projet'!$A$114,$BV$205^A19,IF(A19='Données projet'!$A$114,'Données projet'!$B$114,BY18+BX19-CG18)))</f>
        <v>74</v>
      </c>
      <c r="BZ19" s="14">
        <f>BY19*VLOOKUP('Données projet'!$B$12,Paramètres!$A$1:$I$89,3,0)*VLOOKUP('Données projet'!$B$12,Paramètres!$A$1:$I$89,5,0)</f>
        <v>32.707999999999998</v>
      </c>
      <c r="CA19" s="14">
        <f t="shared" si="39"/>
        <v>10.04385257881656</v>
      </c>
      <c r="CB19" s="22">
        <f t="shared" si="10"/>
        <v>74.459476574772168</v>
      </c>
      <c r="CC19" s="62">
        <f t="shared" si="11"/>
        <v>350.6816987969944</v>
      </c>
      <c r="CD19" s="62">
        <f ca="1">AVERAGE(OFFSET($CC$3,0,0,'Données projet'!$E$12+1,1))-AVERAGE(OFFSET($H$3,0,0,'Données projet'!$E$12+1,1))</f>
        <v>461.75392711528474</v>
      </c>
      <c r="CE19" s="62">
        <f t="shared" si="40"/>
        <v>441.67157957428236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4.8636363636363633</v>
      </c>
      <c r="CT19" s="13">
        <f>IF('Données projet'!$A$140&gt;35,CT18+CS19-DB18,IF(A19&lt;'Données projet'!$A$140,$CQ$205^A19,IF(A19='Données projet'!$A$140,'Données projet'!$B$140,CT18+CS19-DB18)))</f>
        <v>29.916823185615442</v>
      </c>
      <c r="CU19" s="18">
        <f>CT19*VLOOKUP('Données projet'!$B$13,Paramètres!$A$1:$I$89,3,0)*VLOOKUP('Données projet'!$B$13,Paramètres!$A$1:$I$89,5,0)</f>
        <v>17.890260264998037</v>
      </c>
      <c r="CV19" s="14">
        <f t="shared" si="41"/>
        <v>5.8933759227818108</v>
      </c>
      <c r="CW19" s="22">
        <f t="shared" si="13"/>
        <v>41.423166360383227</v>
      </c>
      <c r="CX19" s="62">
        <f t="shared" si="14"/>
        <v>317.64538858260545</v>
      </c>
      <c r="CY19" s="62">
        <f ca="1">AVERAGE(OFFSET($CX$3,0,0,'Données projet'!$E$13+1,1))-AVERAGE(OFFSET($H$3,0,0,'Données projet'!$E$13+1,1))</f>
        <v>338.72479490324491</v>
      </c>
      <c r="CZ19" s="62">
        <f t="shared" si="42"/>
        <v>248.47107558211923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21.692743883101215</v>
      </c>
      <c r="P20" s="14">
        <f t="shared" si="33"/>
        <v>6.98746341685115</v>
      </c>
      <c r="Q20" s="22">
        <f t="shared" si="2"/>
        <v>49.951361047417038</v>
      </c>
      <c r="R20" s="62">
        <f t="shared" si="0"/>
        <v>327.39580549186149</v>
      </c>
      <c r="S20" s="62">
        <f ca="1">AVERAGE(OFFSET($R$3,0,0,'Données projet'!$E$9+1,1))-AVERAGE(OFFSET($H$3,0,0,'Données projet'!$E$9+1,1))</f>
        <v>430.11660085503223</v>
      </c>
      <c r="T20" s="62">
        <f t="shared" si="34"/>
        <v>231.36959598460686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IF('Données projet'!$A$62&gt;35,AI19+AH20-AQ19,IF(A20&lt;'Données projet'!$A$62,$AF$205^A20,IF(A20='Données projet'!$A$62,'Données projet'!$B$62,AI19+AH20-AQ19)))</f>
        <v>23.975181126327602</v>
      </c>
      <c r="AJ20" s="14">
        <f>AI20*VLOOKUP('Données projet'!$B$10,Paramètres!$A$1:$I$89,3,0)*VLOOKUP('Données projet'!$B$10,Paramètres!$A$1:$I$89,5,0)</f>
        <v>23.188795185384055</v>
      </c>
      <c r="AK20" s="14">
        <f t="shared" si="35"/>
        <v>7.4115982288884323</v>
      </c>
      <c r="AL20" s="22">
        <f t="shared" si="4"/>
        <v>53.29568519652458</v>
      </c>
      <c r="AM20" s="62">
        <f t="shared" si="5"/>
        <v>330.74012964096903</v>
      </c>
      <c r="AN20" s="62">
        <f ca="1">AVERAGE(OFFSET($AM$3,0,0,'Données projet'!$E$10+1,1))-AVERAGE(OFFSET($H$3,0,0,'Données projet'!$E$10+1,1))</f>
        <v>456.86147223520601</v>
      </c>
      <c r="AO20" s="62">
        <f t="shared" si="36"/>
        <v>244.45149244446094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>
        <f>VLOOKUP(A20,'Données projet'!$A$87:$I$107,2,0)</f>
        <v>103.054</v>
      </c>
      <c r="BB20" s="13">
        <f>VLOOKUP(A20,'Données projet'!$A$87:$I$107,9,0)</f>
        <v>12.367500000000007</v>
      </c>
      <c r="BC20" s="13">
        <f t="array" ref="BC20">INDEX(BB:BB,MIN(IF(ISNUMBER(BB20:BB216),ROW(BB20:BB216),"")))</f>
        <v>12.367500000000007</v>
      </c>
      <c r="BD20" s="13">
        <f>IF('Données projet'!$A$88&gt;35,BD19+BC20-BL19,IF(A20&lt;'Données projet'!$A$88,$BA$205^A20,IF(A20='Données projet'!$A$88,'Données projet'!$B$88,BD19+BC20-BL19)))</f>
        <v>103.054</v>
      </c>
      <c r="BE20" s="14">
        <f>BD20*VLOOKUP('Données projet'!$B$11,Paramètres!$A$1:$I$89,3,0)*VLOOKUP('Données projet'!$B$11,Paramètres!$A$1:$I$89,5,0)</f>
        <v>61.626291999999999</v>
      </c>
      <c r="BF20" s="14">
        <f t="shared" si="37"/>
        <v>17.578804471187219</v>
      </c>
      <c r="BG20" s="22">
        <f t="shared" si="7"/>
        <v>137.94887635398439</v>
      </c>
      <c r="BH20" s="62">
        <f t="shared" si="8"/>
        <v>415.39332079842882</v>
      </c>
      <c r="BI20" s="62">
        <f ca="1">AVERAGE(OFFSET($BH$3,0,0,'Données projet'!$E$11+1,1))-AVERAGE(OFFSET($H$3,0,0,'Données projet'!$E$11+1,1))</f>
        <v>215.43756133069593</v>
      </c>
      <c r="BJ20" s="62">
        <f t="shared" si="38"/>
        <v>363.02009369315243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5.3142833193523309</v>
      </c>
      <c r="BS20" s="24">
        <f t="shared" si="9"/>
        <v>5.3142833193523309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25.2</v>
      </c>
      <c r="BY20" s="13">
        <f>IF('Données projet'!$A$114&gt;35,BY19+BX20-CG19,IF(A20&lt;'Données projet'!$A$114,$BV$205^A20,IF(A20='Données projet'!$A$114,'Données projet'!$B$114,BY19+BX20-CG19)))</f>
        <v>99.2</v>
      </c>
      <c r="BZ20" s="14">
        <f>BY20*VLOOKUP('Données projet'!$B$12,Paramètres!$A$1:$I$89,3,0)*VLOOKUP('Données projet'!$B$12,Paramètres!$A$1:$I$89,5,0)</f>
        <v>43.846400000000003</v>
      </c>
      <c r="CA20" s="14">
        <f t="shared" si="39"/>
        <v>13.012624436289581</v>
      </c>
      <c r="CB20" s="22">
        <f t="shared" si="10"/>
        <v>99.029467559871023</v>
      </c>
      <c r="CC20" s="62">
        <f t="shared" si="11"/>
        <v>376.47391200431548</v>
      </c>
      <c r="CD20" s="62">
        <f ca="1">AVERAGE(OFFSET($CC$3,0,0,'Données projet'!$E$12+1,1))-AVERAGE(OFFSET($H$3,0,0,'Données projet'!$E$12+1,1))</f>
        <v>461.75392711528474</v>
      </c>
      <c r="CE20" s="62">
        <f t="shared" si="40"/>
        <v>441.67157957428236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4.8636363636363633</v>
      </c>
      <c r="CT20" s="13">
        <f>IF('Données projet'!$A$140&gt;35,CT19+CS20-DB19,IF(A20&lt;'Données projet'!$A$140,$CQ$205^A20,IF(A20='Données projet'!$A$140,'Données projet'!$B$140,CT19+CS20-DB19)))</f>
        <v>36.996461804826815</v>
      </c>
      <c r="CU20" s="18">
        <f>CT20*VLOOKUP('Données projet'!$B$13,Paramètres!$A$1:$I$89,3,0)*VLOOKUP('Données projet'!$B$13,Paramètres!$A$1:$I$89,5,0)</f>
        <v>22.123884159286437</v>
      </c>
      <c r="CV20" s="14">
        <f t="shared" si="41"/>
        <v>7.1100323471134184</v>
      </c>
      <c r="CW20" s="22">
        <f t="shared" si="13"/>
        <v>50.91573791531308</v>
      </c>
      <c r="CX20" s="62">
        <f t="shared" si="14"/>
        <v>328.36018235975752</v>
      </c>
      <c r="CY20" s="62">
        <f ca="1">AVERAGE(OFFSET($CX$3,0,0,'Données projet'!$E$13+1,1))-AVERAGE(OFFSET($H$3,0,0,'Données projet'!$E$13+1,1))</f>
        <v>338.72479490324491</v>
      </c>
      <c r="CZ20" s="62">
        <f t="shared" si="42"/>
        <v>248.47107558211923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26.150316724543362</v>
      </c>
      <c r="P21" s="14">
        <f t="shared" si="33"/>
        <v>8.2420396752158016</v>
      </c>
      <c r="Q21" s="22">
        <f t="shared" si="2"/>
        <v>59.900020729580547</v>
      </c>
      <c r="R21" s="62">
        <f t="shared" si="0"/>
        <v>338.56668739624723</v>
      </c>
      <c r="S21" s="62">
        <f ca="1">AVERAGE(OFFSET($R$3,0,0,'Données projet'!$E$9+1,1))-AVERAGE(OFFSET($H$3,0,0,'Données projet'!$E$9+1,1))</f>
        <v>430.11660085503223</v>
      </c>
      <c r="T21" s="62">
        <f t="shared" si="34"/>
        <v>231.36959598460686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IF('Données projet'!$A$62&gt;35,AI20+AH21-AQ20,IF(A21&lt;'Données projet'!$A$62,$AF$205^A21,IF(A21='Données projet'!$A$62,'Données projet'!$B$62,AI20+AH21-AQ20)))</f>
        <v>28.901764726506816</v>
      </c>
      <c r="AJ21" s="14">
        <f>AI21*VLOOKUP('Données projet'!$B$10,Paramètres!$A$1:$I$89,3,0)*VLOOKUP('Données projet'!$B$10,Paramètres!$A$1:$I$89,5,0)</f>
        <v>27.953786843477392</v>
      </c>
      <c r="AK21" s="14">
        <f t="shared" si="35"/>
        <v>8.7423265089215931</v>
      </c>
      <c r="AL21" s="22">
        <f t="shared" si="4"/>
        <v>63.912397422094891</v>
      </c>
      <c r="AM21" s="62">
        <f t="shared" si="5"/>
        <v>342.57906408876158</v>
      </c>
      <c r="AN21" s="62">
        <f ca="1">AVERAGE(OFFSET($AM$3,0,0,'Données projet'!$E$10+1,1))-AVERAGE(OFFSET($H$3,0,0,'Données projet'!$E$10+1,1))</f>
        <v>456.86147223520601</v>
      </c>
      <c r="AO21" s="62">
        <f t="shared" si="36"/>
        <v>244.45149244446094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>
        <f>VLOOKUP(A21,'Données projet'!$A$87:$I$107,2,0)</f>
        <v>116.78149999999999</v>
      </c>
      <c r="BB21" s="13">
        <f>VLOOKUP(A21,'Données projet'!$A$87:$I$107,9,0)</f>
        <v>13.727499999999992</v>
      </c>
      <c r="BC21" s="13">
        <f t="array" ref="BC21">INDEX(BB:BB,MIN(IF(ISNUMBER(BB21:BB217),ROW(BB21:BB217),"")))</f>
        <v>13.727499999999992</v>
      </c>
      <c r="BD21" s="13">
        <f>IF('Données projet'!$A$88&gt;35,BD20+BC21-BL20,IF(A21&lt;'Données projet'!$A$88,$BA$205^A21,IF(A21='Données projet'!$A$88,'Données projet'!$B$88,BD20+BC21-BL20)))</f>
        <v>116.78149999999999</v>
      </c>
      <c r="BE21" s="14">
        <f>BD21*VLOOKUP('Données projet'!$B$11,Paramètres!$A$1:$I$89,3,0)*VLOOKUP('Données projet'!$B$11,Paramètres!$A$1:$I$89,5,0)</f>
        <v>69.83533700000001</v>
      </c>
      <c r="BF21" s="14">
        <f t="shared" si="37"/>
        <v>19.632560341829297</v>
      </c>
      <c r="BG21" s="22">
        <f t="shared" si="7"/>
        <v>155.82325453701938</v>
      </c>
      <c r="BH21" s="62">
        <f t="shared" si="8"/>
        <v>434.48992120368609</v>
      </c>
      <c r="BI21" s="62">
        <f ca="1">AVERAGE(OFFSET($BH$3,0,0,'Données projet'!$E$11+1,1))-AVERAGE(OFFSET($H$3,0,0,'Données projet'!$E$11+1,1))</f>
        <v>215.43756133069593</v>
      </c>
      <c r="BJ21" s="62">
        <f t="shared" si="38"/>
        <v>363.02009369315243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3.7577657722605884</v>
      </c>
      <c r="BS21" s="24">
        <f t="shared" si="9"/>
        <v>3.7577657722605884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25.2</v>
      </c>
      <c r="BY21" s="13">
        <f>IF('Données projet'!$A$114&gt;35,BY20+BX21-CG20,IF(A21&lt;'Données projet'!$A$114,$BV$205^A21,IF(A21='Données projet'!$A$114,'Données projet'!$B$114,BY20+BX21-CG20)))</f>
        <v>124.4</v>
      </c>
      <c r="BZ21" s="14">
        <f>BY21*VLOOKUP('Données projet'!$B$12,Paramètres!$A$1:$I$89,3,0)*VLOOKUP('Données projet'!$B$12,Paramètres!$A$1:$I$89,5,0)</f>
        <v>54.984800000000007</v>
      </c>
      <c r="CA21" s="14">
        <f t="shared" si="39"/>
        <v>15.89389977743782</v>
      </c>
      <c r="CB21" s="22">
        <f t="shared" si="10"/>
        <v>123.44706877903754</v>
      </c>
      <c r="CC21" s="62">
        <f t="shared" si="11"/>
        <v>402.11373544570421</v>
      </c>
      <c r="CD21" s="62">
        <f ca="1">AVERAGE(OFFSET($CC$3,0,0,'Données projet'!$E$12+1,1))-AVERAGE(OFFSET($H$3,0,0,'Données projet'!$E$12+1,1))</f>
        <v>461.75392711528474</v>
      </c>
      <c r="CE21" s="62">
        <f t="shared" si="40"/>
        <v>441.67157957428236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4.8636363636363633</v>
      </c>
      <c r="CT21" s="13">
        <f>IF('Données projet'!$A$140&gt;35,CT20+CS21-DB20,IF(A21&lt;'Données projet'!$A$140,$CQ$205^A21,IF(A21='Données projet'!$A$140,'Données projet'!$B$140,CT20+CS21-DB20)))</f>
        <v>45.751454878207923</v>
      </c>
      <c r="CU21" s="18">
        <f>CT21*VLOOKUP('Données projet'!$B$13,Paramètres!$A$1:$I$89,3,0)*VLOOKUP('Données projet'!$B$13,Paramètres!$A$1:$I$89,5,0)</f>
        <v>27.359370017168338</v>
      </c>
      <c r="CV21" s="14">
        <f t="shared" si="41"/>
        <v>8.5778610832511077</v>
      </c>
      <c r="CW21" s="22">
        <f t="shared" si="13"/>
        <v>62.590677499897197</v>
      </c>
      <c r="CX21" s="62">
        <f t="shared" si="14"/>
        <v>341.25734416656388</v>
      </c>
      <c r="CY21" s="62">
        <f ca="1">AVERAGE(OFFSET($CX$3,0,0,'Données projet'!$E$13+1,1))-AVERAGE(OFFSET($H$3,0,0,'Données projet'!$E$13+1,1))</f>
        <v>338.72479490324491</v>
      </c>
      <c r="CZ21" s="62">
        <f t="shared" si="42"/>
        <v>248.47107558211923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31.52386201022027</v>
      </c>
      <c r="P22" s="14">
        <f t="shared" si="33"/>
        <v>9.7218710074397983</v>
      </c>
      <c r="Q22" s="22">
        <f t="shared" si="2"/>
        <v>71.836318339091292</v>
      </c>
      <c r="R22" s="62">
        <f t="shared" si="0"/>
        <v>351.72520722798015</v>
      </c>
      <c r="S22" s="62">
        <f ca="1">AVERAGE(OFFSET($R$3,0,0,'Données projet'!$E$9+1,1))-AVERAGE(OFFSET($H$3,0,0,'Données projet'!$E$9+1,1))</f>
        <v>430.11660085503223</v>
      </c>
      <c r="T22" s="62">
        <f t="shared" si="34"/>
        <v>231.36959598460686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IF('Données projet'!$A$62&gt;35,AI21+AH22-AQ21,IF(A22&lt;'Données projet'!$A$62,$AF$205^A22,IF(A22='Données projet'!$A$62,'Données projet'!$B$62,AI21+AH22-AQ21)))</f>
        <v>34.840696297767764</v>
      </c>
      <c r="AJ22" s="14">
        <f>AI22*VLOOKUP('Données projet'!$B$10,Paramètres!$A$1:$I$89,3,0)*VLOOKUP('Données projet'!$B$10,Paramètres!$A$1:$I$89,5,0)</f>
        <v>33.697921459200977</v>
      </c>
      <c r="AK22" s="14">
        <f t="shared" si="35"/>
        <v>10.31198270984201</v>
      </c>
      <c r="AL22" s="22">
        <f t="shared" si="4"/>
        <v>76.650583094416518</v>
      </c>
      <c r="AM22" s="62">
        <f t="shared" si="5"/>
        <v>356.53947198330536</v>
      </c>
      <c r="AN22" s="62">
        <f ca="1">AVERAGE(OFFSET($AM$3,0,0,'Données projet'!$E$10+1,1))-AVERAGE(OFFSET($H$3,0,0,'Données projet'!$E$10+1,1))</f>
        <v>456.86147223520601</v>
      </c>
      <c r="AO22" s="62">
        <f t="shared" si="36"/>
        <v>244.45149244446094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>
        <f>VLOOKUP(A22,'Données projet'!$A$87:$I$107,2,0)</f>
        <v>134.41899999999998</v>
      </c>
      <c r="BB22" s="13">
        <f>VLOOKUP(A22,'Données projet'!$A$87:$I$107,9,0)</f>
        <v>17.637499999999989</v>
      </c>
      <c r="BC22" s="13">
        <f t="array" ref="BC22">INDEX(BB:BB,MIN(IF(ISNUMBER(BB22:BB218),ROW(BB22:BB218),"")))</f>
        <v>17.637499999999989</v>
      </c>
      <c r="BD22" s="13">
        <f>IF('Données projet'!$A$88&gt;35,BD21+BC22-BL21,IF(A22&lt;'Données projet'!$A$88,$BA$205^A22,IF(A22='Données projet'!$A$88,'Données projet'!$B$88,BD21+BC22-BL21)))</f>
        <v>134.41899999999998</v>
      </c>
      <c r="BE22" s="14">
        <f>BD22*VLOOKUP('Données projet'!$B$11,Paramètres!$A$1:$I$89,3,0)*VLOOKUP('Données projet'!$B$11,Paramètres!$A$1:$I$89,5,0)</f>
        <v>80.382561999999993</v>
      </c>
      <c r="BF22" s="14">
        <f t="shared" si="37"/>
        <v>22.230696539664962</v>
      </c>
      <c r="BG22" s="22">
        <f t="shared" si="7"/>
        <v>178.71809195658315</v>
      </c>
      <c r="BH22" s="62">
        <f t="shared" si="8"/>
        <v>458.60698084547198</v>
      </c>
      <c r="BI22" s="62">
        <f ca="1">AVERAGE(OFFSET($BH$3,0,0,'Données projet'!$E$11+1,1))-AVERAGE(OFFSET($H$3,0,0,'Données projet'!$E$11+1,1))</f>
        <v>215.43756133069593</v>
      </c>
      <c r="BJ22" s="62">
        <f t="shared" si="38"/>
        <v>363.02009369315243</v>
      </c>
      <c r="BK22" s="16">
        <f>IF(ISNA(VLOOKUP(A22,'Données projet'!$A$87:$I$107,3,0)),0,VLOOKUP(A22,'Données projet'!$A$87:$I$107,3,0))</f>
        <v>2</v>
      </c>
      <c r="BL22" s="16">
        <f>IF(ISNA(VLOOKUP(A22,'Données projet'!$A$87:$I$107,4,0)),0,VLOOKUP(A22,'Données projet'!$A$87:$I$107,4,0))</f>
        <v>34.9</v>
      </c>
      <c r="BM22" s="17">
        <f>IF(ISNA(VLOOKUP(A22,'Données projet'!$A$87:$I$107,5,0)),0%,VLOOKUP(A22,'Données projet'!$A$87:$I$107,5,0)*VLOOKUP('Données projet'!$B$11,Paramètres!$A$1:$I$89,7,0))</f>
        <v>0.1125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0.75</v>
      </c>
      <c r="BP22" s="23">
        <f>EXP(-LN(2)/35)*BP21+(1-EXP(-LN(2)/35))/(LN(2)/35)*BL22*BM22*VLOOKUP('Données projet'!$B$11,Paramètres!$A$1:$I$89,3,0)*0.475*44/12</f>
        <v>3.1146373685153583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20.379577531553807</v>
      </c>
      <c r="BS22" s="24">
        <f t="shared" si="9"/>
        <v>23.494214900069164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25.2</v>
      </c>
      <c r="BY22" s="13">
        <f>IF('Données projet'!$A$114&gt;35,BY21+BX22-CG21,IF(A22&lt;'Données projet'!$A$114,$BV$205^A22,IF(A22='Données projet'!$A$114,'Données projet'!$B$114,BY21+BX22-CG21)))</f>
        <v>149.6</v>
      </c>
      <c r="BZ22" s="14">
        <f>BY22*VLOOKUP('Données projet'!$B$12,Paramètres!$A$1:$I$89,3,0)*VLOOKUP('Données projet'!$B$12,Paramètres!$A$1:$I$89,5,0)</f>
        <v>66.123200000000011</v>
      </c>
      <c r="CA22" s="14">
        <f t="shared" si="39"/>
        <v>18.707542395626923</v>
      </c>
      <c r="CB22" s="22">
        <f t="shared" si="10"/>
        <v>147.74687633905023</v>
      </c>
      <c r="CC22" s="62">
        <f t="shared" si="11"/>
        <v>427.63576522793909</v>
      </c>
      <c r="CD22" s="62">
        <f ca="1">AVERAGE(OFFSET($CC$3,0,0,'Données projet'!$E$12+1,1))-AVERAGE(OFFSET($H$3,0,0,'Données projet'!$E$12+1,1))</f>
        <v>461.75392711528474</v>
      </c>
      <c r="CE22" s="62">
        <f t="shared" si="40"/>
        <v>441.67157957428236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4.8636363636363633</v>
      </c>
      <c r="CT22" s="13">
        <f>IF('Données projet'!$A$140&gt;35,CT21+CS22-DB21,IF(A22&lt;'Données projet'!$A$140,$CQ$205^A22,IF(A22='Données projet'!$A$140,'Données projet'!$B$140,CT21+CS22-DB21)))</f>
        <v>56.578265092355473</v>
      </c>
      <c r="CU22" s="18">
        <f>CT22*VLOOKUP('Données projet'!$B$13,Paramètres!$A$1:$I$89,3,0)*VLOOKUP('Données projet'!$B$13,Paramètres!$A$1:$I$89,5,0)</f>
        <v>33.833802525228577</v>
      </c>
      <c r="CV22" s="14">
        <f t="shared" si="41"/>
        <v>10.348715332276408</v>
      </c>
      <c r="CW22" s="22">
        <f t="shared" si="13"/>
        <v>76.951218601821182</v>
      </c>
      <c r="CX22" s="62">
        <f t="shared" si="14"/>
        <v>356.84010749071001</v>
      </c>
      <c r="CY22" s="62">
        <f ca="1">AVERAGE(OFFSET($CX$3,0,0,'Données projet'!$E$13+1,1))-AVERAGE(OFFSET($H$3,0,0,'Données projet'!$E$13+1,1))</f>
        <v>338.72479490324491</v>
      </c>
      <c r="CZ22" s="62">
        <f t="shared" si="42"/>
        <v>248.47107558211923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38.001600000000003</v>
      </c>
      <c r="P23" s="14">
        <f t="shared" si="33"/>
        <v>11.467401227090512</v>
      </c>
      <c r="Q23" s="22">
        <f t="shared" si="2"/>
        <v>86.158510470515978</v>
      </c>
      <c r="R23" s="62">
        <f t="shared" si="0"/>
        <v>367.26962158162712</v>
      </c>
      <c r="S23" s="62">
        <f ca="1">AVERAGE(OFFSET($R$3,0,0,'Données projet'!$E$9+1,1))-AVERAGE(OFFSET($H$3,0,0,'Données projet'!$E$9+1,1))</f>
        <v>430.11660085503223</v>
      </c>
      <c r="T23" s="62">
        <f t="shared" si="34"/>
        <v>231.36959598460686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IF('Données projet'!$A$62&gt;35,AI22+AH23-AQ22,IF(A23&lt;'Données projet'!$A$62,$AF$205^A23,IF(A23='Données projet'!$A$62,'Données projet'!$B$62,AI22+AH23-AQ22)))</f>
        <v>42</v>
      </c>
      <c r="AJ23" s="14">
        <f>AI23*VLOOKUP('Données projet'!$B$10,Paramètres!$A$1:$I$89,3,0)*VLOOKUP('Données projet'!$B$10,Paramètres!$A$1:$I$89,5,0)</f>
        <v>40.622399999999999</v>
      </c>
      <c r="AK23" s="14">
        <f t="shared" si="35"/>
        <v>12.163465560290264</v>
      </c>
      <c r="AL23" s="22">
        <f t="shared" si="4"/>
        <v>91.935382517505545</v>
      </c>
      <c r="AM23" s="62">
        <f t="shared" si="5"/>
        <v>373.0464936286167</v>
      </c>
      <c r="AN23" s="62">
        <f ca="1">AVERAGE(OFFSET($AM$3,0,0,'Données projet'!$E$10+1,1))-AVERAGE(OFFSET($H$3,0,0,'Données projet'!$E$10+1,1))</f>
        <v>456.86147223520601</v>
      </c>
      <c r="AO23" s="62">
        <f t="shared" si="36"/>
        <v>244.45149244446094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116.926</v>
      </c>
      <c r="BB23" s="13">
        <f>VLOOKUP(A23,'Données projet'!$A$87:$I$107,9,0)</f>
        <v>17.407000000000025</v>
      </c>
      <c r="BC23" s="13">
        <f t="array" ref="BC23">INDEX(BB:BB,MIN(IF(ISNUMBER(BB23:BB219),ROW(BB23:BB219),"")))</f>
        <v>17.407000000000025</v>
      </c>
      <c r="BD23" s="13">
        <f>IF('Données projet'!$A$88&gt;35,BD22+BC23-BL22,IF(A23&lt;'Données projet'!$A$88,$BA$205^A23,IF(A23='Données projet'!$A$88,'Données projet'!$B$88,BD22+BC23-BL22)))</f>
        <v>116.92600000000002</v>
      </c>
      <c r="BE23" s="14">
        <f>BD23*VLOOKUP('Données projet'!$B$11,Paramètres!$A$1:$I$89,3,0)*VLOOKUP('Données projet'!$B$11,Paramètres!$A$1:$I$89,5,0)</f>
        <v>69.921748000000022</v>
      </c>
      <c r="BF23" s="14">
        <f t="shared" si="37"/>
        <v>19.654023576993847</v>
      </c>
      <c r="BG23" s="22">
        <f t="shared" si="7"/>
        <v>156.01113549659763</v>
      </c>
      <c r="BH23" s="62">
        <f t="shared" si="8"/>
        <v>437.1222466077088</v>
      </c>
      <c r="BI23" s="62">
        <f ca="1">AVERAGE(OFFSET($BH$3,0,0,'Données projet'!$E$11+1,1))-AVERAGE(OFFSET($H$3,0,0,'Données projet'!$E$11+1,1))</f>
        <v>215.43756133069593</v>
      </c>
      <c r="BJ23" s="62">
        <f t="shared" si="38"/>
        <v>363.02009369315243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3.0535612294599832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14.410537470278699</v>
      </c>
      <c r="BS23" s="24">
        <f t="shared" si="9"/>
        <v>17.464098699738681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25.2</v>
      </c>
      <c r="BY23" s="13">
        <f>IF('Données projet'!$A$114&gt;35,BY22+BX23-CG22,IF(A23&lt;'Données projet'!$A$114,$BV$205^A23,IF(A23='Données projet'!$A$114,'Données projet'!$B$114,BY22+BX23-CG22)))</f>
        <v>174.79999999999998</v>
      </c>
      <c r="BZ23" s="14">
        <f>BY23*VLOOKUP('Données projet'!$B$12,Paramètres!$A$1:$I$89,3,0)*VLOOKUP('Données projet'!$B$12,Paramètres!$A$1:$I$89,5,0)</f>
        <v>77.261600000000001</v>
      </c>
      <c r="CA23" s="14">
        <f t="shared" si="39"/>
        <v>21.466279912848737</v>
      </c>
      <c r="CB23" s="22">
        <f t="shared" si="10"/>
        <v>171.95105751487822</v>
      </c>
      <c r="CC23" s="62">
        <f t="shared" si="11"/>
        <v>453.06216862598933</v>
      </c>
      <c r="CD23" s="62">
        <f ca="1">AVERAGE(OFFSET($CC$3,0,0,'Données projet'!$E$12+1,1))-AVERAGE(OFFSET($H$3,0,0,'Données projet'!$E$12+1,1))</f>
        <v>461.75392711528474</v>
      </c>
      <c r="CE23" s="62">
        <f t="shared" si="40"/>
        <v>441.67157957428236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4.8636363636363633</v>
      </c>
      <c r="CT23" s="13">
        <f>IF('Données projet'!$A$140&gt;35,CT22+CS23-DB22,IF(A23&lt;'Données projet'!$A$140,$CQ$205^A23,IF(A23='Données projet'!$A$140,'Données projet'!$B$140,CT22+CS23-DB22)))</f>
        <v>69.967175675228205</v>
      </c>
      <c r="CU23" s="18">
        <f>CT23*VLOOKUP('Données projet'!$B$13,Paramètres!$A$1:$I$89,3,0)*VLOOKUP('Données projet'!$B$13,Paramètres!$A$1:$I$89,5,0)</f>
        <v>41.840371053786463</v>
      </c>
      <c r="CV23" s="14">
        <f t="shared" si="41"/>
        <v>12.485153115571583</v>
      </c>
      <c r="CW23" s="22">
        <f t="shared" si="13"/>
        <v>94.616954594965264</v>
      </c>
      <c r="CX23" s="62">
        <f t="shared" si="14"/>
        <v>375.72806570607639</v>
      </c>
      <c r="CY23" s="62">
        <f ca="1">AVERAGE(OFFSET($CX$3,0,0,'Données projet'!$E$13+1,1))-AVERAGE(OFFSET($H$3,0,0,'Données projet'!$E$13+1,1))</f>
        <v>338.72479490324491</v>
      </c>
      <c r="CZ23" s="62">
        <f t="shared" si="42"/>
        <v>248.47107558211923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projet'!$B$9,Paramètres!$A$1:$I$89,3,0)*VLOOKUP('Données projet'!$B$9,Paramètres!$A$1:$I$89,5,0)</f>
        <v>43.068480000000001</v>
      </c>
      <c r="P24" s="14">
        <f t="shared" si="33"/>
        <v>12.808416415102187</v>
      </c>
      <c r="Q24" s="22">
        <f t="shared" si="2"/>
        <v>97.318927922969635</v>
      </c>
      <c r="R24" s="62">
        <f t="shared" si="0"/>
        <v>379.65226125630295</v>
      </c>
      <c r="S24" s="62">
        <f ca="1">AVERAGE(OFFSET($R$3,0,0,'Données projet'!$E$9+1,1))-AVERAGE(OFFSET($H$3,0,0,'Données projet'!$E$9+1,1))</f>
        <v>430.11660085503223</v>
      </c>
      <c r="T24" s="62">
        <f t="shared" si="34"/>
        <v>231.36959598460686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5.6</v>
      </c>
      <c r="AI24" s="14">
        <f>IF('Données projet'!$A$62&gt;35,AI23+AH24-AQ23,IF(A24&lt;'Données projet'!$A$62,$AF$205^A24,IF(A24='Données projet'!$A$62,'Données projet'!$B$62,AI23+AH24-AQ23)))</f>
        <v>47.6</v>
      </c>
      <c r="AJ24" s="14">
        <f>AI24*VLOOKUP('Données projet'!$B$10,Paramètres!$A$1:$I$89,3,0)*VLOOKUP('Données projet'!$B$10,Paramètres!$A$1:$I$89,5,0)</f>
        <v>46.038720000000005</v>
      </c>
      <c r="AK24" s="14">
        <f t="shared" si="35"/>
        <v>13.585879560828786</v>
      </c>
      <c r="AL24" s="22">
        <f t="shared" si="4"/>
        <v>103.84617756844348</v>
      </c>
      <c r="AM24" s="62">
        <f t="shared" si="5"/>
        <v>386.17951090177678</v>
      </c>
      <c r="AN24" s="62">
        <f ca="1">AVERAGE(OFFSET($AM$3,0,0,'Données projet'!$E$10+1,1))-AVERAGE(OFFSET($H$3,0,0,'Données projet'!$E$10+1,1))</f>
        <v>456.86147223520601</v>
      </c>
      <c r="AO24" s="62">
        <f t="shared" si="36"/>
        <v>244.45149244446094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>
        <f>VLOOKUP(A24,'Données projet'!$A$87:$I$107,2,0)</f>
        <v>134.99699999999999</v>
      </c>
      <c r="BB24" s="13">
        <f>VLOOKUP(A24,'Données projet'!$A$87:$I$107,9,0)</f>
        <v>18.070999999999984</v>
      </c>
      <c r="BC24" s="13">
        <f t="array" ref="BC24">INDEX(BB:BB,MIN(IF(ISNUMBER(BB24:BB220),ROW(BB24:BB220),"")))</f>
        <v>18.070999999999984</v>
      </c>
      <c r="BD24" s="13">
        <f>IF('Données projet'!$A$88&gt;35,BD23+BC24-BL23,IF(A24&lt;'Données projet'!$A$88,$BA$205^A24,IF(A24='Données projet'!$A$88,'Données projet'!$B$88,BD23+BC24-BL23)))</f>
        <v>134.99700000000001</v>
      </c>
      <c r="BE24" s="14">
        <f>BD24*VLOOKUP('Données projet'!$B$11,Paramètres!$A$1:$I$89,3,0)*VLOOKUP('Données projet'!$B$11,Paramètres!$A$1:$I$89,5,0)</f>
        <v>80.728206000000014</v>
      </c>
      <c r="BF24" s="14">
        <f t="shared" si="37"/>
        <v>22.315140273766989</v>
      </c>
      <c r="BG24" s="22">
        <f t="shared" si="7"/>
        <v>179.46716142681086</v>
      </c>
      <c r="BH24" s="62">
        <f t="shared" si="8"/>
        <v>461.80049476014415</v>
      </c>
      <c r="BI24" s="62">
        <f ca="1">AVERAGE(OFFSET($BH$3,0,0,'Données projet'!$E$11+1,1))-AVERAGE(OFFSET($H$3,0,0,'Données projet'!$E$11+1,1))</f>
        <v>215.43756133069593</v>
      </c>
      <c r="BJ24" s="62">
        <f t="shared" si="38"/>
        <v>363.02009369315243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2.9936827562387176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10.189788765776905</v>
      </c>
      <c r="BS24" s="24">
        <f t="shared" si="9"/>
        <v>13.183471522015623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>
        <f>VLOOKUP(A24,'Données projet'!$A$113:$I$133,2,0)</f>
        <v>200</v>
      </c>
      <c r="BW24" s="13">
        <f>VLOOKUP(A24,'Données projet'!$A$113:$I$133,9,0)</f>
        <v>25.2</v>
      </c>
      <c r="BX24" s="13">
        <f t="array" ref="BX24">INDEX(BW:BW,MIN(IF(ISNUMBER(BW24:BW220),ROW(BW24:BW220),"")))</f>
        <v>25.2</v>
      </c>
      <c r="BY24" s="13">
        <f>IF('Données projet'!$A$114&gt;35,BY23+BX24-CG23,IF(A24&lt;'Données projet'!$A$114,$BV$205^A24,IF(A24='Données projet'!$A$114,'Données projet'!$B$114,BY23+BX24-CG23)))</f>
        <v>199.99999999999997</v>
      </c>
      <c r="BZ24" s="14">
        <f>BY24*VLOOKUP('Données projet'!$B$12,Paramètres!$A$1:$I$89,3,0)*VLOOKUP('Données projet'!$B$12,Paramètres!$A$1:$I$89,5,0)</f>
        <v>88.4</v>
      </c>
      <c r="CA24" s="14">
        <f t="shared" si="39"/>
        <v>24.178941596629574</v>
      </c>
      <c r="CB24" s="22">
        <f t="shared" si="10"/>
        <v>196.07498994746314</v>
      </c>
      <c r="CC24" s="62">
        <f t="shared" si="11"/>
        <v>478.40832328079648</v>
      </c>
      <c r="CD24" s="62">
        <f ca="1">AVERAGE(OFFSET($CC$3,0,0,'Données projet'!$E$12+1,1))-AVERAGE(OFFSET($H$3,0,0,'Données projet'!$E$12+1,1))</f>
        <v>461.75392711528474</v>
      </c>
      <c r="CE24" s="62">
        <f t="shared" si="40"/>
        <v>441.67157957428236</v>
      </c>
      <c r="CF24" s="16">
        <f>IF(ISNA(VLOOKUP(A24,'Données projet'!$A$113:$I$133,3,0)),0,VLOOKUP(A24,'Données projet'!$A$113:$I$133,3,0))</f>
        <v>1</v>
      </c>
      <c r="CG24" s="16">
        <f>IF(ISNA(VLOOKUP(A24,'Données projet'!$A$113:$I$133,4,0)),0,VLOOKUP(A24,'Données projet'!$A$113:$I$133,4,0))</f>
        <v>77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4.8636363636363633</v>
      </c>
      <c r="CT24" s="13">
        <f>IF('Données projet'!$A$140&gt;35,CT23+CS24-DB23,IF(A24&lt;'Données projet'!$A$140,$CQ$205^A24,IF(A24='Données projet'!$A$140,'Données projet'!$B$140,CT23+CS24-DB23)))</f>
        <v>86.524492470337051</v>
      </c>
      <c r="CU24" s="18">
        <f>CT24*VLOOKUP('Données projet'!$B$13,Paramètres!$A$1:$I$89,3,0)*VLOOKUP('Données projet'!$B$13,Paramètres!$A$1:$I$89,5,0)</f>
        <v>51.741646497261556</v>
      </c>
      <c r="CV24" s="14">
        <f t="shared" si="41"/>
        <v>15.062647228598374</v>
      </c>
      <c r="CW24" s="22">
        <f t="shared" si="13"/>
        <v>116.35081157253938</v>
      </c>
      <c r="CX24" s="62">
        <f t="shared" si="14"/>
        <v>398.6841449058727</v>
      </c>
      <c r="CY24" s="62">
        <f ca="1">AVERAGE(OFFSET($CX$3,0,0,'Données projet'!$E$13+1,1))-AVERAGE(OFFSET($H$3,0,0,'Données projet'!$E$13+1,1))</f>
        <v>338.72479490324491</v>
      </c>
      <c r="CZ24" s="62">
        <f t="shared" si="42"/>
        <v>248.47107558211923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projet'!$B$9,Paramètres!$A$1:$I$89,3,0)*VLOOKUP('Données projet'!$B$9,Paramètres!$A$1:$I$89,5,0)</f>
        <v>48.135359999999999</v>
      </c>
      <c r="P25" s="14">
        <f t="shared" si="33"/>
        <v>14.131148275361113</v>
      </c>
      <c r="Q25" s="22">
        <f t="shared" si="2"/>
        <v>108.4475019129206</v>
      </c>
      <c r="R25" s="62">
        <f t="shared" si="0"/>
        <v>392.00305746847613</v>
      </c>
      <c r="S25" s="62">
        <f ca="1">AVERAGE(OFFSET($R$3,0,0,'Données projet'!$E$9+1,1))-AVERAGE(OFFSET($H$3,0,0,'Données projet'!$E$9+1,1))</f>
        <v>430.11660085503223</v>
      </c>
      <c r="T25" s="62">
        <f t="shared" si="34"/>
        <v>231.36959598460686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5.6</v>
      </c>
      <c r="AI25" s="14">
        <f>IF('Données projet'!$A$62&gt;35,AI24+AH25-AQ24,IF(A25&lt;'Données projet'!$A$62,$AF$205^A25,IF(A25='Données projet'!$A$62,'Données projet'!$B$62,AI24+AH25-AQ24)))</f>
        <v>53.2</v>
      </c>
      <c r="AJ25" s="14">
        <f>AI25*VLOOKUP('Données projet'!$B$10,Paramètres!$A$1:$I$89,3,0)*VLOOKUP('Données projet'!$B$10,Paramètres!$A$1:$I$89,5,0)</f>
        <v>51.455040000000004</v>
      </c>
      <c r="AK25" s="14">
        <f t="shared" si="35"/>
        <v>14.988900446655085</v>
      </c>
      <c r="AL25" s="22">
        <f t="shared" si="4"/>
        <v>115.72319627792427</v>
      </c>
      <c r="AM25" s="62">
        <f t="shared" si="5"/>
        <v>399.27875183347982</v>
      </c>
      <c r="AN25" s="62">
        <f ca="1">AVERAGE(OFFSET($AM$3,0,0,'Données projet'!$E$10+1,1))-AVERAGE(OFFSET($H$3,0,0,'Données projet'!$E$10+1,1))</f>
        <v>456.86147223520601</v>
      </c>
      <c r="AO25" s="62">
        <f t="shared" si="36"/>
        <v>244.45149244446094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>
        <f>VLOOKUP(A25,'Données projet'!$A$87:$I$107,2,0)</f>
        <v>153.935</v>
      </c>
      <c r="BB25" s="13">
        <f>VLOOKUP(A25,'Données projet'!$A$87:$I$107,9,0)</f>
        <v>18.938000000000017</v>
      </c>
      <c r="BC25" s="13">
        <f t="array" ref="BC25">INDEX(BB:BB,MIN(IF(ISNUMBER(BB25:BB221),ROW(BB25:BB221),"")))</f>
        <v>18.938000000000017</v>
      </c>
      <c r="BD25" s="13">
        <f>IF('Données projet'!$A$88&gt;35,BD24+BC25-BL24,IF(A25&lt;'Données projet'!$A$88,$BA$205^A25,IF(A25='Données projet'!$A$88,'Données projet'!$B$88,BD24+BC25-BL24)))</f>
        <v>153.93500000000003</v>
      </c>
      <c r="BE25" s="14">
        <f>BD25*VLOOKUP('Données projet'!$B$11,Paramètres!$A$1:$I$89,3,0)*VLOOKUP('Données projet'!$B$11,Paramètres!$A$1:$I$89,5,0)</f>
        <v>92.053130000000024</v>
      </c>
      <c r="BF25" s="14">
        <f t="shared" si="37"/>
        <v>25.059738598655201</v>
      </c>
      <c r="BG25" s="22">
        <f t="shared" si="7"/>
        <v>203.97157947599115</v>
      </c>
      <c r="BH25" s="62">
        <f t="shared" si="8"/>
        <v>487.52713503154666</v>
      </c>
      <c r="BI25" s="62">
        <f ca="1">AVERAGE(OFFSET($BH$3,0,0,'Données projet'!$E$11+1,1))-AVERAGE(OFFSET($H$3,0,0,'Données projet'!$E$11+1,1))</f>
        <v>215.43756133069593</v>
      </c>
      <c r="BJ25" s="62">
        <f t="shared" si="38"/>
        <v>363.02009369315243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2.9349784633550584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7.2052687351393505</v>
      </c>
      <c r="BS25" s="24">
        <f t="shared" si="9"/>
        <v>10.140247198494409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32</v>
      </c>
      <c r="BY25" s="13">
        <f>IF('Données projet'!$A$114&gt;35,BY24+BX25-CG24,IF(A25&lt;'Données projet'!$A$114,$BV$205^A25,IF(A25='Données projet'!$A$114,'Données projet'!$B$114,BY24+BX25-CG24)))</f>
        <v>154.99999999999997</v>
      </c>
      <c r="BZ25" s="14">
        <f>BY25*VLOOKUP('Données projet'!$B$12,Paramètres!$A$1:$I$89,3,0)*VLOOKUP('Données projet'!$B$12,Paramètres!$A$1:$I$89,5,0)</f>
        <v>68.509999999999991</v>
      </c>
      <c r="CA25" s="14">
        <f t="shared" si="39"/>
        <v>19.302975994019384</v>
      </c>
      <c r="CB25" s="22">
        <f t="shared" si="10"/>
        <v>152.94093318958377</v>
      </c>
      <c r="CC25" s="62">
        <f t="shared" si="11"/>
        <v>436.49648874513935</v>
      </c>
      <c r="CD25" s="62">
        <f ca="1">AVERAGE(OFFSET($CC$3,0,0,'Données projet'!$E$12+1,1))-AVERAGE(OFFSET($H$3,0,0,'Données projet'!$E$12+1,1))</f>
        <v>461.75392711528474</v>
      </c>
      <c r="CE25" s="62">
        <f t="shared" si="40"/>
        <v>441.67157957428236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>
        <f>VLOOKUP(A25,'Données projet'!$A$139:$I$159,2,0)</f>
        <v>107</v>
      </c>
      <c r="CR25" s="13">
        <f>VLOOKUP(A25,'Données projet'!$A$139:$I$159,9,0)</f>
        <v>4.8636363636363633</v>
      </c>
      <c r="CS25" s="13">
        <f t="array" ref="CS25">INDEX(CR:CR,MIN(IF(ISNUMBER(CR25:CR221),ROW(CR25:CR221),"")))</f>
        <v>4.8636363636363633</v>
      </c>
      <c r="CT25" s="13">
        <f>IF('Données projet'!$A$140&gt;35,CT24+CS25-DB24,IF(A25&lt;'Données projet'!$A$140,$CQ$205^A25,IF(A25='Données projet'!$A$140,'Données projet'!$B$140,CT24+CS25-DB24)))</f>
        <v>107</v>
      </c>
      <c r="CU25" s="18">
        <f>CT25*VLOOKUP('Données projet'!$B$13,Paramètres!$A$1:$I$89,3,0)*VLOOKUP('Données projet'!$B$13,Paramètres!$A$1:$I$89,5,0)</f>
        <v>63.986000000000004</v>
      </c>
      <c r="CV25" s="14">
        <f t="shared" si="41"/>
        <v>18.172251427996663</v>
      </c>
      <c r="CW25" s="22">
        <f t="shared" si="13"/>
        <v>143.09228790376088</v>
      </c>
      <c r="CX25" s="62">
        <f t="shared" si="14"/>
        <v>426.64784345931639</v>
      </c>
      <c r="CY25" s="62">
        <f ca="1">AVERAGE(OFFSET($CX$3,0,0,'Données projet'!$E$13+1,1))-AVERAGE(OFFSET($H$3,0,0,'Données projet'!$E$13+1,1))</f>
        <v>338.72479490324491</v>
      </c>
      <c r="CZ25" s="62">
        <f t="shared" si="42"/>
        <v>248.47107558211923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projet'!$B$9,Paramètres!$A$1:$I$89,3,0)*VLOOKUP('Données projet'!$B$9,Paramètres!$A$1:$I$89,5,0)</f>
        <v>53.202240000000003</v>
      </c>
      <c r="P26" s="14">
        <f t="shared" si="33"/>
        <v>15.437740642425908</v>
      </c>
      <c r="Q26" s="22">
        <f t="shared" si="2"/>
        <v>119.54796628555846</v>
      </c>
      <c r="R26" s="62">
        <f t="shared" si="0"/>
        <v>404.32574406333623</v>
      </c>
      <c r="S26" s="62">
        <f ca="1">AVERAGE(OFFSET($R$3,0,0,'Données projet'!$E$9+1,1))-AVERAGE(OFFSET($H$3,0,0,'Données projet'!$E$9+1,1))</f>
        <v>430.11660085503223</v>
      </c>
      <c r="T26" s="62">
        <f t="shared" si="34"/>
        <v>231.36959598460686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5.6</v>
      </c>
      <c r="AI26" s="14">
        <f>IF('Données projet'!$A$62&gt;35,AI25+AH26-AQ25,IF(A26&lt;'Données projet'!$A$62,$AF$205^A26,IF(A26='Données projet'!$A$62,'Données projet'!$B$62,AI25+AH26-AQ25)))</f>
        <v>58.800000000000004</v>
      </c>
      <c r="AJ26" s="14">
        <f>AI26*VLOOKUP('Données projet'!$B$10,Paramètres!$A$1:$I$89,3,0)*VLOOKUP('Données projet'!$B$10,Paramètres!$A$1:$I$89,5,0)</f>
        <v>56.87136000000001</v>
      </c>
      <c r="AK26" s="14">
        <f t="shared" si="35"/>
        <v>16.374802181791551</v>
      </c>
      <c r="AL26" s="22">
        <f t="shared" si="4"/>
        <v>127.57039913328697</v>
      </c>
      <c r="AM26" s="62">
        <f t="shared" si="5"/>
        <v>412.34817691106474</v>
      </c>
      <c r="AN26" s="62">
        <f ca="1">AVERAGE(OFFSET($AM$3,0,0,'Données projet'!$E$10+1,1))-AVERAGE(OFFSET($H$3,0,0,'Données projet'!$E$10+1,1))</f>
        <v>456.86147223520601</v>
      </c>
      <c r="AO26" s="62">
        <f t="shared" si="36"/>
        <v>244.45149244446094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>
        <f>VLOOKUP(A26,'Données projet'!$A$87:$I$107,2,0)</f>
        <v>173.60400000000001</v>
      </c>
      <c r="BB26" s="13">
        <f>VLOOKUP(A26,'Données projet'!$A$87:$I$107,9,0)</f>
        <v>19.669000000000011</v>
      </c>
      <c r="BC26" s="13">
        <f t="array" ref="BC26">INDEX(BB:BB,MIN(IF(ISNUMBER(BB26:BB222),ROW(BB26:BB222),"")))</f>
        <v>19.669000000000011</v>
      </c>
      <c r="BD26" s="13">
        <f>IF('Données projet'!$A$88&gt;35,BD25+BC26-BL25,IF(A26&lt;'Données projet'!$A$88,$BA$205^A26,IF(A26='Données projet'!$A$88,'Données projet'!$B$88,BD25+BC26-BL25)))</f>
        <v>173.60400000000004</v>
      </c>
      <c r="BE26" s="14">
        <f>BD26*VLOOKUP('Données projet'!$B$11,Paramètres!$A$1:$I$89,3,0)*VLOOKUP('Données projet'!$B$11,Paramètres!$A$1:$I$89,5,0)</f>
        <v>103.81519200000004</v>
      </c>
      <c r="BF26" s="14">
        <f t="shared" si="37"/>
        <v>27.868924323703233</v>
      </c>
      <c r="BG26" s="22">
        <f t="shared" si="7"/>
        <v>229.34983593044987</v>
      </c>
      <c r="BH26" s="62">
        <f t="shared" si="8"/>
        <v>514.12761370822761</v>
      </c>
      <c r="BI26" s="62">
        <f ca="1">AVERAGE(OFFSET($BH$3,0,0,'Données projet'!$E$11+1,1))-AVERAGE(OFFSET($H$3,0,0,'Données projet'!$E$11+1,1))</f>
        <v>215.43756133069593</v>
      </c>
      <c r="BJ26" s="62">
        <f t="shared" si="38"/>
        <v>363.02009369315243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2.8774253258487645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5.0948943828884534</v>
      </c>
      <c r="BS26" s="24">
        <f t="shared" si="9"/>
        <v>7.972319708737218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32</v>
      </c>
      <c r="BY26" s="13">
        <f>IF('Données projet'!$A$114&gt;35,BY25+BX26-CG25,IF(A26&lt;'Données projet'!$A$114,$BV$205^A26,IF(A26='Données projet'!$A$114,'Données projet'!$B$114,BY25+BX26-CG25)))</f>
        <v>186.99999999999997</v>
      </c>
      <c r="BZ26" s="14">
        <f>BY26*VLOOKUP('Données projet'!$B$12,Paramètres!$A$1:$I$89,3,0)*VLOOKUP('Données projet'!$B$12,Paramètres!$A$1:$I$89,5,0)</f>
        <v>82.653999999999996</v>
      </c>
      <c r="CA26" s="14">
        <f t="shared" si="39"/>
        <v>22.784863209116125</v>
      </c>
      <c r="CB26" s="22">
        <f t="shared" si="10"/>
        <v>183.63935342254391</v>
      </c>
      <c r="CC26" s="62">
        <f t="shared" si="11"/>
        <v>468.41713120032171</v>
      </c>
      <c r="CD26" s="62">
        <f ca="1">AVERAGE(OFFSET($CC$3,0,0,'Données projet'!$E$12+1,1))-AVERAGE(OFFSET($H$3,0,0,'Données projet'!$E$12+1,1))</f>
        <v>461.75392711528474</v>
      </c>
      <c r="CE26" s="62">
        <f t="shared" si="40"/>
        <v>441.67157957428236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12</v>
      </c>
      <c r="CT26" s="13">
        <f>IF('Données projet'!$A$140&gt;35,CT25+CS26-DB25,IF(A26&lt;'Données projet'!$A$140,$CQ$205^A26,IF(A26='Données projet'!$A$140,'Données projet'!$B$140,CT25+CS26-DB25)))</f>
        <v>119</v>
      </c>
      <c r="CU26" s="18">
        <f>CT26*VLOOKUP('Données projet'!$B$13,Paramètres!$A$1:$I$89,3,0)*VLOOKUP('Données projet'!$B$13,Paramètres!$A$1:$I$89,5,0)</f>
        <v>71.162000000000006</v>
      </c>
      <c r="CV26" s="14">
        <f t="shared" si="41"/>
        <v>19.961746043676346</v>
      </c>
      <c r="CW26" s="22">
        <f t="shared" si="13"/>
        <v>158.70719102606964</v>
      </c>
      <c r="CX26" s="62">
        <f t="shared" si="14"/>
        <v>443.48496880384744</v>
      </c>
      <c r="CY26" s="62">
        <f ca="1">AVERAGE(OFFSET($CX$3,0,0,'Données projet'!$E$13+1,1))-AVERAGE(OFFSET($H$3,0,0,'Données projet'!$E$13+1,1))</f>
        <v>338.72479490324491</v>
      </c>
      <c r="CZ26" s="62">
        <f t="shared" si="42"/>
        <v>248.47107558211923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projet'!$B$9,Paramètres!$A$1:$I$89,3,0)*VLOOKUP('Données projet'!$B$9,Paramètres!$A$1:$I$89,5,0)</f>
        <v>58.269120000000008</v>
      </c>
      <c r="P27" s="14">
        <f t="shared" si="33"/>
        <v>16.729905486873804</v>
      </c>
      <c r="Q27" s="22">
        <f t="shared" si="2"/>
        <v>130.62330272297189</v>
      </c>
      <c r="R27" s="62">
        <f t="shared" si="0"/>
        <v>416.62330272297186</v>
      </c>
      <c r="S27" s="62">
        <f ca="1">AVERAGE(OFFSET($R$3,0,0,'Données projet'!$E$9+1,1))-AVERAGE(OFFSET($H$3,0,0,'Données projet'!$E$9+1,1))</f>
        <v>430.11660085503223</v>
      </c>
      <c r="T27" s="62">
        <f t="shared" si="34"/>
        <v>231.36959598460686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5.6</v>
      </c>
      <c r="AI27" s="14">
        <f>IF('Données projet'!$A$62&gt;35,AI26+AH27-AQ26,IF(A27&lt;'Données projet'!$A$62,$AF$205^A27,IF(A27='Données projet'!$A$62,'Données projet'!$B$62,AI26+AH27-AQ26)))</f>
        <v>64.400000000000006</v>
      </c>
      <c r="AJ27" s="14">
        <f>AI27*VLOOKUP('Données projet'!$B$10,Paramètres!$A$1:$I$89,3,0)*VLOOKUP('Données projet'!$B$10,Paramètres!$A$1:$I$89,5,0)</f>
        <v>62.287680000000009</v>
      </c>
      <c r="AK27" s="14">
        <f t="shared" si="35"/>
        <v>17.745400652396182</v>
      </c>
      <c r="AL27" s="22">
        <f t="shared" si="4"/>
        <v>139.39094880292336</v>
      </c>
      <c r="AM27" s="62">
        <f t="shared" si="5"/>
        <v>425.39094880292339</v>
      </c>
      <c r="AN27" s="62">
        <f ca="1">AVERAGE(OFFSET($AM$3,0,0,'Données projet'!$E$10+1,1))-AVERAGE(OFFSET($H$3,0,0,'Données projet'!$E$10+1,1))</f>
        <v>456.86147223520601</v>
      </c>
      <c r="AO27" s="62">
        <f t="shared" si="36"/>
        <v>244.45149244446094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>
        <f>VLOOKUP(A27,'Données projet'!$A$87:$I$107,2,0)</f>
        <v>194.4375</v>
      </c>
      <c r="BB27" s="13">
        <f>VLOOKUP(A27,'Données projet'!$A$87:$I$107,9,0)</f>
        <v>20.833499999999987</v>
      </c>
      <c r="BC27" s="13">
        <f t="array" ref="BC27">INDEX(BB:BB,MIN(IF(ISNUMBER(BB27:BB223),ROW(BB27:BB223),"")))</f>
        <v>20.833499999999987</v>
      </c>
      <c r="BD27" s="13">
        <f>IF('Données projet'!$A$88&gt;35,BD26+BC27-BL26,IF(A27&lt;'Données projet'!$A$88,$BA$205^A27,IF(A27='Données projet'!$A$88,'Données projet'!$B$88,BD26+BC27-BL26)))</f>
        <v>194.43750000000003</v>
      </c>
      <c r="BE27" s="14">
        <f>BD27*VLOOKUP('Données projet'!$B$11,Paramètres!$A$1:$I$89,3,0)*VLOOKUP('Données projet'!$B$11,Paramètres!$A$1:$I$89,5,0)</f>
        <v>116.27362500000002</v>
      </c>
      <c r="BF27" s="14">
        <f t="shared" si="37"/>
        <v>30.804294318003453</v>
      </c>
      <c r="BG27" s="22">
        <f t="shared" si="7"/>
        <v>256.16070947885601</v>
      </c>
      <c r="BH27" s="62">
        <f t="shared" si="8"/>
        <v>542.16070947885601</v>
      </c>
      <c r="BI27" s="62">
        <f ca="1">AVERAGE(OFFSET($BH$3,0,0,'Données projet'!$E$11+1,1))-AVERAGE(OFFSET($H$3,0,0,'Données projet'!$E$11+1,1))</f>
        <v>215.43756133069593</v>
      </c>
      <c r="BJ27" s="62">
        <f t="shared" si="38"/>
        <v>363.02009369315243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2.8210007702650217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3.6026343675696761</v>
      </c>
      <c r="BS27" s="24">
        <f t="shared" si="9"/>
        <v>6.4236351378346974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32</v>
      </c>
      <c r="BY27" s="13">
        <f>IF('Données projet'!$A$114&gt;35,BY26+BX27-CG26,IF(A27&lt;'Données projet'!$A$114,$BV$205^A27,IF(A27='Données projet'!$A$114,'Données projet'!$B$114,BY26+BX27-CG26)))</f>
        <v>218.99999999999997</v>
      </c>
      <c r="BZ27" s="14">
        <f>BY27*VLOOKUP('Données projet'!$B$12,Paramètres!$A$1:$I$89,3,0)*VLOOKUP('Données projet'!$B$12,Paramètres!$A$1:$I$89,5,0)</f>
        <v>96.798000000000002</v>
      </c>
      <c r="CA27" s="14">
        <f t="shared" si="39"/>
        <v>26.197726383901067</v>
      </c>
      <c r="CB27" s="22">
        <f t="shared" si="10"/>
        <v>214.21755678529436</v>
      </c>
      <c r="CC27" s="62">
        <f t="shared" si="11"/>
        <v>500.21755678529439</v>
      </c>
      <c r="CD27" s="62">
        <f ca="1">AVERAGE(OFFSET($CC$3,0,0,'Données projet'!$E$12+1,1))-AVERAGE(OFFSET($H$3,0,0,'Données projet'!$E$12+1,1))</f>
        <v>461.75392711528474</v>
      </c>
      <c r="CE27" s="62">
        <f t="shared" si="40"/>
        <v>441.67157957428236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12</v>
      </c>
      <c r="CT27" s="13">
        <f>IF('Données projet'!$A$140&gt;35,CT26+CS27-DB26,IF(A27&lt;'Données projet'!$A$140,$CQ$205^A27,IF(A27='Données projet'!$A$140,'Données projet'!$B$140,CT26+CS27-DB26)))</f>
        <v>131</v>
      </c>
      <c r="CU27" s="18">
        <f>CT27*VLOOKUP('Données projet'!$B$13,Paramètres!$A$1:$I$89,3,0)*VLOOKUP('Données projet'!$B$13,Paramètres!$A$1:$I$89,5,0)</f>
        <v>78.338000000000008</v>
      </c>
      <c r="CV27" s="14">
        <f t="shared" si="41"/>
        <v>21.730321306378922</v>
      </c>
      <c r="CW27" s="22">
        <f t="shared" si="13"/>
        <v>174.28565960860999</v>
      </c>
      <c r="CX27" s="62">
        <f t="shared" si="14"/>
        <v>460.28565960860999</v>
      </c>
      <c r="CY27" s="62">
        <f ca="1">AVERAGE(OFFSET($CX$3,0,0,'Données projet'!$E$13+1,1))-AVERAGE(OFFSET($H$3,0,0,'Données projet'!$E$13+1,1))</f>
        <v>338.72479490324491</v>
      </c>
      <c r="CZ27" s="62">
        <f t="shared" si="42"/>
        <v>248.47107558211923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63.335999999999991</v>
      </c>
      <c r="P28" s="14">
        <f t="shared" si="33"/>
        <v>18.009040022946227</v>
      </c>
      <c r="Q28" s="22">
        <f t="shared" si="2"/>
        <v>141.67594470663133</v>
      </c>
      <c r="R28" s="62">
        <f t="shared" si="0"/>
        <v>428.89816692885358</v>
      </c>
      <c r="S28" s="62">
        <f ca="1">AVERAGE(OFFSET($R$3,0,0,'Données projet'!$E$9+1,1))-AVERAGE(OFFSET($H$3,0,0,'Données projet'!$E$9+1,1))</f>
        <v>430.11660085503223</v>
      </c>
      <c r="T28" s="62">
        <f t="shared" si="34"/>
        <v>231.36959598460686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70</v>
      </c>
      <c r="AG28" s="13">
        <f>VLOOKUP(A28,'Données projet'!$A$61:$I$81,9,0)</f>
        <v>5.6</v>
      </c>
      <c r="AH28" s="13">
        <f t="array" ref="AH28">INDEX(AG:AG,MIN(IF(ISNUMBER(AG28:AG224),ROW(AG28:AG224),"")))</f>
        <v>5.6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67.703999999999994</v>
      </c>
      <c r="AK28" s="14">
        <f t="shared" si="35"/>
        <v>19.102177882771514</v>
      </c>
      <c r="AL28" s="22">
        <f t="shared" si="4"/>
        <v>151.18742647916039</v>
      </c>
      <c r="AM28" s="62">
        <f t="shared" si="5"/>
        <v>438.40964870138259</v>
      </c>
      <c r="AN28" s="62">
        <f ca="1">AVERAGE(OFFSET($AM$3,0,0,'Données projet'!$E$10+1,1))-AVERAGE(OFFSET($H$3,0,0,'Données projet'!$E$10+1,1))</f>
        <v>456.86147223520601</v>
      </c>
      <c r="AO28" s="62">
        <f t="shared" si="36"/>
        <v>244.45149244446094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215.6875</v>
      </c>
      <c r="BB28" s="13">
        <f>VLOOKUP(A28,'Données projet'!$A$87:$I$107,9,0)</f>
        <v>21.25</v>
      </c>
      <c r="BC28" s="13">
        <f t="array" ref="BC28">INDEX(BB:BB,MIN(IF(ISNUMBER(BB28:BB224),ROW(BB28:BB224),"")))</f>
        <v>21.25</v>
      </c>
      <c r="BD28" s="13">
        <f>IF('Données projet'!$A$88&gt;35,BD27+BC28-BL27,IF(A28&lt;'Données projet'!$A$88,$BA$205^A28,IF(A28='Données projet'!$A$88,'Données projet'!$B$88,BD27+BC28-BL27)))</f>
        <v>215.68750000000003</v>
      </c>
      <c r="BE28" s="14">
        <f>BD28*VLOOKUP('Données projet'!$B$11,Paramètres!$A$1:$I$89,3,0)*VLOOKUP('Données projet'!$B$11,Paramètres!$A$1:$I$89,5,0)</f>
        <v>128.98112500000002</v>
      </c>
      <c r="BF28" s="14">
        <f t="shared" si="37"/>
        <v>33.760819529650334</v>
      </c>
      <c r="BG28" s="22">
        <f t="shared" si="7"/>
        <v>283.4422200558077</v>
      </c>
      <c r="BH28" s="62">
        <f t="shared" si="8"/>
        <v>570.66444227802992</v>
      </c>
      <c r="BI28" s="62">
        <f ca="1">AVERAGE(OFFSET($BH$3,0,0,'Données projet'!$E$11+1,1))-AVERAGE(OFFSET($H$3,0,0,'Données projet'!$E$11+1,1))</f>
        <v>215.43756133069593</v>
      </c>
      <c r="BJ28" s="62">
        <f t="shared" si="38"/>
        <v>363.02009369315243</v>
      </c>
      <c r="BK28" s="16">
        <f>IF(ISNA(VLOOKUP(A28,'Données projet'!$A$87:$I$107,3,0)),0,VLOOKUP(A28,'Données projet'!$A$87:$I$107,3,0))</f>
        <v>3</v>
      </c>
      <c r="BL28" s="16">
        <f>IF(ISNA(VLOOKUP(A28,'Données projet'!$A$87:$I$107,4,0)),0,VLOOKUP(A28,'Données projet'!$A$87:$I$107,4,0))</f>
        <v>54</v>
      </c>
      <c r="BM28" s="17">
        <f>IF(ISNA(VLOOKUP(A28,'Données projet'!$A$87:$I$107,5,0)),0%,VLOOKUP(A28,'Données projet'!$A$87:$I$107,5,0)*VLOOKUP('Données projet'!$B$11,Paramètres!$A$1:$I$89,7,0))</f>
        <v>0.1125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0.75</v>
      </c>
      <c r="BP28" s="23">
        <f>EXP(-LN(2)/35)*BP27+(1-EXP(-LN(2)/35))/(LN(2)/35)*BL28*BM28*VLOOKUP('Données projet'!$B$11,Paramètres!$A$1:$I$89,3,0)*0.475*44/12</f>
        <v>7.5848923477442289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29.968981205237704</v>
      </c>
      <c r="BS28" s="24">
        <f t="shared" si="9"/>
        <v>37.553873552981933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32</v>
      </c>
      <c r="BY28" s="13">
        <f>IF('Données projet'!$A$114&gt;35,BY27+BX28-CG27,IF(A28&lt;'Données projet'!$A$114,$BV$205^A28,IF(A28='Données projet'!$A$114,'Données projet'!$B$114,BY27+BX28-CG27)))</f>
        <v>250.99999999999997</v>
      </c>
      <c r="BZ28" s="14">
        <f>BY28*VLOOKUP('Données projet'!$B$12,Paramètres!$A$1:$I$89,3,0)*VLOOKUP('Données projet'!$B$12,Paramètres!$A$1:$I$89,5,0)</f>
        <v>110.94200000000001</v>
      </c>
      <c r="CA28" s="14">
        <f t="shared" si="39"/>
        <v>29.552816853842028</v>
      </c>
      <c r="CB28" s="22">
        <f t="shared" si="10"/>
        <v>244.69513935377486</v>
      </c>
      <c r="CC28" s="62">
        <f t="shared" si="11"/>
        <v>531.91736157599712</v>
      </c>
      <c r="CD28" s="62">
        <f ca="1">AVERAGE(OFFSET($CC$3,0,0,'Données projet'!$E$12+1,1))-AVERAGE(OFFSET($H$3,0,0,'Données projet'!$E$12+1,1))</f>
        <v>461.75392711528474</v>
      </c>
      <c r="CE28" s="62">
        <f t="shared" si="40"/>
        <v>441.67157957428236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143</v>
      </c>
      <c r="CR28" s="13">
        <f>VLOOKUP(A28,'Données projet'!$A$139:$I$159,9,0)</f>
        <v>12</v>
      </c>
      <c r="CS28" s="13">
        <f t="array" ref="CS28">INDEX(CR:CR,MIN(IF(ISNUMBER(CR28:CR224),ROW(CR28:CR224),"")))</f>
        <v>12</v>
      </c>
      <c r="CT28" s="13">
        <f>IF('Données projet'!$A$140&gt;35,CT27+CS28-DB27,IF(A28&lt;'Données projet'!$A$140,$CQ$205^A28,IF(A28='Données projet'!$A$140,'Données projet'!$B$140,CT27+CS28-DB27)))</f>
        <v>143</v>
      </c>
      <c r="CU28" s="18">
        <f>CT28*VLOOKUP('Données projet'!$B$13,Paramètres!$A$1:$I$89,3,0)*VLOOKUP('Données projet'!$B$13,Paramètres!$A$1:$I$89,5,0)</f>
        <v>85.51400000000001</v>
      </c>
      <c r="CV28" s="14">
        <f t="shared" si="41"/>
        <v>23.480111436812177</v>
      </c>
      <c r="CW28" s="22">
        <f t="shared" si="13"/>
        <v>189.83141075244791</v>
      </c>
      <c r="CX28" s="62">
        <f t="shared" si="14"/>
        <v>477.05363297467011</v>
      </c>
      <c r="CY28" s="62">
        <f ca="1">AVERAGE(OFFSET($CX$3,0,0,'Données projet'!$E$13+1,1))-AVERAGE(OFFSET($H$3,0,0,'Données projet'!$E$13+1,1))</f>
        <v>338.72479490324491</v>
      </c>
      <c r="CZ28" s="62">
        <f t="shared" si="42"/>
        <v>248.47107558211923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33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69</v>
      </c>
      <c r="O29" s="14">
        <f>N29*VLOOKUP('Données projet'!$B$9,Paramètres!$A$1:$I$89,3,0)*VLOOKUP('Données projet'!$B$9,Paramètres!$A$1:$I$89,5,0)</f>
        <v>62.431199999999997</v>
      </c>
      <c r="P29" s="14">
        <f t="shared" si="33"/>
        <v>17.781524466058684</v>
      </c>
      <c r="Q29" s="22">
        <f t="shared" si="2"/>
        <v>139.70382844505221</v>
      </c>
      <c r="R29" s="62">
        <f t="shared" si="0"/>
        <v>428.14827288949664</v>
      </c>
      <c r="S29" s="62">
        <f ca="1">AVERAGE(OFFSET($R$3,0,0,'Données projet'!$E$9+1,1))-AVERAGE(OFFSET($H$3,0,0,'Données projet'!$E$9+1,1))</f>
        <v>430.11660085503223</v>
      </c>
      <c r="T29" s="62">
        <f t="shared" si="34"/>
        <v>231.36959598460686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69</v>
      </c>
      <c r="AJ29" s="14">
        <f>AI29*VLOOKUP('Données projet'!$B$10,Paramètres!$A$1:$I$89,3,0)*VLOOKUP('Données projet'!$B$10,Paramètres!$A$1:$I$89,5,0)</f>
        <v>66.736800000000002</v>
      </c>
      <c r="AK29" s="14">
        <f t="shared" si="35"/>
        <v>18.860852268900601</v>
      </c>
      <c r="AL29" s="22">
        <f t="shared" si="4"/>
        <v>149.08257770166853</v>
      </c>
      <c r="AM29" s="62">
        <f t="shared" si="5"/>
        <v>437.52702214611298</v>
      </c>
      <c r="AN29" s="62">
        <f ca="1">AVERAGE(OFFSET($AM$3,0,0,'Données projet'!$E$10+1,1))-AVERAGE(OFFSET($H$3,0,0,'Données projet'!$E$10+1,1))</f>
        <v>456.86147223520601</v>
      </c>
      <c r="AO29" s="62">
        <f t="shared" si="36"/>
        <v>244.45149244446094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>
        <f>VLOOKUP(A29,'Données projet'!$A$87:$I$107,2,0)</f>
        <v>178.755</v>
      </c>
      <c r="BB29" s="13">
        <f>VLOOKUP(A29,'Données projet'!$A$87:$I$107,9,0)</f>
        <v>17.067499999999995</v>
      </c>
      <c r="BC29" s="13">
        <f t="array" ref="BC29">INDEX(BB:BB,MIN(IF(ISNUMBER(BB29:BB225),ROW(BB29:BB225),"")))</f>
        <v>17.067499999999995</v>
      </c>
      <c r="BD29" s="13">
        <f>IF('Données projet'!$A$88&gt;35,BD28+BC29-BL28,IF(A29&lt;'Données projet'!$A$88,$BA$205^A29,IF(A29='Données projet'!$A$88,'Données projet'!$B$88,BD28+BC29-BL28)))</f>
        <v>178.75500000000002</v>
      </c>
      <c r="BE29" s="14">
        <f>BD29*VLOOKUP('Données projet'!$B$11,Paramètres!$A$1:$I$89,3,0)*VLOOKUP('Données projet'!$B$11,Paramètres!$A$1:$I$89,5,0)</f>
        <v>106.89549000000002</v>
      </c>
      <c r="BF29" s="14">
        <f t="shared" si="37"/>
        <v>28.598323540974565</v>
      </c>
      <c r="BG29" s="22">
        <f t="shared" si="7"/>
        <v>235.98505858386409</v>
      </c>
      <c r="BH29" s="62">
        <f t="shared" si="8"/>
        <v>524.42950302830855</v>
      </c>
      <c r="BI29" s="62">
        <f ca="1">AVERAGE(OFFSET($BH$3,0,0,'Données projet'!$E$11+1,1))-AVERAGE(OFFSET($H$3,0,0,'Données projet'!$E$11+1,1))</f>
        <v>215.43756133069593</v>
      </c>
      <c r="BJ29" s="62">
        <f t="shared" si="38"/>
        <v>363.02009369315243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7.4361572351324847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21.191269835475772</v>
      </c>
      <c r="BS29" s="24">
        <f t="shared" si="9"/>
        <v>28.627427070608256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>
        <f>VLOOKUP(A29,'Données projet'!$A$113:$I$133,2,0)</f>
        <v>283</v>
      </c>
      <c r="BW29" s="13">
        <f>VLOOKUP(A29,'Données projet'!$A$113:$I$133,9,0)</f>
        <v>32</v>
      </c>
      <c r="BX29" s="13">
        <f t="array" ref="BX29">INDEX(BW:BW,MIN(IF(ISNUMBER(BW29:BW225),ROW(BW29:BW225),"")))</f>
        <v>32</v>
      </c>
      <c r="BY29" s="13">
        <f>IF('Données projet'!$A$114&gt;35,BY28+BX29-CG28,IF(A29&lt;'Données projet'!$A$114,$BV$205^A29,IF(A29='Données projet'!$A$114,'Données projet'!$B$114,BY28+BX29-CG28)))</f>
        <v>283</v>
      </c>
      <c r="BZ29" s="14">
        <f>BY29*VLOOKUP('Données projet'!$B$12,Paramètres!$A$1:$I$89,3,0)*VLOOKUP('Données projet'!$B$12,Paramètres!$A$1:$I$89,5,0)</f>
        <v>125.08600000000003</v>
      </c>
      <c r="CA29" s="14">
        <f t="shared" si="39"/>
        <v>32.858344339471223</v>
      </c>
      <c r="CB29" s="22">
        <f t="shared" si="10"/>
        <v>275.08639972457911</v>
      </c>
      <c r="CC29" s="62">
        <f t="shared" si="11"/>
        <v>563.53084416902357</v>
      </c>
      <c r="CD29" s="62">
        <f ca="1">AVERAGE(OFFSET($CC$3,0,0,'Données projet'!$E$12+1,1))-AVERAGE(OFFSET($H$3,0,0,'Données projet'!$E$12+1,1))</f>
        <v>461.75392711528474</v>
      </c>
      <c r="CE29" s="62">
        <f t="shared" si="40"/>
        <v>441.67157957428236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10</v>
      </c>
      <c r="CT29" s="13">
        <f>IF('Données projet'!$A$140&gt;35,CT28+CS29-DB28,IF(A29&lt;'Données projet'!$A$140,$CQ$205^A29,IF(A29='Données projet'!$A$140,'Données projet'!$B$140,CT28+CS29-DB28)))</f>
        <v>120</v>
      </c>
      <c r="CU29" s="18">
        <f>CT29*VLOOKUP('Données projet'!$B$13,Paramètres!$A$1:$I$89,3,0)*VLOOKUP('Données projet'!$B$13,Paramètres!$A$1:$I$89,5,0)</f>
        <v>71.760000000000005</v>
      </c>
      <c r="CV29" s="14">
        <f t="shared" si="41"/>
        <v>20.109893936516215</v>
      </c>
      <c r="CW29" s="22">
        <f t="shared" si="13"/>
        <v>160.0067319394324</v>
      </c>
      <c r="CX29" s="62">
        <f t="shared" si="14"/>
        <v>448.45117638387683</v>
      </c>
      <c r="CY29" s="62">
        <f ca="1">AVERAGE(OFFSET($CX$3,0,0,'Données projet'!$E$13+1,1))-AVERAGE(OFFSET($H$3,0,0,'Données projet'!$E$13+1,1))</f>
        <v>338.72479490324491</v>
      </c>
      <c r="CZ29" s="62">
        <f t="shared" si="42"/>
        <v>248.47107558211923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76</v>
      </c>
      <c r="O30" s="14">
        <f>N30*VLOOKUP('Données projet'!$B$9,Paramètres!$A$1:$I$89,3,0)*VLOOKUP('Données projet'!$B$9,Paramètres!$A$1:$I$89,5,0)</f>
        <v>68.764799999999994</v>
      </c>
      <c r="P30" s="14">
        <f t="shared" si="33"/>
        <v>19.366396769521369</v>
      </c>
      <c r="Q30" s="22">
        <f t="shared" si="2"/>
        <v>153.49516770691636</v>
      </c>
      <c r="R30" s="62">
        <f t="shared" si="0"/>
        <v>443.16183437358302</v>
      </c>
      <c r="S30" s="62">
        <f ca="1">AVERAGE(OFFSET($R$3,0,0,'Données projet'!$E$9+1,1))-AVERAGE(OFFSET($H$3,0,0,'Données projet'!$E$9+1,1))</f>
        <v>430.11660085503223</v>
      </c>
      <c r="T30" s="62">
        <f t="shared" si="34"/>
        <v>231.36959598460686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76</v>
      </c>
      <c r="AJ30" s="14">
        <f>AI30*VLOOKUP('Données projet'!$B$10,Paramètres!$A$1:$I$89,3,0)*VLOOKUP('Données projet'!$B$10,Paramètres!$A$1:$I$89,5,0)</f>
        <v>73.507199999999997</v>
      </c>
      <c r="AK30" s="14">
        <f t="shared" si="35"/>
        <v>20.541925364615185</v>
      </c>
      <c r="AL30" s="22">
        <f t="shared" si="4"/>
        <v>163.80222667670475</v>
      </c>
      <c r="AM30" s="62">
        <f t="shared" si="5"/>
        <v>453.46889334337141</v>
      </c>
      <c r="AN30" s="62">
        <f ca="1">AVERAGE(OFFSET($AM$3,0,0,'Données projet'!$E$10+1,1))-AVERAGE(OFFSET($H$3,0,0,'Données projet'!$E$10+1,1))</f>
        <v>456.86147223520601</v>
      </c>
      <c r="AO30" s="62">
        <f t="shared" si="36"/>
        <v>244.45149244446094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>
        <f>VLOOKUP(A30,'Données projet'!$A$87:$I$107,2,0)</f>
        <v>195.90799999999999</v>
      </c>
      <c r="BB30" s="13">
        <f>VLOOKUP(A30,'Données projet'!$A$87:$I$107,9,0)</f>
        <v>17.152999999999992</v>
      </c>
      <c r="BC30" s="13">
        <f t="array" ref="BC30">INDEX(BB:BB,MIN(IF(ISNUMBER(BB30:BB226),ROW(BB30:BB226),"")))</f>
        <v>17.152999999999992</v>
      </c>
      <c r="BD30" s="13">
        <f>IF('Données projet'!$A$88&gt;35,BD29+BC30-BL29,IF(A30&lt;'Données projet'!$A$88,$BA$205^A30,IF(A30='Données projet'!$A$88,'Données projet'!$B$88,BD29+BC30-BL29)))</f>
        <v>195.90800000000002</v>
      </c>
      <c r="BE30" s="14">
        <f>BD30*VLOOKUP('Données projet'!$B$11,Paramètres!$A$1:$I$89,3,0)*VLOOKUP('Données projet'!$B$11,Paramètres!$A$1:$I$89,5,0)</f>
        <v>117.15298400000002</v>
      </c>
      <c r="BF30" s="14">
        <f t="shared" si="37"/>
        <v>31.010054486958683</v>
      </c>
      <c r="BG30" s="22">
        <f t="shared" si="7"/>
        <v>258.05062536478636</v>
      </c>
      <c r="BH30" s="62">
        <f t="shared" si="8"/>
        <v>547.7172920314531</v>
      </c>
      <c r="BI30" s="62">
        <f ca="1">AVERAGE(OFFSET($BH$3,0,0,'Données projet'!$E$11+1,1))-AVERAGE(OFFSET($H$3,0,0,'Données projet'!$E$11+1,1))</f>
        <v>215.43756133069593</v>
      </c>
      <c r="BJ30" s="62">
        <f t="shared" si="38"/>
        <v>363.02009369315243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7.2903387273595959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14.984490602618854</v>
      </c>
      <c r="BS30" s="24">
        <f t="shared" si="9"/>
        <v>22.274829329978449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34.4</v>
      </c>
      <c r="BY30" s="13">
        <f>IF('Données projet'!$A$114&gt;35,BY29+BX30-CG29,IF(A30&lt;'Données projet'!$A$114,$BV$205^A30,IF(A30='Données projet'!$A$114,'Données projet'!$B$114,BY29+BX30-CG29)))</f>
        <v>317.39999999999998</v>
      </c>
      <c r="BZ30" s="14">
        <f>BY30*VLOOKUP('Données projet'!$B$12,Paramètres!$A$1:$I$89,3,0)*VLOOKUP('Données projet'!$B$12,Paramètres!$A$1:$I$89,5,0)</f>
        <v>140.29079999999999</v>
      </c>
      <c r="CA30" s="14">
        <f t="shared" si="39"/>
        <v>36.363615644223728</v>
      </c>
      <c r="CB30" s="22">
        <f t="shared" si="10"/>
        <v>307.67310724702298</v>
      </c>
      <c r="CC30" s="62">
        <f t="shared" si="11"/>
        <v>597.33977391368967</v>
      </c>
      <c r="CD30" s="62">
        <f ca="1">AVERAGE(OFFSET($CC$3,0,0,'Données projet'!$E$12+1,1))-AVERAGE(OFFSET($H$3,0,0,'Données projet'!$E$12+1,1))</f>
        <v>461.75392711528474</v>
      </c>
      <c r="CE30" s="62">
        <f t="shared" si="40"/>
        <v>441.67157957428236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10</v>
      </c>
      <c r="CT30" s="13">
        <f>IF('Données projet'!$A$140&gt;35,CT29+CS30-DB29,IF(A30&lt;'Données projet'!$A$140,$CQ$205^A30,IF(A30='Données projet'!$A$140,'Données projet'!$B$140,CT29+CS30-DB29)))</f>
        <v>130</v>
      </c>
      <c r="CU30" s="18">
        <f>CT30*VLOOKUP('Données projet'!$B$13,Paramètres!$A$1:$I$89,3,0)*VLOOKUP('Données projet'!$B$13,Paramètres!$A$1:$I$89,5,0)</f>
        <v>77.740000000000009</v>
      </c>
      <c r="CV30" s="14">
        <f t="shared" si="41"/>
        <v>21.583684155853913</v>
      </c>
      <c r="CW30" s="22">
        <f t="shared" si="13"/>
        <v>172.98874990477893</v>
      </c>
      <c r="CX30" s="62">
        <f t="shared" si="14"/>
        <v>462.65541657144558</v>
      </c>
      <c r="CY30" s="62">
        <f ca="1">AVERAGE(OFFSET($CX$3,0,0,'Données projet'!$E$13+1,1))-AVERAGE(OFFSET($H$3,0,0,'Données projet'!$E$13+1,1))</f>
        <v>338.72479490324491</v>
      </c>
      <c r="CZ30" s="62">
        <f t="shared" si="42"/>
        <v>248.47107558211923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83</v>
      </c>
      <c r="O31" s="14">
        <f>N31*VLOOKUP('Données projet'!$B$9,Paramètres!$A$1:$I$89,3,0)*VLOOKUP('Données projet'!$B$9,Paramètres!$A$1:$I$89,5,0)</f>
        <v>75.098399999999998</v>
      </c>
      <c r="P31" s="14">
        <f t="shared" si="33"/>
        <v>20.934343091450742</v>
      </c>
      <c r="Q31" s="22">
        <f t="shared" si="2"/>
        <v>167.25702755094335</v>
      </c>
      <c r="R31" s="62">
        <f t="shared" si="0"/>
        <v>458.14591643983221</v>
      </c>
      <c r="S31" s="62">
        <f ca="1">AVERAGE(OFFSET($R$3,0,0,'Données projet'!$E$9+1,1))-AVERAGE(OFFSET($H$3,0,0,'Données projet'!$E$9+1,1))</f>
        <v>430.11660085503223</v>
      </c>
      <c r="T31" s="62">
        <f t="shared" si="34"/>
        <v>231.36959598460686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83</v>
      </c>
      <c r="AJ31" s="14">
        <f>AI31*VLOOKUP('Données projet'!$B$10,Paramètres!$A$1:$I$89,3,0)*VLOOKUP('Données projet'!$B$10,Paramètres!$A$1:$I$89,5,0)</f>
        <v>80.277600000000007</v>
      </c>
      <c r="AK31" s="14">
        <f t="shared" si="35"/>
        <v>22.205045081933264</v>
      </c>
      <c r="AL31" s="22">
        <f t="shared" si="4"/>
        <v>178.49060685103379</v>
      </c>
      <c r="AM31" s="62">
        <f t="shared" si="5"/>
        <v>469.37949573992262</v>
      </c>
      <c r="AN31" s="62">
        <f ca="1">AVERAGE(OFFSET($AM$3,0,0,'Données projet'!$E$10+1,1))-AVERAGE(OFFSET($H$3,0,0,'Données projet'!$E$10+1,1))</f>
        <v>456.86147223520601</v>
      </c>
      <c r="AO31" s="62">
        <f t="shared" si="36"/>
        <v>244.45149244446094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>
        <f>VLOOKUP(A31,'Données projet'!$A$87:$I$107,2,0)</f>
        <v>213.4265</v>
      </c>
      <c r="BB31" s="13">
        <f>VLOOKUP(A31,'Données projet'!$A$87:$I$107,9,0)</f>
        <v>17.518500000000017</v>
      </c>
      <c r="BC31" s="13">
        <f t="array" ref="BC31">INDEX(BB:BB,MIN(IF(ISNUMBER(BB31:BB227),ROW(BB31:BB227),"")))</f>
        <v>17.518500000000017</v>
      </c>
      <c r="BD31" s="13">
        <f>IF('Données projet'!$A$88&gt;35,BD30+BC31-BL30,IF(A31&lt;'Données projet'!$A$88,$BA$205^A31,IF(A31='Données projet'!$A$88,'Données projet'!$B$88,BD30+BC31-BL30)))</f>
        <v>213.42650000000003</v>
      </c>
      <c r="BE31" s="14">
        <f>BD31*VLOOKUP('Données projet'!$B$11,Paramètres!$A$1:$I$89,3,0)*VLOOKUP('Données projet'!$B$11,Paramètres!$A$1:$I$89,5,0)</f>
        <v>127.62904700000003</v>
      </c>
      <c r="BF31" s="14">
        <f t="shared" si="37"/>
        <v>33.447916194046705</v>
      </c>
      <c r="BG31" s="22">
        <f t="shared" si="7"/>
        <v>280.5423775629647</v>
      </c>
      <c r="BH31" s="62">
        <f t="shared" si="8"/>
        <v>571.43126645185362</v>
      </c>
      <c r="BI31" s="62">
        <f ca="1">AVERAGE(OFFSET($BH$3,0,0,'Données projet'!$E$11+1,1))-AVERAGE(OFFSET($H$3,0,0,'Données projet'!$E$11+1,1))</f>
        <v>215.43756133069593</v>
      </c>
      <c r="BJ31" s="62">
        <f t="shared" si="38"/>
        <v>363.02009369315243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7.1473796315836262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10.595634917737888</v>
      </c>
      <c r="BS31" s="24">
        <f t="shared" si="9"/>
        <v>17.743014549321515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34.4</v>
      </c>
      <c r="BY31" s="13">
        <f>IF('Données projet'!$A$114&gt;35,BY30+BX31-CG30,IF(A31&lt;'Données projet'!$A$114,$BV$205^A31,IF(A31='Données projet'!$A$114,'Données projet'!$B$114,BY30+BX31-CG30)))</f>
        <v>351.79999999999995</v>
      </c>
      <c r="BZ31" s="14">
        <f>BY31*VLOOKUP('Données projet'!$B$12,Paramètres!$A$1:$I$89,3,0)*VLOOKUP('Données projet'!$B$12,Paramètres!$A$1:$I$89,5,0)</f>
        <v>155.4956</v>
      </c>
      <c r="CA31" s="14">
        <f t="shared" si="39"/>
        <v>39.824853050898099</v>
      </c>
      <c r="CB31" s="22">
        <f t="shared" si="10"/>
        <v>340.18312239698088</v>
      </c>
      <c r="CC31" s="62">
        <f t="shared" si="11"/>
        <v>631.07201128586973</v>
      </c>
      <c r="CD31" s="62">
        <f ca="1">AVERAGE(OFFSET($CC$3,0,0,'Données projet'!$E$12+1,1))-AVERAGE(OFFSET($H$3,0,0,'Données projet'!$E$12+1,1))</f>
        <v>461.75392711528474</v>
      </c>
      <c r="CE31" s="62">
        <f t="shared" si="40"/>
        <v>441.67157957428236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10</v>
      </c>
      <c r="CT31" s="13">
        <f>IF('Données projet'!$A$140&gt;35,CT30+CS31-DB30,IF(A31&lt;'Données projet'!$A$140,$CQ$205^A31,IF(A31='Données projet'!$A$140,'Données projet'!$B$140,CT30+CS31-DB30)))</f>
        <v>140</v>
      </c>
      <c r="CU31" s="18">
        <f>CT31*VLOOKUP('Données projet'!$B$13,Paramètres!$A$1:$I$89,3,0)*VLOOKUP('Données projet'!$B$13,Paramètres!$A$1:$I$89,5,0)</f>
        <v>83.720000000000013</v>
      </c>
      <c r="CV31" s="14">
        <f t="shared" si="41"/>
        <v>23.044323503842598</v>
      </c>
      <c r="CW31" s="22">
        <f t="shared" si="13"/>
        <v>185.9478634358592</v>
      </c>
      <c r="CX31" s="62">
        <f t="shared" si="14"/>
        <v>476.83675232474809</v>
      </c>
      <c r="CY31" s="62">
        <f ca="1">AVERAGE(OFFSET($CX$3,0,0,'Données projet'!$E$13+1,1))-AVERAGE(OFFSET($H$3,0,0,'Données projet'!$E$13+1,1))</f>
        <v>338.72479490324491</v>
      </c>
      <c r="CZ31" s="62">
        <f t="shared" si="42"/>
        <v>248.47107558211923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90</v>
      </c>
      <c r="O32" s="14">
        <f>N32*VLOOKUP('Données projet'!$B$9,Paramètres!$A$1:$I$89,3,0)*VLOOKUP('Données projet'!$B$9,Paramètres!$A$1:$I$89,5,0)</f>
        <v>81.432000000000002</v>
      </c>
      <c r="P32" s="14">
        <f t="shared" si="33"/>
        <v>22.486953220240881</v>
      </c>
      <c r="Q32" s="22">
        <f t="shared" si="2"/>
        <v>180.99217685858619</v>
      </c>
      <c r="R32" s="62">
        <f t="shared" si="0"/>
        <v>473.10328796969736</v>
      </c>
      <c r="S32" s="62">
        <f ca="1">AVERAGE(OFFSET($R$3,0,0,'Données projet'!$E$9+1,1))-AVERAGE(OFFSET($H$3,0,0,'Données projet'!$E$9+1,1))</f>
        <v>430.11660085503223</v>
      </c>
      <c r="T32" s="62">
        <f t="shared" si="34"/>
        <v>231.36959598460686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90</v>
      </c>
      <c r="AJ32" s="14">
        <f>AI32*VLOOKUP('Données projet'!$B$10,Paramètres!$A$1:$I$89,3,0)*VLOOKUP('Données projet'!$B$10,Paramètres!$A$1:$I$89,5,0)</f>
        <v>87.048000000000002</v>
      </c>
      <c r="AK32" s="14">
        <f t="shared" si="35"/>
        <v>23.851897708444891</v>
      </c>
      <c r="AL32" s="22">
        <f t="shared" si="4"/>
        <v>193.15065517554152</v>
      </c>
      <c r="AM32" s="62">
        <f t="shared" si="5"/>
        <v>485.26176628665269</v>
      </c>
      <c r="AN32" s="62">
        <f ca="1">AVERAGE(OFFSET($AM$3,0,0,'Données projet'!$E$10+1,1))-AVERAGE(OFFSET($H$3,0,0,'Données projet'!$E$10+1,1))</f>
        <v>456.86147223520601</v>
      </c>
      <c r="AO32" s="62">
        <f t="shared" si="36"/>
        <v>244.45149244446094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>
        <f>VLOOKUP(A32,'Données projet'!$A$87:$I$107,2,0)</f>
        <v>231.29350000000002</v>
      </c>
      <c r="BB32" s="13">
        <f>VLOOKUP(A32,'Données projet'!$A$87:$I$107,9,0)</f>
        <v>17.867000000000019</v>
      </c>
      <c r="BC32" s="13">
        <f t="array" ref="BC32">INDEX(BB:BB,MIN(IF(ISNUMBER(BB32:BB228),ROW(BB32:BB228),"")))</f>
        <v>17.867000000000019</v>
      </c>
      <c r="BD32" s="13">
        <f>IF('Données projet'!$A$88&gt;35,BD31+BC32-BL31,IF(A32&lt;'Données projet'!$A$88,$BA$205^A32,IF(A32='Données projet'!$A$88,'Données projet'!$B$88,BD31+BC32-BL31)))</f>
        <v>231.29350000000005</v>
      </c>
      <c r="BE32" s="14">
        <f>BD32*VLOOKUP('Données projet'!$B$11,Paramètres!$A$1:$I$89,3,0)*VLOOKUP('Données projet'!$B$11,Paramètres!$A$1:$I$89,5,0)</f>
        <v>138.31351300000003</v>
      </c>
      <c r="BF32" s="14">
        <f t="shared" si="37"/>
        <v>35.910382914607332</v>
      </c>
      <c r="BG32" s="22">
        <f t="shared" si="7"/>
        <v>303.43995205127447</v>
      </c>
      <c r="BH32" s="62">
        <f t="shared" si="8"/>
        <v>595.55106316238562</v>
      </c>
      <c r="BI32" s="62">
        <f ca="1">AVERAGE(OFFSET($BH$3,0,0,'Données projet'!$E$11+1,1))-AVERAGE(OFFSET($H$3,0,0,'Données projet'!$E$11+1,1))</f>
        <v>215.43756133069593</v>
      </c>
      <c r="BJ32" s="62">
        <f t="shared" si="38"/>
        <v>363.02009369315243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7.0072238764793848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7.4922453013094277</v>
      </c>
      <c r="BS32" s="24">
        <f t="shared" si="9"/>
        <v>14.499469177788813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34.4</v>
      </c>
      <c r="BY32" s="13">
        <f>IF('Données projet'!$A$114&gt;35,BY31+BX32-CG31,IF(A32&lt;'Données projet'!$A$114,$BV$205^A32,IF(A32='Données projet'!$A$114,'Données projet'!$B$114,BY31+BX32-CG31)))</f>
        <v>386.19999999999993</v>
      </c>
      <c r="BZ32" s="14">
        <f>BY32*VLOOKUP('Données projet'!$B$12,Paramètres!$A$1:$I$89,3,0)*VLOOKUP('Données projet'!$B$12,Paramètres!$A$1:$I$89,5,0)</f>
        <v>170.7004</v>
      </c>
      <c r="CA32" s="14">
        <f t="shared" si="39"/>
        <v>43.246852329567815</v>
      </c>
      <c r="CB32" s="22">
        <f t="shared" si="10"/>
        <v>372.62479780733065</v>
      </c>
      <c r="CC32" s="62">
        <f t="shared" si="11"/>
        <v>664.73590891844174</v>
      </c>
      <c r="CD32" s="62">
        <f ca="1">AVERAGE(OFFSET($CC$3,0,0,'Données projet'!$E$12+1,1))-AVERAGE(OFFSET($H$3,0,0,'Données projet'!$E$12+1,1))</f>
        <v>461.75392711528474</v>
      </c>
      <c r="CE32" s="62">
        <f t="shared" si="40"/>
        <v>441.67157957428236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10</v>
      </c>
      <c r="CT32" s="13">
        <f>IF('Données projet'!$A$140&gt;35,CT31+CS32-DB31,IF(A32&lt;'Données projet'!$A$140,$CQ$205^A32,IF(A32='Données projet'!$A$140,'Données projet'!$B$140,CT31+CS32-DB31)))</f>
        <v>150</v>
      </c>
      <c r="CU32" s="18">
        <f>CT32*VLOOKUP('Données projet'!$B$13,Paramètres!$A$1:$I$89,3,0)*VLOOKUP('Données projet'!$B$13,Paramètres!$A$1:$I$89,5,0)</f>
        <v>89.7</v>
      </c>
      <c r="CV32" s="14">
        <f t="shared" si="41"/>
        <v>24.492858164013299</v>
      </c>
      <c r="CW32" s="22">
        <f t="shared" si="13"/>
        <v>198.88589463565651</v>
      </c>
      <c r="CX32" s="62">
        <f t="shared" si="14"/>
        <v>490.99700574676763</v>
      </c>
      <c r="CY32" s="62">
        <f ca="1">AVERAGE(OFFSET($CX$3,0,0,'Données projet'!$E$13+1,1))-AVERAGE(OFFSET($H$3,0,0,'Données projet'!$E$13+1,1))</f>
        <v>338.72479490324491</v>
      </c>
      <c r="CZ32" s="62">
        <f t="shared" si="42"/>
        <v>248.47107558211923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97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97</v>
      </c>
      <c r="O33" s="14">
        <f>N33*VLOOKUP('Données projet'!$B$9,Paramètres!$A$1:$I$89,3,0)*VLOOKUP('Données projet'!$B$9,Paramètres!$A$1:$I$89,5,0)</f>
        <v>87.765600000000006</v>
      </c>
      <c r="P33" s="14">
        <f t="shared" si="33"/>
        <v>24.025555589247954</v>
      </c>
      <c r="Q33" s="22">
        <f t="shared" si="2"/>
        <v>194.7029293179402</v>
      </c>
      <c r="R33" s="62">
        <f t="shared" si="0"/>
        <v>488.03626265127355</v>
      </c>
      <c r="S33" s="62">
        <f ca="1">AVERAGE(OFFSET($R$3,0,0,'Données projet'!$E$9+1,1))-AVERAGE(OFFSET($H$3,0,0,'Données projet'!$E$9+1,1))</f>
        <v>430.11660085503223</v>
      </c>
      <c r="T33" s="62">
        <f t="shared" si="34"/>
        <v>231.36959598460686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97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97</v>
      </c>
      <c r="AJ33" s="14">
        <f>AI33*VLOOKUP('Données projet'!$B$10,Paramètres!$A$1:$I$89,3,0)*VLOOKUP('Données projet'!$B$10,Paramètres!$A$1:$I$89,5,0)</f>
        <v>93.818400000000011</v>
      </c>
      <c r="AK33" s="14">
        <f t="shared" si="35"/>
        <v>25.483892312609182</v>
      </c>
      <c r="AL33" s="22">
        <f t="shared" si="4"/>
        <v>207.78482577779434</v>
      </c>
      <c r="AM33" s="62">
        <f t="shared" si="5"/>
        <v>501.11815911112762</v>
      </c>
      <c r="AN33" s="62">
        <f ca="1">AVERAGE(OFFSET($AM$3,0,0,'Données projet'!$E$10+1,1))-AVERAGE(OFFSET($H$3,0,0,'Données projet'!$E$10+1,1))</f>
        <v>456.86147223520601</v>
      </c>
      <c r="AO33" s="62">
        <f t="shared" si="36"/>
        <v>244.45149244446094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249.203</v>
      </c>
      <c r="BB33" s="13">
        <f>VLOOKUP(A33,'Données projet'!$A$87:$I$107,9,0)</f>
        <v>17.90949999999998</v>
      </c>
      <c r="BC33" s="13">
        <f t="array" ref="BC33">INDEX(BB:BB,MIN(IF(ISNUMBER(BB33:BB229),ROW(BB33:BB229),"")))</f>
        <v>17.90949999999998</v>
      </c>
      <c r="BD33" s="13">
        <f>IF('Données projet'!$A$88&gt;35,BD32+BC33-BL32,IF(A33&lt;'Données projet'!$A$88,$BA$205^A33,IF(A33='Données projet'!$A$88,'Données projet'!$B$88,BD32+BC33-BL32)))</f>
        <v>249.20300000000003</v>
      </c>
      <c r="BE33" s="14">
        <f>BD33*VLOOKUP('Données projet'!$B$11,Paramètres!$A$1:$I$89,3,0)*VLOOKUP('Données projet'!$B$11,Paramètres!$A$1:$I$89,5,0)</f>
        <v>149.02339400000002</v>
      </c>
      <c r="BF33" s="14">
        <f t="shared" si="37"/>
        <v>38.356564101331521</v>
      </c>
      <c r="BG33" s="22">
        <f t="shared" si="7"/>
        <v>326.35342702648575</v>
      </c>
      <c r="BH33" s="62">
        <f t="shared" si="8"/>
        <v>619.68676035981912</v>
      </c>
      <c r="BI33" s="62">
        <f ca="1">AVERAGE(OFFSET($BH$3,0,0,'Données projet'!$E$11+1,1))-AVERAGE(OFFSET($H$3,0,0,'Données projet'!$E$11+1,1))</f>
        <v>215.43756133069593</v>
      </c>
      <c r="BJ33" s="62">
        <f t="shared" si="38"/>
        <v>363.02009369315243</v>
      </c>
      <c r="BK33" s="16">
        <f>IF(ISNA(VLOOKUP(A33,'Données projet'!$A$87:$I$107,3,0)),0,VLOOKUP(A33,'Données projet'!$A$87:$I$107,3,0))</f>
        <v>4</v>
      </c>
      <c r="BL33" s="16">
        <f>IF(ISNA(VLOOKUP(A33,'Données projet'!$A$87:$I$107,4,0)),0,VLOOKUP(A33,'Données projet'!$A$87:$I$107,4,0))</f>
        <v>63.6</v>
      </c>
      <c r="BM33" s="17">
        <f>IF(ISNA(VLOOKUP(A33,'Données projet'!$A$87:$I$107,5,0)),0%,VLOOKUP(A33,'Données projet'!$A$87:$I$107,5,0)*VLOOKUP('Données projet'!$B$11,Paramètres!$A$1:$I$89,7,0))</f>
        <v>0.1125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0.75</v>
      </c>
      <c r="BP33" s="23">
        <f>EXP(-LN(2)/35)*BP32+(1-EXP(-LN(2)/35))/(LN(2)/35)*BL33*BM33*VLOOKUP('Données projet'!$B$11,Paramètres!$A$1:$I$89,3,0)*0.475*44/12</f>
        <v>12.545774560090775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37.594290852892371</v>
      </c>
      <c r="BS33" s="24">
        <f t="shared" si="9"/>
        <v>50.140065412983148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34.4</v>
      </c>
      <c r="BY33" s="13">
        <f>IF('Données projet'!$A$114&gt;35,BY32+BX33-CG32,IF(A33&lt;'Données projet'!$A$114,$BV$205^A33,IF(A33='Données projet'!$A$114,'Données projet'!$B$114,BY32+BX33-CG32)))</f>
        <v>420.59999999999991</v>
      </c>
      <c r="BZ33" s="14">
        <f>BY33*VLOOKUP('Données projet'!$B$12,Paramètres!$A$1:$I$89,3,0)*VLOOKUP('Données projet'!$B$12,Paramètres!$A$1:$I$89,5,0)</f>
        <v>185.90520000000001</v>
      </c>
      <c r="CA33" s="14">
        <f t="shared" si="39"/>
        <v>46.633505975664541</v>
      </c>
      <c r="CB33" s="22">
        <f t="shared" si="10"/>
        <v>405.00491290761573</v>
      </c>
      <c r="CC33" s="62">
        <f t="shared" si="11"/>
        <v>698.33824624094905</v>
      </c>
      <c r="CD33" s="62">
        <f ca="1">AVERAGE(OFFSET($CC$3,0,0,'Données projet'!$E$12+1,1))-AVERAGE(OFFSET($H$3,0,0,'Données projet'!$E$12+1,1))</f>
        <v>461.75392711528474</v>
      </c>
      <c r="CE33" s="62">
        <f t="shared" si="40"/>
        <v>441.67157957428236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160</v>
      </c>
      <c r="CR33" s="13">
        <f>VLOOKUP(A33,'Données projet'!$A$139:$I$159,9,0)</f>
        <v>10</v>
      </c>
      <c r="CS33" s="13">
        <f t="array" ref="CS33">INDEX(CR:CR,MIN(IF(ISNUMBER(CR33:CR229),ROW(CR33:CR229),"")))</f>
        <v>10</v>
      </c>
      <c r="CT33" s="13">
        <f>IF('Données projet'!$A$140&gt;35,CT32+CS33-DB32,IF(A33&lt;'Données projet'!$A$140,$CQ$205^A33,IF(A33='Données projet'!$A$140,'Données projet'!$B$140,CT32+CS33-DB32)))</f>
        <v>160</v>
      </c>
      <c r="CU33" s="18">
        <f>CT33*VLOOKUP('Données projet'!$B$13,Paramètres!$A$1:$I$89,3,0)*VLOOKUP('Données projet'!$B$13,Paramètres!$A$1:$I$89,5,0)</f>
        <v>95.680000000000021</v>
      </c>
      <c r="CV33" s="14">
        <f t="shared" si="41"/>
        <v>25.930186937101965</v>
      </c>
      <c r="CW33" s="22">
        <f t="shared" si="13"/>
        <v>211.80440891545263</v>
      </c>
      <c r="CX33" s="62">
        <f t="shared" si="14"/>
        <v>505.13774224878591</v>
      </c>
      <c r="CY33" s="62">
        <f ca="1">AVERAGE(OFFSET($CX$3,0,0,'Données projet'!$E$13+1,1))-AVERAGE(OFFSET($H$3,0,0,'Données projet'!$E$13+1,1))</f>
        <v>338.72479490324491</v>
      </c>
      <c r="CZ33" s="62">
        <f t="shared" si="42"/>
        <v>248.47107558211923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105</v>
      </c>
      <c r="O34" s="14">
        <f>N34*VLOOKUP('Données projet'!$B$9,Paramètres!$A$1:$I$89,3,0)*VLOOKUP('Données projet'!$B$9,Paramètres!$A$1:$I$89,5,0)</f>
        <v>95.004000000000005</v>
      </c>
      <c r="P34" s="14">
        <f t="shared" si="33"/>
        <v>25.768242550600785</v>
      </c>
      <c r="Q34" s="22">
        <f t="shared" si="2"/>
        <v>210.34498910896306</v>
      </c>
      <c r="R34" s="62">
        <f t="shared" si="0"/>
        <v>503.67832244229635</v>
      </c>
      <c r="S34" s="62">
        <f ca="1">AVERAGE(OFFSET($R$3,0,0,'Données projet'!$E$9+1,1))-AVERAGE(OFFSET($H$3,0,0,'Données projet'!$E$9+1,1))</f>
        <v>430.11660085503223</v>
      </c>
      <c r="T34" s="62">
        <f t="shared" si="34"/>
        <v>231.36959598460686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105</v>
      </c>
      <c r="AJ34" s="14">
        <f>AI34*VLOOKUP('Données projet'!$B$10,Paramètres!$A$1:$I$89,3,0)*VLOOKUP('Données projet'!$B$10,Paramètres!$A$1:$I$89,5,0)</f>
        <v>101.556</v>
      </c>
      <c r="AK34" s="14">
        <f t="shared" si="35"/>
        <v>27.332359320696909</v>
      </c>
      <c r="AL34" s="22">
        <f t="shared" si="4"/>
        <v>224.48055915021379</v>
      </c>
      <c r="AM34" s="62">
        <f t="shared" si="5"/>
        <v>517.81389248354708</v>
      </c>
      <c r="AN34" s="62">
        <f ca="1">AVERAGE(OFFSET($AM$3,0,0,'Données projet'!$E$10+1,1))-AVERAGE(OFFSET($H$3,0,0,'Données projet'!$E$10+1,1))</f>
        <v>456.86147223520601</v>
      </c>
      <c r="AO34" s="62">
        <f t="shared" si="36"/>
        <v>244.45149244446094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14.606791666666666</v>
      </c>
      <c r="BD34" s="13">
        <f>IF('Données projet'!$A$88&gt;35,BD33+BC34-BL33,IF(A34&lt;'Données projet'!$A$88,$BA$205^A34,IF(A34='Données projet'!$A$88,'Données projet'!$B$88,BD33+BC34-BL33)))</f>
        <v>200.20979166666669</v>
      </c>
      <c r="BE34" s="14">
        <f>BD34*VLOOKUP('Données projet'!$B$11,Paramètres!$A$1:$I$89,3,0)*VLOOKUP('Données projet'!$B$11,Paramètres!$A$1:$I$89,5,0)</f>
        <v>119.72545541666668</v>
      </c>
      <c r="BF34" s="14">
        <f t="shared" si="37"/>
        <v>31.610957745066422</v>
      </c>
      <c r="BG34" s="22">
        <f t="shared" si="7"/>
        <v>263.57758625668515</v>
      </c>
      <c r="BH34" s="62">
        <f t="shared" si="8"/>
        <v>556.91091959001847</v>
      </c>
      <c r="BI34" s="62">
        <f ca="1">AVERAGE(OFFSET($BH$3,0,0,'Données projet'!$E$11+1,1))-AVERAGE(OFFSET($H$3,0,0,'Données projet'!$E$11+1,1))</f>
        <v>215.43756133069593</v>
      </c>
      <c r="BJ34" s="62">
        <f t="shared" si="38"/>
        <v>363.02009369315243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12.299759573134288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26.583177995979593</v>
      </c>
      <c r="BS34" s="24">
        <f t="shared" si="9"/>
        <v>38.882937569113878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>
        <f>VLOOKUP(A34,'Données projet'!$A$113:$I$133,2,0)</f>
        <v>455</v>
      </c>
      <c r="BW34" s="13">
        <f>VLOOKUP(A34,'Données projet'!$A$113:$I$133,9,0)</f>
        <v>34.4</v>
      </c>
      <c r="BX34" s="13">
        <f t="array" ref="BX34">INDEX(BW:BW,MIN(IF(ISNUMBER(BW34:BW230),ROW(BW34:BW230),"")))</f>
        <v>34.4</v>
      </c>
      <c r="BY34" s="13">
        <f>IF('Données projet'!$A$114&gt;35,BY33+BX34-CG33,IF(A34&lt;'Données projet'!$A$114,$BV$205^A34,IF(A34='Données projet'!$A$114,'Données projet'!$B$114,BY33+BX34-CG33)))</f>
        <v>454.99999999999989</v>
      </c>
      <c r="BZ34" s="14">
        <f>BY34*VLOOKUP('Données projet'!$B$12,Paramètres!$A$1:$I$89,3,0)*VLOOKUP('Données projet'!$B$12,Paramètres!$A$1:$I$89,5,0)</f>
        <v>201.10999999999996</v>
      </c>
      <c r="CA34" s="14">
        <f t="shared" si="39"/>
        <v>49.988033494808555</v>
      </c>
      <c r="CB34" s="22">
        <f t="shared" si="10"/>
        <v>437.32907500345806</v>
      </c>
      <c r="CC34" s="62">
        <f t="shared" si="11"/>
        <v>730.66240833679137</v>
      </c>
      <c r="CD34" s="62">
        <f ca="1">AVERAGE(OFFSET($CC$3,0,0,'Données projet'!$E$12+1,1))-AVERAGE(OFFSET($H$3,0,0,'Données projet'!$E$12+1,1))</f>
        <v>461.75392711528474</v>
      </c>
      <c r="CE34" s="62">
        <f t="shared" si="40"/>
        <v>441.67157957428236</v>
      </c>
      <c r="CF34" s="16">
        <f>IF(ISNA(VLOOKUP(A34,'Données projet'!$A$113:$I$133,3,0)),0,VLOOKUP(A34,'Données projet'!$A$113:$I$133,3,0))</f>
        <v>2</v>
      </c>
      <c r="CG34" s="16">
        <f>IF(ISNA(VLOOKUP(A34,'Données projet'!$A$113:$I$133,4,0)),0,VLOOKUP(A34,'Données projet'!$A$113:$I$133,4,0))</f>
        <v>154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13.2</v>
      </c>
      <c r="CT34" s="13">
        <f>IF('Données projet'!$A$140&gt;35,CT33+CS34-DB33,IF(A34&lt;'Données projet'!$A$140,$CQ$205^A34,IF(A34='Données projet'!$A$140,'Données projet'!$B$140,CT33+CS34-DB33)))</f>
        <v>173.2</v>
      </c>
      <c r="CU34" s="18">
        <f>CT34*VLOOKUP('Données projet'!$B$13,Paramètres!$A$1:$I$89,3,0)*VLOOKUP('Données projet'!$B$13,Paramètres!$A$1:$I$89,5,0)</f>
        <v>103.5736</v>
      </c>
      <c r="CV34" s="14">
        <f t="shared" si="41"/>
        <v>27.811610891270632</v>
      </c>
      <c r="CW34" s="22">
        <f t="shared" si="13"/>
        <v>228.82924230229631</v>
      </c>
      <c r="CX34" s="62">
        <f t="shared" si="14"/>
        <v>522.16257563562965</v>
      </c>
      <c r="CY34" s="62">
        <f ca="1">AVERAGE(OFFSET($CX$3,0,0,'Données projet'!$E$13+1,1))-AVERAGE(OFFSET($H$3,0,0,'Données projet'!$E$13+1,1))</f>
        <v>338.72479490324491</v>
      </c>
      <c r="CZ34" s="62">
        <f t="shared" si="42"/>
        <v>248.47107558211923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113</v>
      </c>
      <c r="O35" s="14">
        <f>N35*VLOOKUP('Données projet'!$B$9,Paramètres!$A$1:$I$89,3,0)*VLOOKUP('Données projet'!$B$9,Paramètres!$A$1:$I$89,5,0)</f>
        <v>102.24239999999999</v>
      </c>
      <c r="P35" s="14">
        <f t="shared" si="33"/>
        <v>27.495526976991481</v>
      </c>
      <c r="Q35" s="22">
        <f t="shared" ref="Q35:Q66" si="53">(O35+P35)*0.475*44/12</f>
        <v>225.96022281826015</v>
      </c>
      <c r="R35" s="62">
        <f t="shared" si="0"/>
        <v>519.29355615159352</v>
      </c>
      <c r="S35" s="62">
        <f ca="1">AVERAGE(OFFSET($R$3,0,0,'Données projet'!$E$9+1,1))-AVERAGE(OFFSET($H$3,0,0,'Données projet'!$E$9+1,1))</f>
        <v>430.11660085503223</v>
      </c>
      <c r="T35" s="62">
        <f t="shared" si="34"/>
        <v>231.36959598460686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113</v>
      </c>
      <c r="AJ35" s="14">
        <f>AI35*VLOOKUP('Données projet'!$B$10,Paramètres!$A$1:$I$89,3,0)*VLOOKUP('Données projet'!$B$10,Paramètres!$A$1:$I$89,5,0)</f>
        <v>109.29360000000001</v>
      </c>
      <c r="AK35" s="14">
        <f t="shared" si="35"/>
        <v>29.16448886924675</v>
      </c>
      <c r="AL35" s="22">
        <f t="shared" si="4"/>
        <v>241.14783811393806</v>
      </c>
      <c r="AM35" s="62">
        <f t="shared" si="5"/>
        <v>534.48117144727144</v>
      </c>
      <c r="AN35" s="62">
        <f ca="1">AVERAGE(OFFSET($AM$3,0,0,'Données projet'!$E$10+1,1))-AVERAGE(OFFSET($H$3,0,0,'Données projet'!$E$10+1,1))</f>
        <v>456.86147223520601</v>
      </c>
      <c r="AO35" s="62">
        <f t="shared" si="36"/>
        <v>244.45149244446094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14.606791666666666</v>
      </c>
      <c r="BD35" s="13">
        <f>IF('Données projet'!$A$88&gt;35,BD34+BC35-BL34,IF(A35&lt;'Données projet'!$A$88,$BA$205^A35,IF(A35='Données projet'!$A$88,'Données projet'!$B$88,BD34+BC35-BL34)))</f>
        <v>214.81658333333337</v>
      </c>
      <c r="BE35" s="14">
        <f>BD35*VLOOKUP('Données projet'!$B$11,Paramètres!$A$1:$I$89,3,0)*VLOOKUP('Données projet'!$B$11,Paramètres!$A$1:$I$89,5,0)</f>
        <v>128.46031683333337</v>
      </c>
      <c r="BF35" s="14">
        <f t="shared" si="37"/>
        <v>33.640337433412867</v>
      </c>
      <c r="BG35" s="22">
        <f t="shared" si="7"/>
        <v>282.32530618124969</v>
      </c>
      <c r="BH35" s="62">
        <f t="shared" si="8"/>
        <v>575.658639514583</v>
      </c>
      <c r="BI35" s="62">
        <f ca="1">AVERAGE(OFFSET($BH$3,0,0,'Données projet'!$E$11+1,1))-AVERAGE(OFFSET($H$3,0,0,'Données projet'!$E$11+1,1))</f>
        <v>215.43756133069593</v>
      </c>
      <c r="BJ35" s="62">
        <f t="shared" si="38"/>
        <v>363.02009369315243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12.058568790017693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18.797145426446189</v>
      </c>
      <c r="BS35" s="24">
        <f t="shared" si="9"/>
        <v>30.85571421646388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33.799999999999997</v>
      </c>
      <c r="BY35" s="13">
        <f>IF('Données projet'!$A$114&gt;35,BY34+BX35-CG34,IF(A35&lt;'Données projet'!$A$114,$BV$205^A35,IF(A35='Données projet'!$A$114,'Données projet'!$B$114,BY34+BX35-CG34)))</f>
        <v>334.7999999999999</v>
      </c>
      <c r="BZ35" s="14">
        <f>BY35*VLOOKUP('Données projet'!$B$12,Paramètres!$A$1:$I$89,3,0)*VLOOKUP('Données projet'!$B$12,Paramètres!$A$1:$I$89,5,0)</f>
        <v>147.98159999999999</v>
      </c>
      <c r="CA35" s="14">
        <f t="shared" si="39"/>
        <v>38.119535949375617</v>
      </c>
      <c r="CB35" s="22">
        <f t="shared" si="10"/>
        <v>324.12614511182915</v>
      </c>
      <c r="CC35" s="62">
        <f t="shared" si="11"/>
        <v>617.4594784451624</v>
      </c>
      <c r="CD35" s="62">
        <f ca="1">AVERAGE(OFFSET($CC$3,0,0,'Données projet'!$E$12+1,1))-AVERAGE(OFFSET($H$3,0,0,'Données projet'!$E$12+1,1))</f>
        <v>461.75392711528474</v>
      </c>
      <c r="CE35" s="62">
        <f t="shared" si="40"/>
        <v>441.67157957428236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13.2</v>
      </c>
      <c r="CT35" s="13">
        <f>IF('Données projet'!$A$140&gt;35,CT34+CS35-DB34,IF(A35&lt;'Données projet'!$A$140,$CQ$205^A35,IF(A35='Données projet'!$A$140,'Données projet'!$B$140,CT34+CS35-DB34)))</f>
        <v>186.39999999999998</v>
      </c>
      <c r="CU35" s="18">
        <f>CT35*VLOOKUP('Données projet'!$B$13,Paramètres!$A$1:$I$89,3,0)*VLOOKUP('Données projet'!$B$13,Paramètres!$A$1:$I$89,5,0)</f>
        <v>111.46720000000001</v>
      </c>
      <c r="CV35" s="14">
        <f t="shared" si="41"/>
        <v>29.676401310795534</v>
      </c>
      <c r="CW35" s="22">
        <f t="shared" si="13"/>
        <v>245.82510561630218</v>
      </c>
      <c r="CX35" s="62">
        <f t="shared" si="14"/>
        <v>539.15843894963552</v>
      </c>
      <c r="CY35" s="62">
        <f ca="1">AVERAGE(OFFSET($CX$3,0,0,'Données projet'!$E$13+1,1))-AVERAGE(OFFSET($H$3,0,0,'Données projet'!$E$13+1,1))</f>
        <v>338.72479490324491</v>
      </c>
      <c r="CZ35" s="62">
        <f t="shared" si="42"/>
        <v>248.47107558211923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121</v>
      </c>
      <c r="O36" s="14">
        <f>N36*VLOOKUP('Données projet'!$B$9,Paramètres!$A$1:$I$89,3,0)*VLOOKUP('Données projet'!$B$9,Paramètres!$A$1:$I$89,5,0)</f>
        <v>109.48079999999999</v>
      </c>
      <c r="P36" s="14">
        <f t="shared" si="33"/>
        <v>29.208623339903898</v>
      </c>
      <c r="Q36" s="22">
        <f t="shared" si="53"/>
        <v>241.5507456503326</v>
      </c>
      <c r="R36" s="62">
        <f t="shared" si="0"/>
        <v>534.88407898366586</v>
      </c>
      <c r="S36" s="62">
        <f ca="1">AVERAGE(OFFSET($R$3,0,0,'Données projet'!$E$9+1,1))-AVERAGE(OFFSET($H$3,0,0,'Données projet'!$E$9+1,1))</f>
        <v>430.11660085503223</v>
      </c>
      <c r="T36" s="62">
        <f t="shared" si="34"/>
        <v>231.36959598460686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121</v>
      </c>
      <c r="AJ36" s="14">
        <f>AI36*VLOOKUP('Données projet'!$B$10,Paramètres!$A$1:$I$89,3,0)*VLOOKUP('Données projet'!$B$10,Paramètres!$A$1:$I$89,5,0)</f>
        <v>117.0312</v>
      </c>
      <c r="AK36" s="14">
        <f t="shared" si="35"/>
        <v>30.981569147428527</v>
      </c>
      <c r="AL36" s="22">
        <f t="shared" si="4"/>
        <v>257.78890626510469</v>
      </c>
      <c r="AM36" s="62">
        <f t="shared" si="5"/>
        <v>551.122239598438</v>
      </c>
      <c r="AN36" s="62">
        <f ca="1">AVERAGE(OFFSET($AM$3,0,0,'Données projet'!$E$10+1,1))-AVERAGE(OFFSET($H$3,0,0,'Données projet'!$E$10+1,1))</f>
        <v>456.86147223520601</v>
      </c>
      <c r="AO36" s="62">
        <f t="shared" si="36"/>
        <v>244.45149244446094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14.606791666666666</v>
      </c>
      <c r="BD36" s="13">
        <f>IF('Données projet'!$A$88&gt;35,BD35+BC36-BL35,IF(A36&lt;'Données projet'!$A$88,$BA$205^A36,IF(A36='Données projet'!$A$88,'Données projet'!$B$88,BD35+BC36-BL35)))</f>
        <v>229.42337500000002</v>
      </c>
      <c r="BE36" s="14">
        <f>BD36*VLOOKUP('Données projet'!$B$11,Paramètres!$A$1:$I$89,3,0)*VLOOKUP('Données projet'!$B$11,Paramètres!$A$1:$I$89,5,0)</f>
        <v>137.19517825000003</v>
      </c>
      <c r="BF36" s="14">
        <f t="shared" si="37"/>
        <v>35.653705362332616</v>
      </c>
      <c r="BG36" s="22">
        <f t="shared" si="7"/>
        <v>301.04513895814603</v>
      </c>
      <c r="BH36" s="62">
        <f t="shared" si="8"/>
        <v>594.37847229147928</v>
      </c>
      <c r="BI36" s="62">
        <f ca="1">AVERAGE(OFFSET($BH$3,0,0,'Données projet'!$E$11+1,1))-AVERAGE(OFFSET($H$3,0,0,'Données projet'!$E$11+1,1))</f>
        <v>215.43756133069593</v>
      </c>
      <c r="BJ36" s="62">
        <f t="shared" si="38"/>
        <v>363.02009369315243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11.822107611046162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13.291588997989798</v>
      </c>
      <c r="BS36" s="24">
        <f t="shared" si="9"/>
        <v>25.113696609035962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33.799999999999997</v>
      </c>
      <c r="BY36" s="13">
        <f>IF('Données projet'!$A$114&gt;35,BY35+BX36-CG35,IF(A36&lt;'Données projet'!$A$114,$BV$205^A36,IF(A36='Données projet'!$A$114,'Données projet'!$B$114,BY35+BX36-CG35)))</f>
        <v>368.59999999999991</v>
      </c>
      <c r="BZ36" s="14">
        <f>BY36*VLOOKUP('Données projet'!$B$12,Paramètres!$A$1:$I$89,3,0)*VLOOKUP('Données projet'!$B$12,Paramètres!$A$1:$I$89,5,0)</f>
        <v>162.92119999999997</v>
      </c>
      <c r="CA36" s="14">
        <f t="shared" si="39"/>
        <v>41.500704809983048</v>
      </c>
      <c r="CB36" s="22">
        <f t="shared" si="10"/>
        <v>356.03481754405374</v>
      </c>
      <c r="CC36" s="62">
        <f t="shared" si="11"/>
        <v>649.36815087738705</v>
      </c>
      <c r="CD36" s="62">
        <f ca="1">AVERAGE(OFFSET($CC$3,0,0,'Données projet'!$E$12+1,1))-AVERAGE(OFFSET($H$3,0,0,'Données projet'!$E$12+1,1))</f>
        <v>461.75392711528474</v>
      </c>
      <c r="CE36" s="62">
        <f t="shared" si="40"/>
        <v>441.67157957428236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13.2</v>
      </c>
      <c r="CT36" s="13">
        <f>IF('Données projet'!$A$140&gt;35,CT35+CS36-DB35,IF(A36&lt;'Données projet'!$A$140,$CQ$205^A36,IF(A36='Données projet'!$A$140,'Données projet'!$B$140,CT35+CS36-DB35)))</f>
        <v>199.59999999999997</v>
      </c>
      <c r="CU36" s="18">
        <f>CT36*VLOOKUP('Données projet'!$B$13,Paramètres!$A$1:$I$89,3,0)*VLOOKUP('Données projet'!$B$13,Paramètres!$A$1:$I$89,5,0)</f>
        <v>119.36079999999998</v>
      </c>
      <c r="CV36" s="14">
        <f t="shared" si="41"/>
        <v>31.525870081616958</v>
      </c>
      <c r="CW36" s="22">
        <f t="shared" si="13"/>
        <v>262.79428372548284</v>
      </c>
      <c r="CX36" s="62">
        <f t="shared" si="14"/>
        <v>556.12761705881621</v>
      </c>
      <c r="CY36" s="62">
        <f ca="1">AVERAGE(OFFSET($CX$3,0,0,'Données projet'!$E$13+1,1))-AVERAGE(OFFSET($H$3,0,0,'Données projet'!$E$13+1,1))</f>
        <v>338.72479490324491</v>
      </c>
      <c r="CZ36" s="62">
        <f t="shared" si="42"/>
        <v>248.47107558211923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129</v>
      </c>
      <c r="O37" s="14">
        <f>N37*VLOOKUP('Données projet'!$B$9,Paramètres!$A$1:$I$89,3,0)*VLOOKUP('Données projet'!$B$9,Paramètres!$A$1:$I$89,5,0)</f>
        <v>116.71919999999999</v>
      </c>
      <c r="P37" s="14">
        <f t="shared" si="33"/>
        <v>30.908576435525887</v>
      </c>
      <c r="Q37" s="22">
        <f t="shared" si="53"/>
        <v>257.1183772918742</v>
      </c>
      <c r="R37" s="62">
        <f t="shared" si="0"/>
        <v>550.45171062520751</v>
      </c>
      <c r="S37" s="62">
        <f ca="1">AVERAGE(OFFSET($R$3,0,0,'Données projet'!$E$9+1,1))-AVERAGE(OFFSET($H$3,0,0,'Données projet'!$E$9+1,1))</f>
        <v>430.11660085503223</v>
      </c>
      <c r="T37" s="62">
        <f t="shared" si="34"/>
        <v>231.36959598460686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129</v>
      </c>
      <c r="AJ37" s="14">
        <f>AI37*VLOOKUP('Données projet'!$B$10,Paramètres!$A$1:$I$89,3,0)*VLOOKUP('Données projet'!$B$10,Paramètres!$A$1:$I$89,5,0)</f>
        <v>124.76880000000001</v>
      </c>
      <c r="AK37" s="14">
        <f t="shared" si="35"/>
        <v>32.784708369928126</v>
      </c>
      <c r="AL37" s="22">
        <f t="shared" si="4"/>
        <v>274.40569374429145</v>
      </c>
      <c r="AM37" s="62">
        <f t="shared" si="5"/>
        <v>567.73902707762477</v>
      </c>
      <c r="AN37" s="62">
        <f ca="1">AVERAGE(OFFSET($AM$3,0,0,'Données projet'!$E$10+1,1))-AVERAGE(OFFSET($H$3,0,0,'Données projet'!$E$10+1,1))</f>
        <v>456.86147223520601</v>
      </c>
      <c r="AO37" s="62">
        <f t="shared" si="36"/>
        <v>244.45149244446094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14.606791666666666</v>
      </c>
      <c r="BD37" s="13">
        <f>IF('Données projet'!$A$88&gt;35,BD36+BC37-BL36,IF(A37&lt;'Données projet'!$A$88,$BA$205^A37,IF(A37='Données projet'!$A$88,'Données projet'!$B$88,BD36+BC37-BL36)))</f>
        <v>244.03016666666667</v>
      </c>
      <c r="BE37" s="14">
        <f>BD37*VLOOKUP('Données projet'!$B$11,Paramètres!$A$1:$I$89,3,0)*VLOOKUP('Données projet'!$B$11,Paramètres!$A$1:$I$89,5,0)</f>
        <v>145.93003966666669</v>
      </c>
      <c r="BF37" s="14">
        <f t="shared" si="37"/>
        <v>37.652196996153258</v>
      </c>
      <c r="BG37" s="22">
        <f t="shared" si="7"/>
        <v>319.73906218774476</v>
      </c>
      <c r="BH37" s="62">
        <f t="shared" si="8"/>
        <v>613.07239552107808</v>
      </c>
      <c r="BI37" s="62">
        <f ca="1">AVERAGE(OFFSET($BH$3,0,0,'Données projet'!$E$11+1,1))-AVERAGE(OFFSET($H$3,0,0,'Données projet'!$E$11+1,1))</f>
        <v>215.43756133069593</v>
      </c>
      <c r="BJ37" s="62">
        <f t="shared" si="38"/>
        <v>363.02009369315243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11.590283291567184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9.3985727132230963</v>
      </c>
      <c r="BS37" s="24">
        <f t="shared" si="9"/>
        <v>20.988856004790279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33.799999999999997</v>
      </c>
      <c r="BY37" s="13">
        <f>IF('Données projet'!$A$114&gt;35,BY36+BX37-CG36,IF(A37&lt;'Données projet'!$A$114,$BV$205^A37,IF(A37='Données projet'!$A$114,'Données projet'!$B$114,BY36+BX37-CG36)))</f>
        <v>402.39999999999992</v>
      </c>
      <c r="BZ37" s="14">
        <f>BY37*VLOOKUP('Données projet'!$B$12,Paramètres!$A$1:$I$89,3,0)*VLOOKUP('Données projet'!$B$12,Paramètres!$A$1:$I$89,5,0)</f>
        <v>177.86079999999998</v>
      </c>
      <c r="CA37" s="14">
        <f t="shared" si="39"/>
        <v>44.845922923371276</v>
      </c>
      <c r="CB37" s="22">
        <f t="shared" si="10"/>
        <v>387.88087575820492</v>
      </c>
      <c r="CC37" s="62">
        <f t="shared" si="11"/>
        <v>681.21420909153824</v>
      </c>
      <c r="CD37" s="62">
        <f ca="1">AVERAGE(OFFSET($CC$3,0,0,'Données projet'!$E$12+1,1))-AVERAGE(OFFSET($H$3,0,0,'Données projet'!$E$12+1,1))</f>
        <v>461.75392711528474</v>
      </c>
      <c r="CE37" s="62">
        <f t="shared" si="40"/>
        <v>441.67157957428236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13.2</v>
      </c>
      <c r="CT37" s="13">
        <f>IF('Données projet'!$A$140&gt;35,CT36+CS37-DB36,IF(A37&lt;'Données projet'!$A$140,$CQ$205^A37,IF(A37='Données projet'!$A$140,'Données projet'!$B$140,CT36+CS37-DB36)))</f>
        <v>212.79999999999995</v>
      </c>
      <c r="CU37" s="18">
        <f>CT37*VLOOKUP('Données projet'!$B$13,Paramètres!$A$1:$I$89,3,0)*VLOOKUP('Données projet'!$B$13,Paramètres!$A$1:$I$89,5,0)</f>
        <v>127.25439999999998</v>
      </c>
      <c r="CV37" s="14">
        <f t="shared" si="41"/>
        <v>33.36114575852995</v>
      </c>
      <c r="CW37" s="22">
        <f t="shared" si="13"/>
        <v>279.73874219610627</v>
      </c>
      <c r="CX37" s="62">
        <f t="shared" si="14"/>
        <v>573.07207552943964</v>
      </c>
      <c r="CY37" s="62">
        <f ca="1">AVERAGE(OFFSET($CX$3,0,0,'Données projet'!$E$13+1,1))-AVERAGE(OFFSET($H$3,0,0,'Données projet'!$E$13+1,1))</f>
        <v>338.72479490324491</v>
      </c>
      <c r="CZ37" s="62">
        <f t="shared" si="42"/>
        <v>248.47107558211923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137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137</v>
      </c>
      <c r="O38" s="14">
        <f>N38*VLOOKUP('Données projet'!$B$9,Paramètres!$A$1:$I$89,3,0)*VLOOKUP('Données projet'!$B$9,Paramètres!$A$1:$I$89,5,0)</f>
        <v>123.9576</v>
      </c>
      <c r="P38" s="14">
        <f t="shared" si="33"/>
        <v>32.59629414926458</v>
      </c>
      <c r="Q38" s="22">
        <f t="shared" si="53"/>
        <v>272.6646989766358</v>
      </c>
      <c r="R38" s="62">
        <f t="shared" si="0"/>
        <v>565.99803230996918</v>
      </c>
      <c r="S38" s="62">
        <f ca="1">AVERAGE(OFFSET($R$3,0,0,'Données projet'!$E$9+1,1))-AVERAGE(OFFSET($H$3,0,0,'Données projet'!$E$9+1,1))</f>
        <v>430.11660085503223</v>
      </c>
      <c r="T38" s="62">
        <f t="shared" si="34"/>
        <v>231.36959598460686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42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137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137</v>
      </c>
      <c r="AJ38" s="14">
        <f>AI38*VLOOKUP('Données projet'!$B$10,Paramètres!$A$1:$I$89,3,0)*VLOOKUP('Données projet'!$B$10,Paramètres!$A$1:$I$89,5,0)</f>
        <v>132.50640000000001</v>
      </c>
      <c r="AK38" s="14">
        <f t="shared" si="35"/>
        <v>34.574869530248939</v>
      </c>
      <c r="AL38" s="22">
        <f t="shared" si="4"/>
        <v>290.99987776518356</v>
      </c>
      <c r="AM38" s="62">
        <f t="shared" si="5"/>
        <v>584.33321109851681</v>
      </c>
      <c r="AN38" s="62">
        <f ca="1">AVERAGE(OFFSET($AM$3,0,0,'Données projet'!$E$10+1,1))-AVERAGE(OFFSET($H$3,0,0,'Données projet'!$E$10+1,1))</f>
        <v>456.86147223520601</v>
      </c>
      <c r="AO38" s="62">
        <f t="shared" si="36"/>
        <v>244.45149244446094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42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14.606791666666666</v>
      </c>
      <c r="BD38" s="13">
        <f>IF('Données projet'!$A$88&gt;35,BD37+BC38-BL37,IF(A38&lt;'Données projet'!$A$88,$BA$205^A38,IF(A38='Données projet'!$A$88,'Données projet'!$B$88,BD37+BC38-BL37)))</f>
        <v>258.63695833333333</v>
      </c>
      <c r="BE38" s="14">
        <f>BD38*VLOOKUP('Données projet'!$B$11,Paramètres!$A$1:$I$89,3,0)*VLOOKUP('Données projet'!$B$11,Paramètres!$A$1:$I$89,5,0)</f>
        <v>154.66490108333335</v>
      </c>
      <c r="BF38" s="14">
        <f t="shared" si="37"/>
        <v>39.636804189697621</v>
      </c>
      <c r="BG38" s="22">
        <f t="shared" si="7"/>
        <v>338.4088033505289</v>
      </c>
      <c r="BH38" s="62">
        <f t="shared" si="8"/>
        <v>631.74213668386221</v>
      </c>
      <c r="BI38" s="62">
        <f ca="1">AVERAGE(OFFSET($BH$3,0,0,'Données projet'!$E$11+1,1))-AVERAGE(OFFSET($H$3,0,0,'Données projet'!$E$11+1,1))</f>
        <v>215.43756133069593</v>
      </c>
      <c r="BJ38" s="62">
        <f t="shared" si="38"/>
        <v>363.02009369315243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11.363004905594316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6.6457944989949009</v>
      </c>
      <c r="BS38" s="24">
        <f t="shared" si="9"/>
        <v>18.008799404589219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33.799999999999997</v>
      </c>
      <c r="BY38" s="13">
        <f>IF('Données projet'!$A$114&gt;35,BY37+BX38-CG37,IF(A38&lt;'Données projet'!$A$114,$BV$205^A38,IF(A38='Données projet'!$A$114,'Données projet'!$B$114,BY37+BX38-CG37)))</f>
        <v>436.19999999999993</v>
      </c>
      <c r="BZ38" s="14">
        <f>BY38*VLOOKUP('Données projet'!$B$12,Paramètres!$A$1:$I$89,3,0)*VLOOKUP('Données projet'!$B$12,Paramètres!$A$1:$I$89,5,0)</f>
        <v>192.8004</v>
      </c>
      <c r="CA38" s="14">
        <f t="shared" si="39"/>
        <v>48.158553328253703</v>
      </c>
      <c r="CB38" s="22">
        <f t="shared" si="10"/>
        <v>419.67017704670849</v>
      </c>
      <c r="CC38" s="62">
        <f t="shared" si="11"/>
        <v>713.0035103800418</v>
      </c>
      <c r="CD38" s="62">
        <f ca="1">AVERAGE(OFFSET($CC$3,0,0,'Données projet'!$E$12+1,1))-AVERAGE(OFFSET($H$3,0,0,'Données projet'!$E$12+1,1))</f>
        <v>461.75392711528474</v>
      </c>
      <c r="CE38" s="62">
        <f t="shared" si="40"/>
        <v>441.67157957428236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226</v>
      </c>
      <c r="CR38" s="13">
        <f>VLOOKUP(A38,'Données projet'!$A$139:$I$159,9,0)</f>
        <v>13.2</v>
      </c>
      <c r="CS38" s="13">
        <f t="array" ref="CS38">INDEX(CR:CR,MIN(IF(ISNUMBER(CR38:CR234),ROW(CR38:CR234),"")))</f>
        <v>13.2</v>
      </c>
      <c r="CT38" s="13">
        <f>IF('Données projet'!$A$140&gt;35,CT37+CS38-DB37,IF(A38&lt;'Données projet'!$A$140,$CQ$205^A38,IF(A38='Données projet'!$A$140,'Données projet'!$B$140,CT37+CS38-DB37)))</f>
        <v>225.99999999999994</v>
      </c>
      <c r="CU38" s="18">
        <f>CT38*VLOOKUP('Données projet'!$B$13,Paramètres!$A$1:$I$89,3,0)*VLOOKUP('Données projet'!$B$13,Paramètres!$A$1:$I$89,5,0)</f>
        <v>135.14799999999997</v>
      </c>
      <c r="CV38" s="14">
        <f t="shared" si="41"/>
        <v>35.183208974998173</v>
      </c>
      <c r="CW38" s="22">
        <f t="shared" si="13"/>
        <v>296.6601889647884</v>
      </c>
      <c r="CX38" s="62">
        <f t="shared" si="14"/>
        <v>589.99352229812166</v>
      </c>
      <c r="CY38" s="62">
        <f ca="1">AVERAGE(OFFSET($CX$3,0,0,'Données projet'!$E$13+1,1))-AVERAGE(OFFSET($H$3,0,0,'Données projet'!$E$13+1,1))</f>
        <v>338.72479490324491</v>
      </c>
      <c r="CZ38" s="62">
        <f t="shared" si="42"/>
        <v>248.47107558211923</v>
      </c>
      <c r="DA38" s="16">
        <f>IF(ISNA(VLOOKUP(A38,'Données projet'!$A$139:$I$159,3,0)),0,VLOOKUP(A38,'Données projet'!$A$139:$I$159,3,0))</f>
        <v>2</v>
      </c>
      <c r="DB38" s="16">
        <f>IF(ISNA(VLOOKUP(A38,'Données projet'!$A$139:$I$159,4,0)),0,VLOOKUP(A38,'Données projet'!$A$139:$I$159,4,0))</f>
        <v>75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103.4</v>
      </c>
      <c r="O39" s="14">
        <f>N39*VLOOKUP('Données projet'!$B$9,Paramètres!$A$1:$I$89,3,0)*VLOOKUP('Données projet'!$B$9,Paramètres!$A$1:$I$89,5,0)</f>
        <v>93.556319999999999</v>
      </c>
      <c r="P39" s="14">
        <f t="shared" si="33"/>
        <v>25.420979659258073</v>
      </c>
      <c r="Q39" s="22">
        <f t="shared" si="53"/>
        <v>207.21879690654114</v>
      </c>
      <c r="R39" s="62">
        <f t="shared" si="0"/>
        <v>500.55213023987449</v>
      </c>
      <c r="S39" s="62">
        <f ca="1">AVERAGE(OFFSET($R$3,0,0,'Données projet'!$E$9+1,1))-AVERAGE(OFFSET($H$3,0,0,'Données projet'!$E$9+1,1))</f>
        <v>430.11660085503223</v>
      </c>
      <c r="T39" s="62">
        <f t="shared" si="34"/>
        <v>231.36959598460686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103.4</v>
      </c>
      <c r="AJ39" s="14">
        <f>AI39*VLOOKUP('Données projet'!$B$10,Paramètres!$A$1:$I$89,3,0)*VLOOKUP('Données projet'!$B$10,Paramètres!$A$1:$I$89,5,0)</f>
        <v>100.00848000000001</v>
      </c>
      <c r="AK39" s="14">
        <f t="shared" si="35"/>
        <v>26.964017781444337</v>
      </c>
      <c r="AL39" s="22">
        <f t="shared" si="4"/>
        <v>221.14376696934889</v>
      </c>
      <c r="AM39" s="62">
        <f t="shared" si="5"/>
        <v>514.47710030268217</v>
      </c>
      <c r="AN39" s="62">
        <f ca="1">AVERAGE(OFFSET($AM$3,0,0,'Données projet'!$E$10+1,1))-AVERAGE(OFFSET($H$3,0,0,'Données projet'!$E$10+1,1))</f>
        <v>456.86147223520601</v>
      </c>
      <c r="AO39" s="62">
        <f t="shared" si="36"/>
        <v>244.45149244446094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14.606791666666666</v>
      </c>
      <c r="BD39" s="13">
        <f>IF('Données projet'!$A$88&gt;35,BD38+BC39-BL38,IF(A39&lt;'Données projet'!$A$88,$BA$205^A39,IF(A39='Données projet'!$A$88,'Données projet'!$B$88,BD38+BC39-BL38)))</f>
        <v>273.24374999999998</v>
      </c>
      <c r="BE39" s="14">
        <f>BD39*VLOOKUP('Données projet'!$B$11,Paramètres!$A$1:$I$89,3,0)*VLOOKUP('Données projet'!$B$11,Paramètres!$A$1:$I$89,5,0)</f>
        <v>163.39976249999998</v>
      </c>
      <c r="BF39" s="14">
        <f t="shared" si="37"/>
        <v>41.608400438046942</v>
      </c>
      <c r="BG39" s="22">
        <f t="shared" si="7"/>
        <v>357.05588378376507</v>
      </c>
      <c r="BH39" s="62">
        <f t="shared" si="8"/>
        <v>650.38921711709838</v>
      </c>
      <c r="BI39" s="62">
        <f ca="1">AVERAGE(OFFSET($BH$3,0,0,'Données projet'!$E$11+1,1))-AVERAGE(OFFSET($H$3,0,0,'Données projet'!$E$11+1,1))</f>
        <v>215.43756133069593</v>
      </c>
      <c r="BJ39" s="62">
        <f t="shared" si="38"/>
        <v>363.02009369315243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11.14018331014425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4.699286356611549</v>
      </c>
      <c r="BS39" s="24">
        <f t="shared" si="9"/>
        <v>15.8394696667558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>
        <f>VLOOKUP(A39,'Données projet'!$A$113:$I$133,2,0)</f>
        <v>470</v>
      </c>
      <c r="BW39" s="13">
        <f>VLOOKUP(A39,'Données projet'!$A$113:$I$133,9,0)</f>
        <v>33.799999999999997</v>
      </c>
      <c r="BX39" s="13">
        <f t="array" ref="BX39">INDEX(BW:BW,MIN(IF(ISNUMBER(BW39:BW235),ROW(BW39:BW235),"")))</f>
        <v>33.799999999999997</v>
      </c>
      <c r="BY39" s="13">
        <f>IF('Données projet'!$A$114&gt;35,BY38+BX39-CG38,IF(A39&lt;'Données projet'!$A$114,$BV$205^A39,IF(A39='Données projet'!$A$114,'Données projet'!$B$114,BY38+BX39-CG38)))</f>
        <v>469.99999999999994</v>
      </c>
      <c r="BZ39" s="14">
        <f>BY39*VLOOKUP('Données projet'!$B$12,Paramètres!$A$1:$I$89,3,0)*VLOOKUP('Données projet'!$B$12,Paramètres!$A$1:$I$89,5,0)</f>
        <v>207.73999999999998</v>
      </c>
      <c r="CA39" s="14">
        <f t="shared" si="39"/>
        <v>51.441408261622755</v>
      </c>
      <c r="CB39" s="22">
        <f t="shared" si="10"/>
        <v>451.40761938899283</v>
      </c>
      <c r="CC39" s="62">
        <f t="shared" si="11"/>
        <v>744.74095272232614</v>
      </c>
      <c r="CD39" s="62">
        <f ca="1">AVERAGE(OFFSET($CC$3,0,0,'Données projet'!$E$12+1,1))-AVERAGE(OFFSET($H$3,0,0,'Données projet'!$E$12+1,1))</f>
        <v>461.75392711528474</v>
      </c>
      <c r="CE39" s="62">
        <f t="shared" si="40"/>
        <v>441.67157957428236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14.4</v>
      </c>
      <c r="CT39" s="13">
        <f>IF('Données projet'!$A$140&gt;35,CT38+CS39-DB38,IF(A39&lt;'Données projet'!$A$140,$CQ$205^A39,IF(A39='Données projet'!$A$140,'Données projet'!$B$140,CT38+CS39-DB38)))</f>
        <v>165.39999999999995</v>
      </c>
      <c r="CU39" s="18">
        <f>CT39*VLOOKUP('Données projet'!$B$13,Paramètres!$A$1:$I$89,3,0)*VLOOKUP('Données projet'!$B$13,Paramètres!$A$1:$I$89,5,0)</f>
        <v>98.90919999999997</v>
      </c>
      <c r="CV39" s="14">
        <f t="shared" si="41"/>
        <v>26.701963840454351</v>
      </c>
      <c r="CW39" s="22">
        <f t="shared" si="13"/>
        <v>218.77277702212461</v>
      </c>
      <c r="CX39" s="62">
        <f t="shared" si="14"/>
        <v>512.10611035545799</v>
      </c>
      <c r="CY39" s="62">
        <f ca="1">AVERAGE(OFFSET($CX$3,0,0,'Données projet'!$E$13+1,1))-AVERAGE(OFFSET($H$3,0,0,'Données projet'!$E$13+1,1))</f>
        <v>338.72479490324491</v>
      </c>
      <c r="CZ39" s="62">
        <f t="shared" si="42"/>
        <v>248.47107558211923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111.80000000000001</v>
      </c>
      <c r="O40" s="14">
        <f>N40*VLOOKUP('Données projet'!$B$9,Paramètres!$A$1:$I$89,3,0)*VLOOKUP('Données projet'!$B$9,Paramètres!$A$1:$I$89,5,0)</f>
        <v>101.15664000000001</v>
      </c>
      <c r="P40" s="14">
        <f t="shared" si="33"/>
        <v>27.237366379381644</v>
      </c>
      <c r="Q40" s="22">
        <f t="shared" si="53"/>
        <v>223.61956111075639</v>
      </c>
      <c r="R40" s="62">
        <f t="shared" si="0"/>
        <v>516.95289444408968</v>
      </c>
      <c r="S40" s="62">
        <f ca="1">AVERAGE(OFFSET($R$3,0,0,'Données projet'!$E$9+1,1))-AVERAGE(OFFSET($H$3,0,0,'Données projet'!$E$9+1,1))</f>
        <v>430.11660085503223</v>
      </c>
      <c r="T40" s="62">
        <f t="shared" si="34"/>
        <v>231.36959598460686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111.80000000000001</v>
      </c>
      <c r="AJ40" s="14">
        <f>AI40*VLOOKUP('Données projet'!$B$10,Paramètres!$A$1:$I$89,3,0)*VLOOKUP('Données projet'!$B$10,Paramètres!$A$1:$I$89,5,0)</f>
        <v>108.13296000000001</v>
      </c>
      <c r="AK40" s="14">
        <f t="shared" si="35"/>
        <v>28.890658079177882</v>
      </c>
      <c r="AL40" s="22">
        <f t="shared" si="4"/>
        <v>238.64946815456815</v>
      </c>
      <c r="AM40" s="62">
        <f t="shared" si="5"/>
        <v>531.9828014879015</v>
      </c>
      <c r="AN40" s="62">
        <f ca="1">AVERAGE(OFFSET($AM$3,0,0,'Données projet'!$E$10+1,1))-AVERAGE(OFFSET($H$3,0,0,'Données projet'!$E$10+1,1))</f>
        <v>456.86147223520601</v>
      </c>
      <c r="AO40" s="62">
        <f t="shared" si="36"/>
        <v>244.45149244446094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14.606791666666666</v>
      </c>
      <c r="BD40" s="13">
        <f>IF('Données projet'!$A$88&gt;35,BD39+BC40-BL39,IF(A40&lt;'Données projet'!$A$88,$BA$205^A40,IF(A40='Données projet'!$A$88,'Données projet'!$B$88,BD39+BC40-BL39)))</f>
        <v>287.85054166666663</v>
      </c>
      <c r="BE40" s="14">
        <f>BD40*VLOOKUP('Données projet'!$B$11,Paramètres!$A$1:$I$89,3,0)*VLOOKUP('Données projet'!$B$11,Paramètres!$A$1:$I$89,5,0)</f>
        <v>172.13462391666667</v>
      </c>
      <c r="BF40" s="14">
        <f t="shared" si="37"/>
        <v>43.567760572969334</v>
      </c>
      <c r="BG40" s="22">
        <f t="shared" si="7"/>
        <v>375.68165298611603</v>
      </c>
      <c r="BH40" s="62">
        <f t="shared" si="8"/>
        <v>669.01498631944935</v>
      </c>
      <c r="BI40" s="62">
        <f ca="1">AVERAGE(OFFSET($BH$3,0,0,'Données projet'!$E$11+1,1))-AVERAGE(OFFSET($H$3,0,0,'Données projet'!$E$11+1,1))</f>
        <v>215.43756133069593</v>
      </c>
      <c r="BJ40" s="62">
        <f t="shared" si="38"/>
        <v>363.02009369315243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10.921731110273205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3.3228972494974509</v>
      </c>
      <c r="BS40" s="24">
        <f t="shared" si="9"/>
        <v>14.244628359770656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31</v>
      </c>
      <c r="BY40" s="13">
        <f>IF('Données projet'!$A$114&gt;35,BY39+BX40-CG39,IF(A40&lt;'Données projet'!$A$114,$BV$205^A40,IF(A40='Données projet'!$A$114,'Données projet'!$B$114,BY39+BX40-CG39)))</f>
        <v>500.99999999999994</v>
      </c>
      <c r="BZ40" s="14">
        <f>BY40*VLOOKUP('Données projet'!$B$12,Paramètres!$A$1:$I$89,3,0)*VLOOKUP('Données projet'!$B$12,Paramètres!$A$1:$I$89,5,0)</f>
        <v>221.44200000000001</v>
      </c>
      <c r="CA40" s="14">
        <f t="shared" si="39"/>
        <v>54.428178028031503</v>
      </c>
      <c r="CB40" s="22">
        <f t="shared" si="10"/>
        <v>480.47389339882147</v>
      </c>
      <c r="CC40" s="62">
        <f t="shared" si="11"/>
        <v>773.80722673215473</v>
      </c>
      <c r="CD40" s="62">
        <f ca="1">AVERAGE(OFFSET($CC$3,0,0,'Données projet'!$E$12+1,1))-AVERAGE(OFFSET($H$3,0,0,'Données projet'!$E$12+1,1))</f>
        <v>461.75392711528474</v>
      </c>
      <c r="CE40" s="62">
        <f t="shared" si="40"/>
        <v>441.67157957428236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14.4</v>
      </c>
      <c r="CT40" s="13">
        <f>IF('Données projet'!$A$140&gt;35,CT39+CS40-DB39,IF(A40&lt;'Données projet'!$A$140,$CQ$205^A40,IF(A40='Données projet'!$A$140,'Données projet'!$B$140,CT39+CS40-DB39)))</f>
        <v>179.79999999999995</v>
      </c>
      <c r="CU40" s="18">
        <f>CT40*VLOOKUP('Données projet'!$B$13,Paramètres!$A$1:$I$89,3,0)*VLOOKUP('Données projet'!$B$13,Paramètres!$A$1:$I$89,5,0)</f>
        <v>107.52039999999998</v>
      </c>
      <c r="CV40" s="14">
        <f t="shared" si="41"/>
        <v>28.745998516288878</v>
      </c>
      <c r="CW40" s="22">
        <f t="shared" si="13"/>
        <v>237.33064408253642</v>
      </c>
      <c r="CX40" s="62">
        <f t="shared" si="14"/>
        <v>530.66397741586979</v>
      </c>
      <c r="CY40" s="62">
        <f ca="1">AVERAGE(OFFSET($CX$3,0,0,'Données projet'!$E$13+1,1))-AVERAGE(OFFSET($H$3,0,0,'Données projet'!$E$13+1,1))</f>
        <v>338.72479490324491</v>
      </c>
      <c r="CZ40" s="62">
        <f t="shared" si="42"/>
        <v>248.47107558211923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120.20000000000002</v>
      </c>
      <c r="O41" s="14">
        <f>N41*VLOOKUP('Données projet'!$B$9,Paramètres!$A$1:$I$89,3,0)*VLOOKUP('Données projet'!$B$9,Paramètres!$A$1:$I$89,5,0)</f>
        <v>108.75696000000002</v>
      </c>
      <c r="P41" s="14">
        <f t="shared" si="33"/>
        <v>29.037921223305609</v>
      </c>
      <c r="Q41" s="22">
        <f t="shared" si="53"/>
        <v>239.99275146392395</v>
      </c>
      <c r="R41" s="62">
        <f t="shared" si="0"/>
        <v>533.32608479725729</v>
      </c>
      <c r="S41" s="62">
        <f ca="1">AVERAGE(OFFSET($R$3,0,0,'Données projet'!$E$9+1,1))-AVERAGE(OFFSET($H$3,0,0,'Données projet'!$E$9+1,1))</f>
        <v>430.11660085503223</v>
      </c>
      <c r="T41" s="62">
        <f t="shared" si="34"/>
        <v>231.36959598460686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120.20000000000002</v>
      </c>
      <c r="AJ41" s="14">
        <f>AI41*VLOOKUP('Données projet'!$B$10,Paramètres!$A$1:$I$89,3,0)*VLOOKUP('Données projet'!$B$10,Paramètres!$A$1:$I$89,5,0)</f>
        <v>116.25744000000003</v>
      </c>
      <c r="AK41" s="14">
        <f t="shared" si="35"/>
        <v>30.800505515381992</v>
      </c>
      <c r="AL41" s="22">
        <f t="shared" si="4"/>
        <v>256.12592177262371</v>
      </c>
      <c r="AM41" s="62">
        <f t="shared" si="5"/>
        <v>549.45925510595703</v>
      </c>
      <c r="AN41" s="62">
        <f ca="1">AVERAGE(OFFSET($AM$3,0,0,'Données projet'!$E$10+1,1))-AVERAGE(OFFSET($H$3,0,0,'Données projet'!$E$10+1,1))</f>
        <v>456.86147223520601</v>
      </c>
      <c r="AO41" s="62">
        <f t="shared" si="36"/>
        <v>244.45149244446094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14.606791666666666</v>
      </c>
      <c r="BD41" s="13">
        <f>IF('Données projet'!$A$88&gt;35,BD40+BC41-BL40,IF(A41&lt;'Données projet'!$A$88,$BA$205^A41,IF(A41='Données projet'!$A$88,'Données projet'!$B$88,BD40+BC41-BL40)))</f>
        <v>302.45733333333328</v>
      </c>
      <c r="BE41" s="14">
        <f>BD41*VLOOKUP('Données projet'!$B$11,Paramètres!$A$1:$I$89,3,0)*VLOOKUP('Données projet'!$B$11,Paramètres!$A$1:$I$89,5,0)</f>
        <v>180.86948533333333</v>
      </c>
      <c r="BF41" s="14">
        <f t="shared" si="37"/>
        <v>45.515576347686206</v>
      </c>
      <c r="BG41" s="22">
        <f t="shared" si="7"/>
        <v>394.28731576110903</v>
      </c>
      <c r="BH41" s="62">
        <f t="shared" si="8"/>
        <v>687.62064909444234</v>
      </c>
      <c r="BI41" s="62">
        <f ca="1">AVERAGE(OFFSET($BH$3,0,0,'Données projet'!$E$11+1,1))-AVERAGE(OFFSET($H$3,0,0,'Données projet'!$E$11+1,1))</f>
        <v>215.43756133069593</v>
      </c>
      <c r="BJ41" s="62">
        <f t="shared" si="38"/>
        <v>363.02009369315243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10.707562624798946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2.349643178305775</v>
      </c>
      <c r="BS41" s="24">
        <f t="shared" si="9"/>
        <v>13.057205803104722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31</v>
      </c>
      <c r="BY41" s="13">
        <f>IF('Données projet'!$A$114&gt;35,BY40+BX41-CG40,IF(A41&lt;'Données projet'!$A$114,$BV$205^A41,IF(A41='Données projet'!$A$114,'Données projet'!$B$114,BY40+BX41-CG40)))</f>
        <v>532</v>
      </c>
      <c r="BZ41" s="14">
        <f>BY41*VLOOKUP('Données projet'!$B$12,Paramètres!$A$1:$I$89,3,0)*VLOOKUP('Données projet'!$B$12,Paramètres!$A$1:$I$89,5,0)</f>
        <v>235.14400000000003</v>
      </c>
      <c r="CA41" s="14">
        <f t="shared" si="39"/>
        <v>57.393498736326748</v>
      </c>
      <c r="CB41" s="22">
        <f t="shared" si="10"/>
        <v>509.50281029910246</v>
      </c>
      <c r="CC41" s="62">
        <f t="shared" si="11"/>
        <v>802.83614363243578</v>
      </c>
      <c r="CD41" s="62">
        <f ca="1">AVERAGE(OFFSET($CC$3,0,0,'Données projet'!$E$12+1,1))-AVERAGE(OFFSET($H$3,0,0,'Données projet'!$E$12+1,1))</f>
        <v>461.75392711528474</v>
      </c>
      <c r="CE41" s="62">
        <f t="shared" si="40"/>
        <v>441.67157957428236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14.4</v>
      </c>
      <c r="CT41" s="13">
        <f>IF('Données projet'!$A$140&gt;35,CT40+CS41-DB40,IF(A41&lt;'Données projet'!$A$140,$CQ$205^A41,IF(A41='Données projet'!$A$140,'Données projet'!$B$140,CT40+CS41-DB40)))</f>
        <v>194.19999999999996</v>
      </c>
      <c r="CU41" s="18">
        <f>CT41*VLOOKUP('Données projet'!$B$13,Paramètres!$A$1:$I$89,3,0)*VLOOKUP('Données projet'!$B$13,Paramètres!$A$1:$I$89,5,0)</f>
        <v>116.13159999999998</v>
      </c>
      <c r="CV41" s="14">
        <f t="shared" si="41"/>
        <v>30.771045099371396</v>
      </c>
      <c r="CW41" s="22">
        <f t="shared" si="13"/>
        <v>255.85544021473845</v>
      </c>
      <c r="CX41" s="62">
        <f t="shared" si="14"/>
        <v>549.18877354807182</v>
      </c>
      <c r="CY41" s="62">
        <f ca="1">AVERAGE(OFFSET($CX$3,0,0,'Données projet'!$E$13+1,1))-AVERAGE(OFFSET($H$3,0,0,'Données projet'!$E$13+1,1))</f>
        <v>338.72479490324491</v>
      </c>
      <c r="CZ41" s="62">
        <f t="shared" si="42"/>
        <v>248.47107558211923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128.60000000000002</v>
      </c>
      <c r="O42" s="14">
        <f>N42*VLOOKUP('Données projet'!$B$9,Paramètres!$A$1:$I$89,3,0)*VLOOKUP('Données projet'!$B$9,Paramètres!$A$1:$I$89,5,0)</f>
        <v>116.35728000000002</v>
      </c>
      <c r="P42" s="14">
        <f t="shared" si="33"/>
        <v>30.823876427820704</v>
      </c>
      <c r="Q42" s="22">
        <f t="shared" si="53"/>
        <v>256.34051411178774</v>
      </c>
      <c r="R42" s="62">
        <f t="shared" si="0"/>
        <v>549.67384744512105</v>
      </c>
      <c r="S42" s="62">
        <f ca="1">AVERAGE(OFFSET($R$3,0,0,'Données projet'!$E$9+1,1))-AVERAGE(OFFSET($H$3,0,0,'Données projet'!$E$9+1,1))</f>
        <v>430.11660085503223</v>
      </c>
      <c r="T42" s="62">
        <f t="shared" si="34"/>
        <v>231.36959598460686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128.60000000000002</v>
      </c>
      <c r="AJ42" s="14">
        <f>AI42*VLOOKUP('Données projet'!$B$10,Paramètres!$A$1:$I$89,3,0)*VLOOKUP('Données projet'!$B$10,Paramètres!$A$1:$I$89,5,0)</f>
        <v>124.38192000000002</v>
      </c>
      <c r="AK42" s="14">
        <f t="shared" si="35"/>
        <v>32.694867122876893</v>
      </c>
      <c r="AL42" s="22">
        <f t="shared" si="4"/>
        <v>273.5754042390106</v>
      </c>
      <c r="AM42" s="62">
        <f t="shared" si="5"/>
        <v>566.90873757234385</v>
      </c>
      <c r="AN42" s="62">
        <f ca="1">AVERAGE(OFFSET($AM$3,0,0,'Données projet'!$E$10+1,1))-AVERAGE(OFFSET($H$3,0,0,'Données projet'!$E$10+1,1))</f>
        <v>456.86147223520601</v>
      </c>
      <c r="AO42" s="62">
        <f t="shared" si="36"/>
        <v>244.45149244446094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14.606791666666666</v>
      </c>
      <c r="BD42" s="13">
        <f>IF('Données projet'!$A$88&gt;35,BD41+BC42-BL41,IF(A42&lt;'Données projet'!$A$88,$BA$205^A42,IF(A42='Données projet'!$A$88,'Données projet'!$B$88,BD41+BC42-BL41)))</f>
        <v>317.06412499999993</v>
      </c>
      <c r="BE42" s="14">
        <f>BD42*VLOOKUP('Données projet'!$B$11,Paramètres!$A$1:$I$89,3,0)*VLOOKUP('Données projet'!$B$11,Paramètres!$A$1:$I$89,5,0)</f>
        <v>189.60434674999999</v>
      </c>
      <c r="BF42" s="14">
        <f t="shared" si="37"/>
        <v>47.452468925683931</v>
      </c>
      <c r="BG42" s="22">
        <f t="shared" si="7"/>
        <v>412.87395396848279</v>
      </c>
      <c r="BH42" s="62">
        <f t="shared" si="8"/>
        <v>706.20728730181611</v>
      </c>
      <c r="BI42" s="62">
        <f ca="1">AVERAGE(OFFSET($BH$3,0,0,'Données projet'!$E$11+1,1))-AVERAGE(OFFSET($H$3,0,0,'Données projet'!$E$11+1,1))</f>
        <v>215.43756133069593</v>
      </c>
      <c r="BJ42" s="62">
        <f t="shared" si="38"/>
        <v>363.02009369315243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10.49759385269496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1.6614486247487259</v>
      </c>
      <c r="BS42" s="24">
        <f t="shared" si="9"/>
        <v>12.159042477443686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31</v>
      </c>
      <c r="BY42" s="13">
        <f>IF('Données projet'!$A$114&gt;35,BY41+BX42-CG41,IF(A42&lt;'Données projet'!$A$114,$BV$205^A42,IF(A42='Données projet'!$A$114,'Données projet'!$B$114,BY41+BX42-CG41)))</f>
        <v>563</v>
      </c>
      <c r="BZ42" s="14">
        <f>BY42*VLOOKUP('Données projet'!$B$12,Paramètres!$A$1:$I$89,3,0)*VLOOKUP('Données projet'!$B$12,Paramètres!$A$1:$I$89,5,0)</f>
        <v>248.84600000000003</v>
      </c>
      <c r="CA42" s="14">
        <f t="shared" si="39"/>
        <v>60.338762619616823</v>
      </c>
      <c r="CB42" s="22">
        <f t="shared" si="10"/>
        <v>538.49679489583264</v>
      </c>
      <c r="CC42" s="62">
        <f t="shared" si="11"/>
        <v>831.83012822916589</v>
      </c>
      <c r="CD42" s="62">
        <f ca="1">AVERAGE(OFFSET($CC$3,0,0,'Données projet'!$E$12+1,1))-AVERAGE(OFFSET($H$3,0,0,'Données projet'!$E$12+1,1))</f>
        <v>461.75392711528474</v>
      </c>
      <c r="CE42" s="62">
        <f t="shared" si="40"/>
        <v>441.67157957428236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14.4</v>
      </c>
      <c r="CT42" s="13">
        <f>IF('Données projet'!$A$140&gt;35,CT41+CS42-DB41,IF(A42&lt;'Données projet'!$A$140,$CQ$205^A42,IF(A42='Données projet'!$A$140,'Données projet'!$B$140,CT41+CS42-DB41)))</f>
        <v>208.59999999999997</v>
      </c>
      <c r="CU42" s="18">
        <f>CT42*VLOOKUP('Données projet'!$B$13,Paramètres!$A$1:$I$89,3,0)*VLOOKUP('Données projet'!$B$13,Paramètres!$A$1:$I$89,5,0)</f>
        <v>124.74279999999999</v>
      </c>
      <c r="CV42" s="14">
        <f t="shared" si="41"/>
        <v>32.778671669154043</v>
      </c>
      <c r="CW42" s="22">
        <f t="shared" si="13"/>
        <v>274.34989649044331</v>
      </c>
      <c r="CX42" s="62">
        <f t="shared" si="14"/>
        <v>567.68322982377663</v>
      </c>
      <c r="CY42" s="62">
        <f ca="1">AVERAGE(OFFSET($CX$3,0,0,'Données projet'!$E$13+1,1))-AVERAGE(OFFSET($H$3,0,0,'Données projet'!$E$13+1,1))</f>
        <v>338.72479490324491</v>
      </c>
      <c r="CZ42" s="62">
        <f t="shared" si="42"/>
        <v>248.47107558211923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137.00000000000003</v>
      </c>
      <c r="O43" s="14">
        <f>N43*VLOOKUP('Données projet'!$B$9,Paramètres!$A$1:$I$89,3,0)*VLOOKUP('Données projet'!$B$9,Paramètres!$A$1:$I$89,5,0)</f>
        <v>123.95760000000001</v>
      </c>
      <c r="P43" s="14">
        <f t="shared" si="33"/>
        <v>32.59629414926458</v>
      </c>
      <c r="Q43" s="22">
        <f t="shared" si="53"/>
        <v>272.6646989766358</v>
      </c>
      <c r="R43" s="62">
        <f t="shared" si="0"/>
        <v>565.99803230996918</v>
      </c>
      <c r="S43" s="62">
        <f ca="1">AVERAGE(OFFSET($R$3,0,0,'Données projet'!$E$9+1,1))-AVERAGE(OFFSET($H$3,0,0,'Données projet'!$E$9+1,1))</f>
        <v>430.11660085503223</v>
      </c>
      <c r="T43" s="62">
        <f t="shared" si="34"/>
        <v>231.36959598460686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137.00000000000003</v>
      </c>
      <c r="AJ43" s="14">
        <f>AI43*VLOOKUP('Données projet'!$B$10,Paramètres!$A$1:$I$89,3,0)*VLOOKUP('Données projet'!$B$10,Paramètres!$A$1:$I$89,5,0)</f>
        <v>132.50640000000001</v>
      </c>
      <c r="AK43" s="14">
        <f t="shared" si="35"/>
        <v>34.574869530248939</v>
      </c>
      <c r="AL43" s="22">
        <f t="shared" si="4"/>
        <v>290.99987776518356</v>
      </c>
      <c r="AM43" s="62">
        <f t="shared" si="5"/>
        <v>584.33321109851681</v>
      </c>
      <c r="AN43" s="62">
        <f ca="1">AVERAGE(OFFSET($AM$3,0,0,'Données projet'!$E$10+1,1))-AVERAGE(OFFSET($H$3,0,0,'Données projet'!$E$10+1,1))</f>
        <v>456.86147223520601</v>
      </c>
      <c r="AO43" s="62">
        <f t="shared" si="36"/>
        <v>244.45149244446094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14.606791666666666</v>
      </c>
      <c r="BD43" s="13">
        <f>IF('Données projet'!$A$88&gt;35,BD42+BC43-BL42,IF(A43&lt;'Données projet'!$A$88,$BA$205^A43,IF(A43='Données projet'!$A$88,'Données projet'!$B$88,BD42+BC43-BL42)))</f>
        <v>331.67091666666659</v>
      </c>
      <c r="BE43" s="14">
        <f>BD43*VLOOKUP('Données projet'!$B$11,Paramètres!$A$1:$I$89,3,0)*VLOOKUP('Données projet'!$B$11,Paramètres!$A$1:$I$89,5,0)</f>
        <v>198.33920816666665</v>
      </c>
      <c r="BF43" s="14">
        <f t="shared" si="37"/>
        <v>49.378999003048207</v>
      </c>
      <c r="BG43" s="22">
        <f t="shared" si="7"/>
        <v>431.44254415391998</v>
      </c>
      <c r="BH43" s="62">
        <f t="shared" si="8"/>
        <v>724.7758774872533</v>
      </c>
      <c r="BI43" s="62">
        <f ca="1">AVERAGE(OFFSET($BH$3,0,0,'Données projet'!$E$11+1,1))-AVERAGE(OFFSET($H$3,0,0,'Données projet'!$E$11+1,1))</f>
        <v>215.43756133069593</v>
      </c>
      <c r="BJ43" s="62">
        <f t="shared" si="38"/>
        <v>363.02009369315243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10.291742440143627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1.1748215891528877</v>
      </c>
      <c r="BS43" s="24">
        <f t="shared" si="9"/>
        <v>11.466564029296515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31</v>
      </c>
      <c r="BY43" s="13">
        <f>IF('Données projet'!$A$114&gt;35,BY42+BX43-CG42,IF(A43&lt;'Données projet'!$A$114,$BV$205^A43,IF(A43='Données projet'!$A$114,'Données projet'!$B$114,BY42+BX43-CG42)))</f>
        <v>594</v>
      </c>
      <c r="BZ43" s="14">
        <f>BY43*VLOOKUP('Données projet'!$B$12,Paramètres!$A$1:$I$89,3,0)*VLOOKUP('Données projet'!$B$12,Paramètres!$A$1:$I$89,5,0)</f>
        <v>262.548</v>
      </c>
      <c r="CA43" s="14">
        <f t="shared" si="39"/>
        <v>63.265199933079444</v>
      </c>
      <c r="CB43" s="22">
        <f t="shared" si="10"/>
        <v>567.45798988344666</v>
      </c>
      <c r="CC43" s="62">
        <f t="shared" si="11"/>
        <v>860.79132321678003</v>
      </c>
      <c r="CD43" s="62">
        <f ca="1">AVERAGE(OFFSET($CC$3,0,0,'Données projet'!$E$12+1,1))-AVERAGE(OFFSET($H$3,0,0,'Données projet'!$E$12+1,1))</f>
        <v>461.75392711528474</v>
      </c>
      <c r="CE43" s="62">
        <f t="shared" si="40"/>
        <v>441.67157957428236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223</v>
      </c>
      <c r="CR43" s="13">
        <f>VLOOKUP(A43,'Données projet'!$A$139:$I$159,9,0)</f>
        <v>14.4</v>
      </c>
      <c r="CS43" s="13">
        <f t="array" ref="CS43">INDEX(CR:CR,MIN(IF(ISNUMBER(CR43:CR239),ROW(CR43:CR239),"")))</f>
        <v>14.4</v>
      </c>
      <c r="CT43" s="13">
        <f>IF('Données projet'!$A$140&gt;35,CT42+CS43-DB42,IF(A43&lt;'Données projet'!$A$140,$CQ$205^A43,IF(A43='Données projet'!$A$140,'Données projet'!$B$140,CT42+CS43-DB42)))</f>
        <v>222.99999999999997</v>
      </c>
      <c r="CU43" s="18">
        <f>CT43*VLOOKUP('Données projet'!$B$13,Paramètres!$A$1:$I$89,3,0)*VLOOKUP('Données projet'!$B$13,Paramètres!$A$1:$I$89,5,0)</f>
        <v>133.35400000000001</v>
      </c>
      <c r="CV43" s="14">
        <f t="shared" si="41"/>
        <v>34.770217553947298</v>
      </c>
      <c r="CW43" s="22">
        <f t="shared" si="13"/>
        <v>292.81634557312492</v>
      </c>
      <c r="CX43" s="62">
        <f t="shared" si="14"/>
        <v>586.14967890645823</v>
      </c>
      <c r="CY43" s="62">
        <f ca="1">AVERAGE(OFFSET($CX$3,0,0,'Données projet'!$E$13+1,1))-AVERAGE(OFFSET($H$3,0,0,'Données projet'!$E$13+1,1))</f>
        <v>338.72479490324491</v>
      </c>
      <c r="CZ43" s="62">
        <f t="shared" si="42"/>
        <v>248.47107558211923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145.40000000000003</v>
      </c>
      <c r="O44" s="14">
        <f>N44*VLOOKUP('Données projet'!$B$9,Paramètres!$A$1:$I$89,3,0)*VLOOKUP('Données projet'!$B$9,Paramètres!$A$1:$I$89,5,0)</f>
        <v>131.55792000000002</v>
      </c>
      <c r="P44" s="14">
        <f t="shared" si="33"/>
        <v>34.3560989338864</v>
      </c>
      <c r="Q44" s="22">
        <f t="shared" si="53"/>
        <v>288.96691630985219</v>
      </c>
      <c r="R44" s="62">
        <f t="shared" si="0"/>
        <v>582.30024964318545</v>
      </c>
      <c r="S44" s="62">
        <f ca="1">AVERAGE(OFFSET($R$3,0,0,'Données projet'!$E$9+1,1))-AVERAGE(OFFSET($H$3,0,0,'Données projet'!$E$9+1,1))</f>
        <v>430.11660085503223</v>
      </c>
      <c r="T44" s="62">
        <f t="shared" si="34"/>
        <v>231.36959598460686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145.40000000000003</v>
      </c>
      <c r="AJ44" s="14">
        <f>AI44*VLOOKUP('Données projet'!$B$10,Paramètres!$A$1:$I$89,3,0)*VLOOKUP('Données projet'!$B$10,Paramètres!$A$1:$I$89,5,0)</f>
        <v>140.63088000000005</v>
      </c>
      <c r="AK44" s="14">
        <f t="shared" si="35"/>
        <v>36.441493403146445</v>
      </c>
      <c r="AL44" s="22">
        <f t="shared" si="4"/>
        <v>308.40105034381344</v>
      </c>
      <c r="AM44" s="62">
        <f t="shared" si="5"/>
        <v>601.73438367714675</v>
      </c>
      <c r="AN44" s="62">
        <f ca="1">AVERAGE(OFFSET($AM$3,0,0,'Données projet'!$E$10+1,1))-AVERAGE(OFFSET($H$3,0,0,'Données projet'!$E$10+1,1))</f>
        <v>456.86147223520601</v>
      </c>
      <c r="AO44" s="62">
        <f t="shared" si="36"/>
        <v>244.45149244446094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14.606791666666666</v>
      </c>
      <c r="BD44" s="13">
        <f>IF('Données projet'!$A$88&gt;35,BD43+BC44-BL43,IF(A44&lt;'Données projet'!$A$88,$BA$205^A44,IF(A44='Données projet'!$A$88,'Données projet'!$B$88,BD43+BC44-BL43)))</f>
        <v>346.27770833333324</v>
      </c>
      <c r="BE44" s="14">
        <f>BD44*VLOOKUP('Données projet'!$B$11,Paramètres!$A$1:$I$89,3,0)*VLOOKUP('Données projet'!$B$11,Paramètres!$A$1:$I$89,5,0)</f>
        <v>207.07406958333331</v>
      </c>
      <c r="BF44" s="14">
        <f t="shared" si="37"/>
        <v>51.295675097307999</v>
      </c>
      <c r="BG44" s="22">
        <f t="shared" si="7"/>
        <v>449.99397198545029</v>
      </c>
      <c r="BH44" s="62">
        <f t="shared" si="8"/>
        <v>743.3273053187836</v>
      </c>
      <c r="BI44" s="62">
        <f ca="1">AVERAGE(OFFSET($BH$3,0,0,'Données projet'!$E$11+1,1))-AVERAGE(OFFSET($H$3,0,0,'Données projet'!$E$11+1,1))</f>
        <v>215.43756133069593</v>
      </c>
      <c r="BJ44" s="62">
        <f t="shared" si="38"/>
        <v>363.02009369315243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10.089927648235463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0.83072431237436306</v>
      </c>
      <c r="BS44" s="24">
        <f t="shared" si="9"/>
        <v>10.920651960609826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>
        <f>VLOOKUP(A44,'Données projet'!$A$113:$I$133,2,0)</f>
        <v>625</v>
      </c>
      <c r="BW44" s="13">
        <f>VLOOKUP(A44,'Données projet'!$A$113:$I$133,9,0)</f>
        <v>31</v>
      </c>
      <c r="BX44" s="13">
        <f t="array" ref="BX44">INDEX(BW:BW,MIN(IF(ISNUMBER(BW44:BW240),ROW(BW44:BW240),"")))</f>
        <v>31</v>
      </c>
      <c r="BY44" s="13">
        <f>IF('Données projet'!$A$114&gt;35,BY43+BX44-CG43,IF(A44&lt;'Données projet'!$A$114,$BV$205^A44,IF(A44='Données projet'!$A$114,'Données projet'!$B$114,BY43+BX44-CG43)))</f>
        <v>625</v>
      </c>
      <c r="BZ44" s="14">
        <f>BY44*VLOOKUP('Données projet'!$B$12,Paramètres!$A$1:$I$89,3,0)*VLOOKUP('Données projet'!$B$12,Paramètres!$A$1:$I$89,5,0)</f>
        <v>276.25000000000006</v>
      </c>
      <c r="CA44" s="14">
        <f t="shared" si="39"/>
        <v>66.173905268695179</v>
      </c>
      <c r="CB44" s="22">
        <f t="shared" si="10"/>
        <v>596.38830167631079</v>
      </c>
      <c r="CC44" s="62">
        <f t="shared" si="11"/>
        <v>889.72163500964416</v>
      </c>
      <c r="CD44" s="62">
        <f ca="1">AVERAGE(OFFSET($CC$3,0,0,'Données projet'!$E$12+1,1))-AVERAGE(OFFSET($H$3,0,0,'Données projet'!$E$12+1,1))</f>
        <v>461.75392711528474</v>
      </c>
      <c r="CE44" s="62">
        <f t="shared" si="40"/>
        <v>441.67157957428236</v>
      </c>
      <c r="CF44" s="16">
        <f>IF(ISNA(VLOOKUP(A44,'Données projet'!$A$113:$I$133,3,0)),0,VLOOKUP(A44,'Données projet'!$A$113:$I$133,3,0))</f>
        <v>3</v>
      </c>
      <c r="CG44" s="16">
        <f>IF(ISNA(VLOOKUP(A44,'Données projet'!$A$113:$I$133,4,0)),0,VLOOKUP(A44,'Données projet'!$A$113:$I$133,4,0))</f>
        <v>154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16.600000000000001</v>
      </c>
      <c r="CT44" s="13">
        <f>IF('Données projet'!$A$140&gt;35,CT43+CS44-DB43,IF(A44&lt;'Données projet'!$A$140,$CQ$205^A44,IF(A44='Données projet'!$A$140,'Données projet'!$B$140,CT43+CS44-DB43)))</f>
        <v>239.59999999999997</v>
      </c>
      <c r="CU44" s="18">
        <f>CT44*VLOOKUP('Données projet'!$B$13,Paramètres!$A$1:$I$89,3,0)*VLOOKUP('Données projet'!$B$13,Paramètres!$A$1:$I$89,5,0)</f>
        <v>143.2808</v>
      </c>
      <c r="CV44" s="14">
        <f t="shared" si="41"/>
        <v>37.047574465948948</v>
      </c>
      <c r="CW44" s="22">
        <f t="shared" si="13"/>
        <v>314.07191886152776</v>
      </c>
      <c r="CX44" s="62">
        <f t="shared" si="14"/>
        <v>607.40525219486108</v>
      </c>
      <c r="CY44" s="62">
        <f ca="1">AVERAGE(OFFSET($CX$3,0,0,'Données projet'!$E$13+1,1))-AVERAGE(OFFSET($H$3,0,0,'Données projet'!$E$13+1,1))</f>
        <v>338.72479490324491</v>
      </c>
      <c r="CZ44" s="62">
        <f t="shared" si="42"/>
        <v>248.47107558211923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153.80000000000004</v>
      </c>
      <c r="O45" s="14">
        <f>N45*VLOOKUP('Données projet'!$B$9,Paramètres!$A$1:$I$89,3,0)*VLOOKUP('Données projet'!$B$9,Paramètres!$A$1:$I$89,5,0)</f>
        <v>139.15824000000003</v>
      </c>
      <c r="P45" s="14">
        <f t="shared" si="33"/>
        <v>36.104102468715482</v>
      </c>
      <c r="Q45" s="22">
        <f t="shared" si="53"/>
        <v>305.24857979967953</v>
      </c>
      <c r="R45" s="62">
        <f t="shared" si="0"/>
        <v>598.5819131330129</v>
      </c>
      <c r="S45" s="62">
        <f ca="1">AVERAGE(OFFSET($R$3,0,0,'Données projet'!$E$9+1,1))-AVERAGE(OFFSET($H$3,0,0,'Données projet'!$E$9+1,1))</f>
        <v>430.11660085503223</v>
      </c>
      <c r="T45" s="62">
        <f t="shared" si="34"/>
        <v>231.36959598460686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153.80000000000004</v>
      </c>
      <c r="AJ45" s="14">
        <f>AI45*VLOOKUP('Données projet'!$B$10,Paramètres!$A$1:$I$89,3,0)*VLOOKUP('Données projet'!$B$10,Paramètres!$A$1:$I$89,5,0)</f>
        <v>148.75536000000005</v>
      </c>
      <c r="AK45" s="14">
        <f t="shared" si="35"/>
        <v>38.295599697511591</v>
      </c>
      <c r="AL45" s="22">
        <f t="shared" si="4"/>
        <v>325.78042147316609</v>
      </c>
      <c r="AM45" s="62">
        <f t="shared" si="5"/>
        <v>619.1137548064994</v>
      </c>
      <c r="AN45" s="62">
        <f ca="1">AVERAGE(OFFSET($AM$3,0,0,'Données projet'!$E$10+1,1))-AVERAGE(OFFSET($H$3,0,0,'Données projet'!$E$10+1,1))</f>
        <v>456.86147223520601</v>
      </c>
      <c r="AO45" s="62">
        <f t="shared" si="36"/>
        <v>244.45149244446094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>
        <f>VLOOKUP(A45,'Données projet'!$A$87:$I$107,2,0)</f>
        <v>360.8845</v>
      </c>
      <c r="BB45" s="13">
        <f>VLOOKUP(A45,'Données projet'!$A$87:$I$107,9,0)</f>
        <v>14.606791666666666</v>
      </c>
      <c r="BC45" s="13">
        <f t="array" ref="BC45">INDEX(BB:BB,MIN(IF(ISNUMBER(BB45:BB241),ROW(BB45:BB241),"")))</f>
        <v>14.606791666666666</v>
      </c>
      <c r="BD45" s="13">
        <f>IF('Données projet'!$A$88&gt;35,BD44+BC45-BL44,IF(A45&lt;'Données projet'!$A$88,$BA$205^A45,IF(A45='Données projet'!$A$88,'Données projet'!$B$88,BD44+BC45-BL44)))</f>
        <v>360.88449999999989</v>
      </c>
      <c r="BE45" s="14">
        <f>BD45*VLOOKUP('Données projet'!$B$11,Paramètres!$A$1:$I$89,3,0)*VLOOKUP('Données projet'!$B$11,Paramètres!$A$1:$I$89,5,0)</f>
        <v>215.80893099999997</v>
      </c>
      <c r="BF45" s="14">
        <f t="shared" si="37"/>
        <v>53.202960398285519</v>
      </c>
      <c r="BG45" s="22">
        <f t="shared" si="7"/>
        <v>468.52904418534723</v>
      </c>
      <c r="BH45" s="62">
        <f t="shared" si="8"/>
        <v>761.86237751868055</v>
      </c>
      <c r="BI45" s="62">
        <f ca="1">AVERAGE(OFFSET($BH$3,0,0,'Données projet'!$E$11+1,1))-AVERAGE(OFFSET($H$3,0,0,'Données projet'!$E$11+1,1))</f>
        <v>215.43756133069593</v>
      </c>
      <c r="BJ45" s="62">
        <f t="shared" si="38"/>
        <v>363.02009369315243</v>
      </c>
      <c r="BK45" s="16">
        <f>IF(ISNA(VLOOKUP(A45,'Données projet'!$A$87:$I$107,3,0)),0,VLOOKUP(A45,'Données projet'!$A$87:$I$107,3,0))</f>
        <v>5</v>
      </c>
      <c r="BL45" s="16">
        <f>IF(ISNA(VLOOKUP(A45,'Données projet'!$A$87:$I$107,4,0)),0,VLOOKUP(A45,'Données projet'!$A$87:$I$107,4,0))</f>
        <v>360.8845</v>
      </c>
      <c r="BM45" s="17">
        <f>IF(ISNA(VLOOKUP(A45,'Données projet'!$A$87:$I$107,5,0)),0%,VLOOKUP(A45,'Données projet'!$A$87:$I$107,5,0)*VLOOKUP('Données projet'!$B$11,Paramètres!$A$1:$I$89,7,0))</f>
        <v>0.27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0.4</v>
      </c>
      <c r="BP45" s="23">
        <f>EXP(-LN(2)/35)*BP44+(1-EXP(-LN(2)/35))/(LN(2)/35)*BL45*BM45*VLOOKUP('Données projet'!$B$11,Paramètres!$A$1:$I$89,3,0)*0.475*44/12</f>
        <v>87.188873719672898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98.325747503720649</v>
      </c>
      <c r="BS45" s="24">
        <f t="shared" si="9"/>
        <v>185.51462122339353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28</v>
      </c>
      <c r="BY45" s="13">
        <f>IF('Données projet'!$A$114&gt;35,BY44+BX45-CG44,IF(A45&lt;'Données projet'!$A$114,$BV$205^A45,IF(A45='Données projet'!$A$114,'Données projet'!$B$114,BY44+BX45-CG44)))</f>
        <v>499</v>
      </c>
      <c r="BZ45" s="14">
        <f>BY45*VLOOKUP('Données projet'!$B$12,Paramètres!$A$1:$I$89,3,0)*VLOOKUP('Données projet'!$B$12,Paramètres!$A$1:$I$89,5,0)</f>
        <v>220.55800000000005</v>
      </c>
      <c r="CA45" s="14">
        <f t="shared" si="39"/>
        <v>54.236146377803955</v>
      </c>
      <c r="CB45" s="22">
        <f t="shared" si="10"/>
        <v>478.59980494134192</v>
      </c>
      <c r="CC45" s="62">
        <f t="shared" si="11"/>
        <v>771.93313827467523</v>
      </c>
      <c r="CD45" s="62">
        <f ca="1">AVERAGE(OFFSET($CC$3,0,0,'Données projet'!$E$12+1,1))-AVERAGE(OFFSET($H$3,0,0,'Données projet'!$E$12+1,1))</f>
        <v>461.75392711528474</v>
      </c>
      <c r="CE45" s="62">
        <f t="shared" si="40"/>
        <v>441.67157957428236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16.600000000000001</v>
      </c>
      <c r="CT45" s="13">
        <f>IF('Données projet'!$A$140&gt;35,CT44+CS45-DB44,IF(A45&lt;'Données projet'!$A$140,$CQ$205^A45,IF(A45='Données projet'!$A$140,'Données projet'!$B$140,CT44+CS45-DB44)))</f>
        <v>256.2</v>
      </c>
      <c r="CU45" s="18">
        <f>CT45*VLOOKUP('Données projet'!$B$13,Paramètres!$A$1:$I$89,3,0)*VLOOKUP('Données projet'!$B$13,Paramètres!$A$1:$I$89,5,0)</f>
        <v>153.20760000000001</v>
      </c>
      <c r="CV45" s="14">
        <f t="shared" si="41"/>
        <v>39.306624169832133</v>
      </c>
      <c r="CW45" s="22">
        <f t="shared" si="13"/>
        <v>335.29560709579096</v>
      </c>
      <c r="CX45" s="62">
        <f t="shared" si="14"/>
        <v>628.62894042912421</v>
      </c>
      <c r="CY45" s="62">
        <f ca="1">AVERAGE(OFFSET($CX$3,0,0,'Données projet'!$E$13+1,1))-AVERAGE(OFFSET($H$3,0,0,'Données projet'!$E$13+1,1))</f>
        <v>338.72479490324491</v>
      </c>
      <c r="CZ45" s="62">
        <f t="shared" si="42"/>
        <v>248.47107558211923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162.20000000000005</v>
      </c>
      <c r="O46" s="14">
        <f>N46*VLOOKUP('Données projet'!$B$9,Paramètres!$A$1:$I$89,3,0)*VLOOKUP('Données projet'!$B$9,Paramètres!$A$1:$I$89,5,0)</f>
        <v>146.75856000000005</v>
      </c>
      <c r="P46" s="14">
        <f t="shared" si="33"/>
        <v>37.841022770456242</v>
      </c>
      <c r="Q46" s="22">
        <f t="shared" si="53"/>
        <v>321.51093999187805</v>
      </c>
      <c r="R46" s="62">
        <f t="shared" si="0"/>
        <v>614.84427332521136</v>
      </c>
      <c r="S46" s="62">
        <f ca="1">AVERAGE(OFFSET($R$3,0,0,'Données projet'!$E$9+1,1))-AVERAGE(OFFSET($H$3,0,0,'Données projet'!$E$9+1,1))</f>
        <v>430.11660085503223</v>
      </c>
      <c r="T46" s="62">
        <f t="shared" si="34"/>
        <v>231.36959598460686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162.20000000000005</v>
      </c>
      <c r="AJ46" s="14">
        <f>AI46*VLOOKUP('Données projet'!$B$10,Paramètres!$A$1:$I$89,3,0)*VLOOKUP('Données projet'!$B$10,Paramètres!$A$1:$I$89,5,0)</f>
        <v>156.87984000000003</v>
      </c>
      <c r="AK46" s="14">
        <f t="shared" si="35"/>
        <v>40.137950013229407</v>
      </c>
      <c r="AL46" s="22">
        <f t="shared" si="4"/>
        <v>343.13931760637462</v>
      </c>
      <c r="AM46" s="62">
        <f t="shared" si="5"/>
        <v>636.47265093970793</v>
      </c>
      <c r="AN46" s="62">
        <f ca="1">AVERAGE(OFFSET($AM$3,0,0,'Données projet'!$E$10+1,1))-AVERAGE(OFFSET($H$3,0,0,'Données projet'!$E$10+1,1))</f>
        <v>456.86147223520601</v>
      </c>
      <c r="AO46" s="62">
        <f t="shared" si="36"/>
        <v>244.45149244446094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-1.1368683772161603E-13</v>
      </c>
      <c r="BE46" s="14">
        <f>BD46*VLOOKUP('Données projet'!$B$11,Paramètres!$A$1:$I$89,3,0)*VLOOKUP('Données projet'!$B$11,Paramètres!$A$1:$I$89,5,0)</f>
        <v>-6.7984728957526396E-14</v>
      </c>
      <c r="BF46" s="14" t="e">
        <f t="shared" si="37"/>
        <v>#NUM!</v>
      </c>
      <c r="BG46" s="22" t="e">
        <f t="shared" si="7"/>
        <v>#NUM!</v>
      </c>
      <c r="BH46" s="62" t="e">
        <f t="shared" si="8"/>
        <v>#NUM!</v>
      </c>
      <c r="BI46" s="62">
        <f ca="1">AVERAGE(OFFSET($BH$3,0,0,'Données projet'!$E$11+1,1))-AVERAGE(OFFSET($H$3,0,0,'Données projet'!$E$11+1,1))</f>
        <v>215.43756133069593</v>
      </c>
      <c r="BJ46" s="62">
        <f t="shared" si="38"/>
        <v>363.02009369315243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85.479153085991996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69.52680282511713</v>
      </c>
      <c r="BS46" s="24">
        <f t="shared" si="9"/>
        <v>155.00595591110914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28</v>
      </c>
      <c r="BY46" s="13">
        <f>IF('Données projet'!$A$114&gt;35,BY45+BX46-CG45,IF(A46&lt;'Données projet'!$A$114,$BV$205^A46,IF(A46='Données projet'!$A$114,'Données projet'!$B$114,BY45+BX46-CG45)))</f>
        <v>527</v>
      </c>
      <c r="BZ46" s="14">
        <f>BY46*VLOOKUP('Données projet'!$B$12,Paramètres!$A$1:$I$89,3,0)*VLOOKUP('Données projet'!$B$12,Paramètres!$A$1:$I$89,5,0)</f>
        <v>232.93400000000003</v>
      </c>
      <c r="CA46" s="14">
        <f t="shared" si="39"/>
        <v>56.916612152114091</v>
      </c>
      <c r="CB46" s="22">
        <f t="shared" si="10"/>
        <v>504.82314949826542</v>
      </c>
      <c r="CC46" s="62">
        <f t="shared" si="11"/>
        <v>798.15648283159874</v>
      </c>
      <c r="CD46" s="62">
        <f ca="1">AVERAGE(OFFSET($CC$3,0,0,'Données projet'!$E$12+1,1))-AVERAGE(OFFSET($H$3,0,0,'Données projet'!$E$12+1,1))</f>
        <v>461.75392711528474</v>
      </c>
      <c r="CE46" s="62">
        <f t="shared" si="40"/>
        <v>441.67157957428236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16.600000000000001</v>
      </c>
      <c r="CT46" s="13">
        <f>IF('Données projet'!$A$140&gt;35,CT45+CS46-DB45,IF(A46&lt;'Données projet'!$A$140,$CQ$205^A46,IF(A46='Données projet'!$A$140,'Données projet'!$B$140,CT45+CS46-DB45)))</f>
        <v>272.8</v>
      </c>
      <c r="CU46" s="18">
        <f>CT46*VLOOKUP('Données projet'!$B$13,Paramètres!$A$1:$I$89,3,0)*VLOOKUP('Données projet'!$B$13,Paramètres!$A$1:$I$89,5,0)</f>
        <v>163.13440000000003</v>
      </c>
      <c r="CV46" s="14">
        <f t="shared" si="41"/>
        <v>41.54868784542596</v>
      </c>
      <c r="CW46" s="22">
        <f t="shared" si="13"/>
        <v>356.48971133078356</v>
      </c>
      <c r="CX46" s="62">
        <f t="shared" si="14"/>
        <v>649.82304466411688</v>
      </c>
      <c r="CY46" s="62">
        <f ca="1">AVERAGE(OFFSET($CX$3,0,0,'Données projet'!$E$13+1,1))-AVERAGE(OFFSET($H$3,0,0,'Données projet'!$E$13+1,1))</f>
        <v>338.72479490324491</v>
      </c>
      <c r="CZ46" s="62">
        <f t="shared" si="42"/>
        <v>248.47107558211923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170.60000000000005</v>
      </c>
      <c r="O47" s="14">
        <f>N47*VLOOKUP('Données projet'!$B$9,Paramètres!$A$1:$I$89,3,0)*VLOOKUP('Données projet'!$B$9,Paramètres!$A$1:$I$89,5,0)</f>
        <v>154.35888000000003</v>
      </c>
      <c r="P47" s="14">
        <f t="shared" si="33"/>
        <v>39.567499286120309</v>
      </c>
      <c r="Q47" s="22">
        <f t="shared" si="53"/>
        <v>337.75511058999291</v>
      </c>
      <c r="R47" s="62">
        <f t="shared" si="0"/>
        <v>631.08844392332617</v>
      </c>
      <c r="S47" s="62">
        <f ca="1">AVERAGE(OFFSET($R$3,0,0,'Données projet'!$E$9+1,1))-AVERAGE(OFFSET($H$3,0,0,'Données projet'!$E$9+1,1))</f>
        <v>430.11660085503223</v>
      </c>
      <c r="T47" s="62">
        <f t="shared" si="34"/>
        <v>231.36959598460686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170.60000000000005</v>
      </c>
      <c r="AJ47" s="14">
        <f>AI47*VLOOKUP('Données projet'!$B$10,Paramètres!$A$1:$I$89,3,0)*VLOOKUP('Données projet'!$B$10,Paramètres!$A$1:$I$89,5,0)</f>
        <v>165.00432000000006</v>
      </c>
      <c r="AK47" s="14">
        <f t="shared" si="35"/>
        <v>41.969222611359086</v>
      </c>
      <c r="AL47" s="22">
        <f t="shared" si="4"/>
        <v>360.47892004811712</v>
      </c>
      <c r="AM47" s="62">
        <f t="shared" si="5"/>
        <v>653.81225338145043</v>
      </c>
      <c r="AN47" s="62">
        <f ca="1">AVERAGE(OFFSET($AM$3,0,0,'Données projet'!$E$10+1,1))-AVERAGE(OFFSET($H$3,0,0,'Données projet'!$E$10+1,1))</f>
        <v>456.86147223520601</v>
      </c>
      <c r="AO47" s="62">
        <f t="shared" si="36"/>
        <v>244.45149244446094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-1.1368683772161603E-13</v>
      </c>
      <c r="BE47" s="14">
        <f>BD47*VLOOKUP('Données projet'!$B$11,Paramètres!$A$1:$I$89,3,0)*VLOOKUP('Données projet'!$B$11,Paramètres!$A$1:$I$89,5,0)</f>
        <v>-6.7984728957526396E-14</v>
      </c>
      <c r="BF47" s="14" t="e">
        <f t="shared" si="37"/>
        <v>#NUM!</v>
      </c>
      <c r="BG47" s="22" t="e">
        <f t="shared" si="7"/>
        <v>#NUM!</v>
      </c>
      <c r="BH47" s="62" t="e">
        <f t="shared" si="8"/>
        <v>#NUM!</v>
      </c>
      <c r="BI47" s="62">
        <f ca="1">AVERAGE(OFFSET($BH$3,0,0,'Données projet'!$E$11+1,1))-AVERAGE(OFFSET($H$3,0,0,'Données projet'!$E$11+1,1))</f>
        <v>215.43756133069593</v>
      </c>
      <c r="BJ47" s="62">
        <f t="shared" si="38"/>
        <v>363.02009369315243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83.802959031110959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49.162873751860339</v>
      </c>
      <c r="BS47" s="24">
        <f t="shared" si="9"/>
        <v>132.96583278297129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28</v>
      </c>
      <c r="BY47" s="13">
        <f>IF('Données projet'!$A$114&gt;35,BY46+BX47-CG46,IF(A47&lt;'Données projet'!$A$114,$BV$205^A47,IF(A47='Données projet'!$A$114,'Données projet'!$B$114,BY46+BX47-CG46)))</f>
        <v>555</v>
      </c>
      <c r="BZ47" s="14">
        <f>BY47*VLOOKUP('Données projet'!$B$12,Paramètres!$A$1:$I$89,3,0)*VLOOKUP('Données projet'!$B$12,Paramètres!$A$1:$I$89,5,0)</f>
        <v>245.31000000000003</v>
      </c>
      <c r="CA47" s="14">
        <f t="shared" si="39"/>
        <v>59.580543688834823</v>
      </c>
      <c r="CB47" s="22">
        <f t="shared" si="10"/>
        <v>531.01769692472055</v>
      </c>
      <c r="CC47" s="62">
        <f t="shared" si="11"/>
        <v>824.35103025805392</v>
      </c>
      <c r="CD47" s="62">
        <f ca="1">AVERAGE(OFFSET($CC$3,0,0,'Données projet'!$E$12+1,1))-AVERAGE(OFFSET($H$3,0,0,'Données projet'!$E$12+1,1))</f>
        <v>461.75392711528474</v>
      </c>
      <c r="CE47" s="62">
        <f t="shared" si="40"/>
        <v>441.67157957428236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16.600000000000001</v>
      </c>
      <c r="CT47" s="13">
        <f>IF('Données projet'!$A$140&gt;35,CT46+CS47-DB46,IF(A47&lt;'Données projet'!$A$140,$CQ$205^A47,IF(A47='Données projet'!$A$140,'Données projet'!$B$140,CT46+CS47-DB46)))</f>
        <v>289.40000000000003</v>
      </c>
      <c r="CU47" s="18">
        <f>CT47*VLOOKUP('Données projet'!$B$13,Paramètres!$A$1:$I$89,3,0)*VLOOKUP('Données projet'!$B$13,Paramètres!$A$1:$I$89,5,0)</f>
        <v>173.06120000000004</v>
      </c>
      <c r="CV47" s="14">
        <f t="shared" si="41"/>
        <v>43.774916798471111</v>
      </c>
      <c r="CW47" s="22">
        <f t="shared" si="13"/>
        <v>377.65623675733718</v>
      </c>
      <c r="CX47" s="62">
        <f t="shared" si="14"/>
        <v>670.98957009067044</v>
      </c>
      <c r="CY47" s="62">
        <f ca="1">AVERAGE(OFFSET($CX$3,0,0,'Données projet'!$E$13+1,1))-AVERAGE(OFFSET($H$3,0,0,'Données projet'!$E$13+1,1))</f>
        <v>338.72479490324491</v>
      </c>
      <c r="CZ47" s="62">
        <f t="shared" si="42"/>
        <v>248.47107558211923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179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179.00000000000006</v>
      </c>
      <c r="O48" s="14">
        <f>N48*VLOOKUP('Données projet'!$B$9,Paramètres!$A$1:$I$89,3,0)*VLOOKUP('Données projet'!$B$9,Paramètres!$A$1:$I$89,5,0)</f>
        <v>161.95920000000004</v>
      </c>
      <c r="P48" s="14">
        <f t="shared" si="33"/>
        <v>41.284104935125725</v>
      </c>
      <c r="Q48" s="22">
        <f t="shared" si="53"/>
        <v>353.9820894286774</v>
      </c>
      <c r="R48" s="62">
        <f t="shared" si="0"/>
        <v>647.31542276201071</v>
      </c>
      <c r="S48" s="62">
        <f ca="1">AVERAGE(OFFSET($R$3,0,0,'Données projet'!$E$9+1,1))-AVERAGE(OFFSET($H$3,0,0,'Données projet'!$E$9+1,1))</f>
        <v>430.11660085503223</v>
      </c>
      <c r="T48" s="62">
        <f t="shared" si="34"/>
        <v>231.36959598460686</v>
      </c>
      <c r="U48" s="16">
        <f>IF(ISNA(VLOOKUP(A48,'Données projet'!$A$35:$I$55,3,0)),0,VLOOKUP(A48,'Données projet'!$A$35:$I$55,3,0))</f>
        <v>3</v>
      </c>
      <c r="V48" s="16">
        <f>IF(ISNA(VLOOKUP(A48,'Données projet'!$A$35:$I$55,4,0)),0,VLOOKUP(A48,'Données projet'!$A$35:$I$55,4,0))</f>
        <v>42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179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179.00000000000006</v>
      </c>
      <c r="AJ48" s="14">
        <f>AI48*VLOOKUP('Données projet'!$B$10,Paramètres!$A$1:$I$89,3,0)*VLOOKUP('Données projet'!$B$10,Paramètres!$A$1:$I$89,5,0)</f>
        <v>173.12880000000007</v>
      </c>
      <c r="AK48" s="14">
        <f t="shared" si="35"/>
        <v>43.790025187181634</v>
      </c>
      <c r="AL48" s="22">
        <f t="shared" si="4"/>
        <v>377.80028720100813</v>
      </c>
      <c r="AM48" s="62">
        <f t="shared" si="5"/>
        <v>671.13362053434139</v>
      </c>
      <c r="AN48" s="62">
        <f ca="1">AVERAGE(OFFSET($AM$3,0,0,'Données projet'!$E$10+1,1))-AVERAGE(OFFSET($H$3,0,0,'Données projet'!$E$10+1,1))</f>
        <v>456.86147223520601</v>
      </c>
      <c r="AO48" s="62">
        <f t="shared" si="36"/>
        <v>244.45149244446094</v>
      </c>
      <c r="AP48" s="16">
        <f>IF(ISNA(VLOOKUP(A48,'Données projet'!$A$61:$I$81,3,0)),0,VLOOKUP(A48,'Données projet'!$A$61:$I$81,3,0))</f>
        <v>3</v>
      </c>
      <c r="AQ48" s="16">
        <f>IF(ISNA(VLOOKUP(A48,'Données projet'!$A$61:$I$81,4,0)),0,VLOOKUP(A48,'Données projet'!$A$61:$I$81,4,0))</f>
        <v>42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-1.1368683772161603E-13</v>
      </c>
      <c r="BE48" s="14">
        <f>BD48*VLOOKUP('Données projet'!$B$11,Paramètres!$A$1:$I$89,3,0)*VLOOKUP('Données projet'!$B$11,Paramètres!$A$1:$I$89,5,0)</f>
        <v>-6.7984728957526396E-14</v>
      </c>
      <c r="BF48" s="14" t="e">
        <f t="shared" si="37"/>
        <v>#NUM!</v>
      </c>
      <c r="BG48" s="22" t="e">
        <f t="shared" si="7"/>
        <v>#NUM!</v>
      </c>
      <c r="BH48" s="62" t="e">
        <f t="shared" si="8"/>
        <v>#NUM!</v>
      </c>
      <c r="BI48" s="62">
        <f ca="1">AVERAGE(OFFSET($BH$3,0,0,'Données projet'!$E$11+1,1))-AVERAGE(OFFSET($H$3,0,0,'Données projet'!$E$11+1,1))</f>
        <v>215.43756133069593</v>
      </c>
      <c r="BJ48" s="62">
        <f t="shared" si="38"/>
        <v>363.02009369315243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82.159634119268716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34.763401412558572</v>
      </c>
      <c r="BS48" s="24">
        <f t="shared" si="9"/>
        <v>116.92303553182728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28</v>
      </c>
      <c r="BY48" s="13">
        <f>IF('Données projet'!$A$114&gt;35,BY47+BX48-CG47,IF(A48&lt;'Données projet'!$A$114,$BV$205^A48,IF(A48='Données projet'!$A$114,'Données projet'!$B$114,BY47+BX48-CG47)))</f>
        <v>583</v>
      </c>
      <c r="BZ48" s="14">
        <f>BY48*VLOOKUP('Données projet'!$B$12,Paramètres!$A$1:$I$89,3,0)*VLOOKUP('Données projet'!$B$12,Paramètres!$A$1:$I$89,5,0)</f>
        <v>257.68600000000004</v>
      </c>
      <c r="CA48" s="14">
        <f t="shared" si="39"/>
        <v>62.228870322516833</v>
      </c>
      <c r="CB48" s="22">
        <f t="shared" si="10"/>
        <v>557.18506581171687</v>
      </c>
      <c r="CC48" s="62">
        <f t="shared" si="11"/>
        <v>850.51839914505013</v>
      </c>
      <c r="CD48" s="62">
        <f ca="1">AVERAGE(OFFSET($CC$3,0,0,'Données projet'!$E$12+1,1))-AVERAGE(OFFSET($H$3,0,0,'Données projet'!$E$12+1,1))</f>
        <v>461.75392711528474</v>
      </c>
      <c r="CE48" s="62">
        <f t="shared" si="40"/>
        <v>441.67157957428236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306</v>
      </c>
      <c r="CR48" s="13">
        <f>VLOOKUP(A48,'Données projet'!$A$139:$I$159,9,0)</f>
        <v>16.600000000000001</v>
      </c>
      <c r="CS48" s="13">
        <f t="array" ref="CS48">INDEX(CR:CR,MIN(IF(ISNUMBER(CR48:CR244),ROW(CR48:CR244),"")))</f>
        <v>16.600000000000001</v>
      </c>
      <c r="CT48" s="13">
        <f>IF('Données projet'!$A$140&gt;35,CT47+CS48-DB47,IF(A48&lt;'Données projet'!$A$140,$CQ$205^A48,IF(A48='Données projet'!$A$140,'Données projet'!$B$140,CT47+CS48-DB47)))</f>
        <v>306.00000000000006</v>
      </c>
      <c r="CU48" s="18">
        <f>CT48*VLOOKUP('Données projet'!$B$13,Paramètres!$A$1:$I$89,3,0)*VLOOKUP('Données projet'!$B$13,Paramètres!$A$1:$I$89,5,0)</f>
        <v>182.98800000000003</v>
      </c>
      <c r="CV48" s="14">
        <f t="shared" si="41"/>
        <v>45.986322796524831</v>
      </c>
      <c r="CW48" s="22">
        <f t="shared" si="13"/>
        <v>398.79694553728081</v>
      </c>
      <c r="CX48" s="62">
        <f t="shared" si="14"/>
        <v>692.13027887061412</v>
      </c>
      <c r="CY48" s="62">
        <f ca="1">AVERAGE(OFFSET($CX$3,0,0,'Données projet'!$E$13+1,1))-AVERAGE(OFFSET($H$3,0,0,'Données projet'!$E$13+1,1))</f>
        <v>338.72479490324491</v>
      </c>
      <c r="CZ48" s="62">
        <f t="shared" si="42"/>
        <v>248.47107558211923</v>
      </c>
      <c r="DA48" s="16">
        <f>IF(ISNA(VLOOKUP(A48,'Données projet'!$A$139:$I$159,3,0)),0,VLOOKUP(A48,'Données projet'!$A$139:$I$159,3,0))</f>
        <v>3</v>
      </c>
      <c r="DB48" s="16">
        <f>IF(ISNA(VLOOKUP(A48,'Données projet'!$A$139:$I$159,4,0)),0,VLOOKUP(A48,'Données projet'!$A$139:$I$159,4,0))</f>
        <v>94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145.20000000000005</v>
      </c>
      <c r="O49" s="14">
        <f>N49*VLOOKUP('Données projet'!$B$9,Paramètres!$A$1:$I$89,3,0)*VLOOKUP('Données projet'!$B$9,Paramètres!$A$1:$I$89,5,0)</f>
        <v>131.37696000000003</v>
      </c>
      <c r="P49" s="14">
        <f t="shared" si="33"/>
        <v>34.314338988223334</v>
      </c>
      <c r="Q49" s="22">
        <f t="shared" si="53"/>
        <v>288.57901240448905</v>
      </c>
      <c r="R49" s="62">
        <f t="shared" si="0"/>
        <v>581.91234573782231</v>
      </c>
      <c r="S49" s="62">
        <f ca="1">AVERAGE(OFFSET($R$3,0,0,'Données projet'!$E$9+1,1))-AVERAGE(OFFSET($H$3,0,0,'Données projet'!$E$9+1,1))</f>
        <v>430.11660085503223</v>
      </c>
      <c r="T49" s="62">
        <f t="shared" si="34"/>
        <v>231.36959598460686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145.20000000000005</v>
      </c>
      <c r="AJ49" s="14">
        <f>AI49*VLOOKUP('Données projet'!$B$10,Paramètres!$A$1:$I$89,3,0)*VLOOKUP('Données projet'!$B$10,Paramètres!$A$1:$I$89,5,0)</f>
        <v>140.43744000000004</v>
      </c>
      <c r="AK49" s="14">
        <f t="shared" si="35"/>
        <v>36.397198653986358</v>
      </c>
      <c r="AL49" s="22">
        <f t="shared" si="4"/>
        <v>307.98699565569297</v>
      </c>
      <c r="AM49" s="62">
        <f t="shared" si="5"/>
        <v>601.32032898902628</v>
      </c>
      <c r="AN49" s="62">
        <f ca="1">AVERAGE(OFFSET($AM$3,0,0,'Données projet'!$E$10+1,1))-AVERAGE(OFFSET($H$3,0,0,'Données projet'!$E$10+1,1))</f>
        <v>456.86147223520601</v>
      </c>
      <c r="AO49" s="62">
        <f t="shared" si="36"/>
        <v>244.45149244446094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-1.1368683772161603E-13</v>
      </c>
      <c r="BE49" s="14">
        <f>BD49*VLOOKUP('Données projet'!$B$11,Paramètres!$A$1:$I$89,3,0)*VLOOKUP('Données projet'!$B$11,Paramètres!$A$1:$I$89,5,0)</f>
        <v>-6.7984728957526396E-14</v>
      </c>
      <c r="BF49" s="14" t="e">
        <f t="shared" si="37"/>
        <v>#NUM!</v>
      </c>
      <c r="BG49" s="22" t="e">
        <f t="shared" si="7"/>
        <v>#NUM!</v>
      </c>
      <c r="BH49" s="62" t="e">
        <f t="shared" si="8"/>
        <v>#NUM!</v>
      </c>
      <c r="BI49" s="62">
        <f ca="1">AVERAGE(OFFSET($BH$3,0,0,'Données projet'!$E$11+1,1))-AVERAGE(OFFSET($H$3,0,0,'Données projet'!$E$11+1,1))</f>
        <v>215.43756133069593</v>
      </c>
      <c r="BJ49" s="62">
        <f t="shared" si="38"/>
        <v>363.02009369315243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80.54853380661848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24.581436875930173</v>
      </c>
      <c r="BS49" s="24">
        <f t="shared" si="9"/>
        <v>105.12997068254865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>
        <f>VLOOKUP(A49,'Données projet'!$A$113:$I$133,2,0)</f>
        <v>611</v>
      </c>
      <c r="BW49" s="13">
        <f>VLOOKUP(A49,'Données projet'!$A$113:$I$133,9,0)</f>
        <v>28</v>
      </c>
      <c r="BX49" s="13">
        <f t="array" ref="BX49">INDEX(BW:BW,MIN(IF(ISNUMBER(BW49:BW245),ROW(BW49:BW245),"")))</f>
        <v>28</v>
      </c>
      <c r="BY49" s="13">
        <f>IF('Données projet'!$A$114&gt;35,BY48+BX49-CG48,IF(A49&lt;'Données projet'!$A$114,$BV$205^A49,IF(A49='Données projet'!$A$114,'Données projet'!$B$114,BY48+BX49-CG48)))</f>
        <v>611</v>
      </c>
      <c r="BZ49" s="14">
        <f>BY49*VLOOKUP('Données projet'!$B$12,Paramètres!$A$1:$I$89,3,0)*VLOOKUP('Données projet'!$B$12,Paramètres!$A$1:$I$89,5,0)</f>
        <v>270.06200000000001</v>
      </c>
      <c r="CA49" s="14">
        <f t="shared" si="39"/>
        <v>64.862427076779852</v>
      </c>
      <c r="CB49" s="22">
        <f t="shared" si="10"/>
        <v>583.32671049205817</v>
      </c>
      <c r="CC49" s="62">
        <f t="shared" si="11"/>
        <v>876.66004382539154</v>
      </c>
      <c r="CD49" s="62">
        <f ca="1">AVERAGE(OFFSET($CC$3,0,0,'Données projet'!$E$12+1,1))-AVERAGE(OFFSET($H$3,0,0,'Données projet'!$E$12+1,1))</f>
        <v>461.75392711528474</v>
      </c>
      <c r="CE49" s="62">
        <f t="shared" si="40"/>
        <v>441.67157957428236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17.399999999999999</v>
      </c>
      <c r="CT49" s="13">
        <f>IF('Données projet'!$A$140&gt;35,CT48+CS49-DB48,IF(A49&lt;'Données projet'!$A$140,$CQ$205^A49,IF(A49='Données projet'!$A$140,'Données projet'!$B$140,CT48+CS49-DB48)))</f>
        <v>229.40000000000003</v>
      </c>
      <c r="CU49" s="18">
        <f>CT49*VLOOKUP('Données projet'!$B$13,Paramètres!$A$1:$I$89,3,0)*VLOOKUP('Données projet'!$B$13,Paramètres!$A$1:$I$89,5,0)</f>
        <v>137.18120000000002</v>
      </c>
      <c r="CV49" s="14">
        <f t="shared" si="41"/>
        <v>35.650495570194252</v>
      </c>
      <c r="CW49" s="22">
        <f t="shared" si="13"/>
        <v>301.01520311808832</v>
      </c>
      <c r="CX49" s="62">
        <f t="shared" si="14"/>
        <v>594.34853645142164</v>
      </c>
      <c r="CY49" s="62">
        <f ca="1">AVERAGE(OFFSET($CX$3,0,0,'Données projet'!$E$13+1,1))-AVERAGE(OFFSET($H$3,0,0,'Données projet'!$E$13+1,1))</f>
        <v>338.72479490324491</v>
      </c>
      <c r="CZ49" s="62">
        <f t="shared" si="42"/>
        <v>248.47107558211923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153.40000000000003</v>
      </c>
      <c r="O50" s="14">
        <f>N50*VLOOKUP('Données projet'!$B$9,Paramètres!$A$1:$I$89,3,0)*VLOOKUP('Données projet'!$B$9,Paramètres!$A$1:$I$89,5,0)</f>
        <v>138.79632000000001</v>
      </c>
      <c r="P50" s="14">
        <f t="shared" si="33"/>
        <v>36.021120886354588</v>
      </c>
      <c r="Q50" s="22">
        <f t="shared" si="53"/>
        <v>304.47370954373423</v>
      </c>
      <c r="R50" s="62">
        <f t="shared" si="0"/>
        <v>597.80704287706749</v>
      </c>
      <c r="S50" s="62">
        <f ca="1">AVERAGE(OFFSET($R$3,0,0,'Données projet'!$E$9+1,1))-AVERAGE(OFFSET($H$3,0,0,'Données projet'!$E$9+1,1))</f>
        <v>430.11660085503223</v>
      </c>
      <c r="T50" s="62">
        <f t="shared" si="34"/>
        <v>231.36959598460686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153.40000000000003</v>
      </c>
      <c r="AJ50" s="14">
        <f>AI50*VLOOKUP('Données projet'!$B$10,Paramètres!$A$1:$I$89,3,0)*VLOOKUP('Données projet'!$B$10,Paramètres!$A$1:$I$89,5,0)</f>
        <v>148.36848000000003</v>
      </c>
      <c r="AK50" s="14">
        <f t="shared" si="35"/>
        <v>38.207581183185901</v>
      </c>
      <c r="AL50" s="22">
        <f t="shared" si="4"/>
        <v>324.95330656071548</v>
      </c>
      <c r="AM50" s="62">
        <f t="shared" si="5"/>
        <v>618.28663989404879</v>
      </c>
      <c r="AN50" s="62">
        <f ca="1">AVERAGE(OFFSET($AM$3,0,0,'Données projet'!$E$10+1,1))-AVERAGE(OFFSET($H$3,0,0,'Données projet'!$E$10+1,1))</f>
        <v>456.86147223520601</v>
      </c>
      <c r="AO50" s="62">
        <f t="shared" si="36"/>
        <v>244.45149244446094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-1.1368683772161603E-13</v>
      </c>
      <c r="BE50" s="14">
        <f>BD50*VLOOKUP('Données projet'!$B$11,Paramètres!$A$1:$I$89,3,0)*VLOOKUP('Données projet'!$B$11,Paramètres!$A$1:$I$89,5,0)</f>
        <v>-6.7984728957526396E-14</v>
      </c>
      <c r="BF50" s="14" t="e">
        <f t="shared" si="37"/>
        <v>#NUM!</v>
      </c>
      <c r="BG50" s="22" t="e">
        <f t="shared" si="7"/>
        <v>#NUM!</v>
      </c>
      <c r="BH50" s="62" t="e">
        <f t="shared" si="8"/>
        <v>#NUM!</v>
      </c>
      <c r="BI50" s="62">
        <f ca="1">AVERAGE(OFFSET($BH$3,0,0,'Données projet'!$E$11+1,1))-AVERAGE(OFFSET($H$3,0,0,'Données projet'!$E$11+1,1))</f>
        <v>215.43756133069593</v>
      </c>
      <c r="BJ50" s="62">
        <f t="shared" si="38"/>
        <v>363.02009369315243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78.969026188425147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17.38170070627929</v>
      </c>
      <c r="BS50" s="24">
        <f t="shared" si="9"/>
        <v>96.350726894704437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24.8</v>
      </c>
      <c r="BY50" s="13">
        <f>IF('Données projet'!$A$114&gt;35,BY49+BX50-CG49,IF(A50&lt;'Données projet'!$A$114,$BV$205^A50,IF(A50='Données projet'!$A$114,'Données projet'!$B$114,BY49+BX50-CG49)))</f>
        <v>635.79999999999995</v>
      </c>
      <c r="BZ50" s="14">
        <f>BY50*VLOOKUP('Données projet'!$B$12,Paramètres!$A$1:$I$89,3,0)*VLOOKUP('Données projet'!$B$12,Paramètres!$A$1:$I$89,5,0)</f>
        <v>281.02359999999999</v>
      </c>
      <c r="CA50" s="14">
        <f t="shared" si="39"/>
        <v>67.183279024645429</v>
      </c>
      <c r="CB50" s="22">
        <f t="shared" si="10"/>
        <v>606.46031430125743</v>
      </c>
      <c r="CC50" s="62">
        <f t="shared" si="11"/>
        <v>899.7936476345908</v>
      </c>
      <c r="CD50" s="62">
        <f ca="1">AVERAGE(OFFSET($CC$3,0,0,'Données projet'!$E$12+1,1))-AVERAGE(OFFSET($H$3,0,0,'Données projet'!$E$12+1,1))</f>
        <v>461.75392711528474</v>
      </c>
      <c r="CE50" s="62">
        <f t="shared" si="40"/>
        <v>441.67157957428236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17.399999999999999</v>
      </c>
      <c r="CT50" s="13">
        <f>IF('Données projet'!$A$140&gt;35,CT49+CS50-DB49,IF(A50&lt;'Données projet'!$A$140,$CQ$205^A50,IF(A50='Données projet'!$A$140,'Données projet'!$B$140,CT49+CS50-DB49)))</f>
        <v>246.80000000000004</v>
      </c>
      <c r="CU50" s="18">
        <f>CT50*VLOOKUP('Données projet'!$B$13,Paramètres!$A$1:$I$89,3,0)*VLOOKUP('Données projet'!$B$13,Paramètres!$A$1:$I$89,5,0)</f>
        <v>147.58640000000003</v>
      </c>
      <c r="CV50" s="14">
        <f t="shared" si="41"/>
        <v>38.029569600982974</v>
      </c>
      <c r="CW50" s="22">
        <f t="shared" si="13"/>
        <v>323.28114705504538</v>
      </c>
      <c r="CX50" s="62">
        <f t="shared" si="14"/>
        <v>616.61448038837875</v>
      </c>
      <c r="CY50" s="62">
        <f ca="1">AVERAGE(OFFSET($CX$3,0,0,'Données projet'!$E$13+1,1))-AVERAGE(OFFSET($H$3,0,0,'Données projet'!$E$13+1,1))</f>
        <v>338.72479490324491</v>
      </c>
      <c r="CZ50" s="62">
        <f t="shared" si="42"/>
        <v>248.47107558211923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161.60000000000002</v>
      </c>
      <c r="O51" s="14">
        <f>N51*VLOOKUP('Données projet'!$B$9,Paramètres!$A$1:$I$89,3,0)*VLOOKUP('Données projet'!$B$9,Paramètres!$A$1:$I$89,5,0)</f>
        <v>146.21568000000002</v>
      </c>
      <c r="P51" s="14">
        <f t="shared" si="33"/>
        <v>37.717310552893402</v>
      </c>
      <c r="Q51" s="22">
        <f t="shared" si="53"/>
        <v>320.34995854628937</v>
      </c>
      <c r="R51" s="62">
        <f t="shared" si="0"/>
        <v>613.68329187962263</v>
      </c>
      <c r="S51" s="62">
        <f ca="1">AVERAGE(OFFSET($R$3,0,0,'Données projet'!$E$9+1,1))-AVERAGE(OFFSET($H$3,0,0,'Données projet'!$E$9+1,1))</f>
        <v>430.11660085503223</v>
      </c>
      <c r="T51" s="62">
        <f t="shared" si="34"/>
        <v>231.36959598460686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161.60000000000002</v>
      </c>
      <c r="AJ51" s="14">
        <f>AI51*VLOOKUP('Données projet'!$B$10,Paramètres!$A$1:$I$89,3,0)*VLOOKUP('Données projet'!$B$10,Paramètres!$A$1:$I$89,5,0)</f>
        <v>156.29952000000003</v>
      </c>
      <c r="AK51" s="14">
        <f t="shared" si="35"/>
        <v>40.006728538728431</v>
      </c>
      <c r="AL51" s="22">
        <f t="shared" si="4"/>
        <v>341.90004953828537</v>
      </c>
      <c r="AM51" s="62">
        <f t="shared" si="5"/>
        <v>635.23338287161869</v>
      </c>
      <c r="AN51" s="62">
        <f ca="1">AVERAGE(OFFSET($AM$3,0,0,'Données projet'!$E$10+1,1))-AVERAGE(OFFSET($H$3,0,0,'Données projet'!$E$10+1,1))</f>
        <v>456.86147223520601</v>
      </c>
      <c r="AO51" s="62">
        <f t="shared" si="36"/>
        <v>244.45149244446094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-1.1368683772161603E-13</v>
      </c>
      <c r="BE51" s="14">
        <f>BD51*VLOOKUP('Données projet'!$B$11,Paramètres!$A$1:$I$89,3,0)*VLOOKUP('Données projet'!$B$11,Paramètres!$A$1:$I$89,5,0)</f>
        <v>-6.7984728957526396E-14</v>
      </c>
      <c r="BF51" s="14" t="e">
        <f t="shared" si="37"/>
        <v>#NUM!</v>
      </c>
      <c r="BG51" s="22" t="e">
        <f t="shared" si="7"/>
        <v>#NUM!</v>
      </c>
      <c r="BH51" s="62" t="e">
        <f t="shared" si="8"/>
        <v>#NUM!</v>
      </c>
      <c r="BI51" s="62">
        <f ca="1">AVERAGE(OFFSET($BH$3,0,0,'Données projet'!$E$11+1,1))-AVERAGE(OFFSET($H$3,0,0,'Données projet'!$E$11+1,1))</f>
        <v>215.43756133069593</v>
      </c>
      <c r="BJ51" s="62">
        <f t="shared" si="38"/>
        <v>363.02009369315243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77.420491751220069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12.290718437965088</v>
      </c>
      <c r="BS51" s="24">
        <f t="shared" si="9"/>
        <v>89.711210189185152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24.8</v>
      </c>
      <c r="BY51" s="13">
        <f>IF('Données projet'!$A$114&gt;35,BY50+BX51-CG50,IF(A51&lt;'Données projet'!$A$114,$BV$205^A51,IF(A51='Données projet'!$A$114,'Données projet'!$B$114,BY50+BX51-CG50)))</f>
        <v>660.59999999999991</v>
      </c>
      <c r="BZ51" s="14">
        <f>BY51*VLOOKUP('Données projet'!$B$12,Paramètres!$A$1:$I$89,3,0)*VLOOKUP('Données projet'!$B$12,Paramètres!$A$1:$I$89,5,0)</f>
        <v>291.98519999999996</v>
      </c>
      <c r="CA51" s="14">
        <f t="shared" si="39"/>
        <v>69.49361468706833</v>
      </c>
      <c r="CB51" s="22">
        <f t="shared" si="10"/>
        <v>629.57560224664394</v>
      </c>
      <c r="CC51" s="62">
        <f t="shared" si="11"/>
        <v>922.9089355799772</v>
      </c>
      <c r="CD51" s="62">
        <f ca="1">AVERAGE(OFFSET($CC$3,0,0,'Données projet'!$E$12+1,1))-AVERAGE(OFFSET($H$3,0,0,'Données projet'!$E$12+1,1))</f>
        <v>461.75392711528474</v>
      </c>
      <c r="CE51" s="62">
        <f t="shared" si="40"/>
        <v>441.67157957428236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17.399999999999999</v>
      </c>
      <c r="CT51" s="13">
        <f>IF('Données projet'!$A$140&gt;35,CT50+CS51-DB50,IF(A51&lt;'Données projet'!$A$140,$CQ$205^A51,IF(A51='Données projet'!$A$140,'Données projet'!$B$140,CT50+CS51-DB50)))</f>
        <v>264.20000000000005</v>
      </c>
      <c r="CU51" s="18">
        <f>CT51*VLOOKUP('Données projet'!$B$13,Paramètres!$A$1:$I$89,3,0)*VLOOKUP('Données projet'!$B$13,Paramètres!$A$1:$I$89,5,0)</f>
        <v>157.99160000000003</v>
      </c>
      <c r="CV51" s="14">
        <f t="shared" si="41"/>
        <v>40.389182682530297</v>
      </c>
      <c r="CW51" s="22">
        <f t="shared" si="13"/>
        <v>345.513196505407</v>
      </c>
      <c r="CX51" s="62">
        <f t="shared" si="14"/>
        <v>638.84652983874025</v>
      </c>
      <c r="CY51" s="62">
        <f ca="1">AVERAGE(OFFSET($CX$3,0,0,'Données projet'!$E$13+1,1))-AVERAGE(OFFSET($H$3,0,0,'Données projet'!$E$13+1,1))</f>
        <v>338.72479490324491</v>
      </c>
      <c r="CZ51" s="62">
        <f t="shared" si="42"/>
        <v>248.47107558211923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169.8</v>
      </c>
      <c r="O52" s="14">
        <f>N52*VLOOKUP('Données projet'!$B$9,Paramètres!$A$1:$I$89,3,0)*VLOOKUP('Données projet'!$B$9,Paramètres!$A$1:$I$89,5,0)</f>
        <v>153.63504</v>
      </c>
      <c r="P52" s="14">
        <f t="shared" si="33"/>
        <v>39.403506785222667</v>
      </c>
      <c r="Q52" s="22">
        <f t="shared" si="53"/>
        <v>336.20880231759617</v>
      </c>
      <c r="R52" s="62">
        <f t="shared" si="0"/>
        <v>629.54213565092948</v>
      </c>
      <c r="S52" s="62">
        <f ca="1">AVERAGE(OFFSET($R$3,0,0,'Données projet'!$E$9+1,1))-AVERAGE(OFFSET($H$3,0,0,'Données projet'!$E$9+1,1))</f>
        <v>430.11660085503223</v>
      </c>
      <c r="T52" s="62">
        <f t="shared" si="34"/>
        <v>231.36959598460686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169.8</v>
      </c>
      <c r="AJ52" s="14">
        <f>AI52*VLOOKUP('Données projet'!$B$10,Paramètres!$A$1:$I$89,3,0)*VLOOKUP('Données projet'!$B$10,Paramètres!$A$1:$I$89,5,0)</f>
        <v>164.23056000000003</v>
      </c>
      <c r="AK52" s="14">
        <f t="shared" si="35"/>
        <v>41.795275864636551</v>
      </c>
      <c r="AL52" s="22">
        <f t="shared" si="4"/>
        <v>358.82833079757535</v>
      </c>
      <c r="AM52" s="62">
        <f t="shared" si="5"/>
        <v>652.16166413090866</v>
      </c>
      <c r="AN52" s="62">
        <f ca="1">AVERAGE(OFFSET($AM$3,0,0,'Données projet'!$E$10+1,1))-AVERAGE(OFFSET($H$3,0,0,'Données projet'!$E$10+1,1))</f>
        <v>456.86147223520601</v>
      </c>
      <c r="AO52" s="62">
        <f t="shared" si="36"/>
        <v>244.45149244446094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-1.1368683772161603E-13</v>
      </c>
      <c r="BE52" s="14">
        <f>BD52*VLOOKUP('Données projet'!$B$11,Paramètres!$A$1:$I$89,3,0)*VLOOKUP('Données projet'!$B$11,Paramètres!$A$1:$I$89,5,0)</f>
        <v>-6.7984728957526396E-14</v>
      </c>
      <c r="BF52" s="14" t="e">
        <f t="shared" si="37"/>
        <v>#NUM!</v>
      </c>
      <c r="BG52" s="22" t="e">
        <f t="shared" si="7"/>
        <v>#NUM!</v>
      </c>
      <c r="BH52" s="62" t="e">
        <f t="shared" si="8"/>
        <v>#NUM!</v>
      </c>
      <c r="BI52" s="62">
        <f ca="1">AVERAGE(OFFSET($BH$3,0,0,'Données projet'!$E$11+1,1))-AVERAGE(OFFSET($H$3,0,0,'Données projet'!$E$11+1,1))</f>
        <v>215.43756133069593</v>
      </c>
      <c r="BJ52" s="62">
        <f t="shared" si="38"/>
        <v>363.02009369315243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75.902323129815841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8.6908503531396448</v>
      </c>
      <c r="BS52" s="24">
        <f t="shared" si="9"/>
        <v>84.593173482955478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24.8</v>
      </c>
      <c r="BY52" s="13">
        <f>IF('Données projet'!$A$114&gt;35,BY51+BX52-CG51,IF(A52&lt;'Données projet'!$A$114,$BV$205^A52,IF(A52='Données projet'!$A$114,'Données projet'!$B$114,BY51+BX52-CG51)))</f>
        <v>685.39999999999986</v>
      </c>
      <c r="BZ52" s="14">
        <f>BY52*VLOOKUP('Données projet'!$B$12,Paramètres!$A$1:$I$89,3,0)*VLOOKUP('Données projet'!$B$12,Paramètres!$A$1:$I$89,5,0)</f>
        <v>302.9468</v>
      </c>
      <c r="CA52" s="14">
        <f t="shared" si="39"/>
        <v>71.793874065830721</v>
      </c>
      <c r="CB52" s="22">
        <f t="shared" si="10"/>
        <v>652.67334066465514</v>
      </c>
      <c r="CC52" s="62">
        <f t="shared" si="11"/>
        <v>946.0066739979884</v>
      </c>
      <c r="CD52" s="62">
        <f ca="1">AVERAGE(OFFSET($CC$3,0,0,'Données projet'!$E$12+1,1))-AVERAGE(OFFSET($H$3,0,0,'Données projet'!$E$12+1,1))</f>
        <v>461.75392711528474</v>
      </c>
      <c r="CE52" s="62">
        <f t="shared" si="40"/>
        <v>441.67157957428236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17.399999999999999</v>
      </c>
      <c r="CT52" s="13">
        <f>IF('Données projet'!$A$140&gt;35,CT51+CS52-DB51,IF(A52&lt;'Données projet'!$A$140,$CQ$205^A52,IF(A52='Données projet'!$A$140,'Données projet'!$B$140,CT51+CS52-DB51)))</f>
        <v>281.60000000000002</v>
      </c>
      <c r="CU52" s="18">
        <f>CT52*VLOOKUP('Données projet'!$B$13,Paramètres!$A$1:$I$89,3,0)*VLOOKUP('Données projet'!$B$13,Paramètres!$A$1:$I$89,5,0)</f>
        <v>168.39680000000004</v>
      </c>
      <c r="CV52" s="14">
        <f t="shared" si="41"/>
        <v>42.730762346041978</v>
      </c>
      <c r="CW52" s="22">
        <f t="shared" si="13"/>
        <v>367.71383775268987</v>
      </c>
      <c r="CX52" s="62">
        <f t="shared" si="14"/>
        <v>661.04717108602313</v>
      </c>
      <c r="CY52" s="62">
        <f ca="1">AVERAGE(OFFSET($CX$3,0,0,'Données projet'!$E$13+1,1))-AVERAGE(OFFSET($H$3,0,0,'Données projet'!$E$13+1,1))</f>
        <v>338.72479490324491</v>
      </c>
      <c r="CZ52" s="62">
        <f t="shared" si="42"/>
        <v>248.47107558211923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178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178</v>
      </c>
      <c r="O53" s="14">
        <f>N53*VLOOKUP('Données projet'!$B$9,Paramètres!$A$1:$I$89,3,0)*VLOOKUP('Données projet'!$B$9,Paramètres!$A$1:$I$89,5,0)</f>
        <v>161.05439999999999</v>
      </c>
      <c r="P53" s="14">
        <f t="shared" si="33"/>
        <v>41.080247278685491</v>
      </c>
      <c r="Q53" s="22">
        <f t="shared" si="53"/>
        <v>352.05117734371055</v>
      </c>
      <c r="R53" s="62">
        <f t="shared" si="0"/>
        <v>645.38451067704386</v>
      </c>
      <c r="S53" s="62">
        <f ca="1">AVERAGE(OFFSET($R$3,0,0,'Données projet'!$E$9+1,1))-AVERAGE(OFFSET($H$3,0,0,'Données projet'!$E$9+1,1))</f>
        <v>430.11660085503223</v>
      </c>
      <c r="T53" s="62">
        <f t="shared" si="34"/>
        <v>231.36959598460686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178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178</v>
      </c>
      <c r="AJ53" s="14">
        <f>AI53*VLOOKUP('Données projet'!$B$10,Paramètres!$A$1:$I$89,3,0)*VLOOKUP('Données projet'!$B$10,Paramètres!$A$1:$I$89,5,0)</f>
        <v>172.16159999999999</v>
      </c>
      <c r="AK53" s="14">
        <f t="shared" si="35"/>
        <v>43.57379349403616</v>
      </c>
      <c r="AL53" s="22">
        <f t="shared" si="4"/>
        <v>375.7391436687796</v>
      </c>
      <c r="AM53" s="62">
        <f t="shared" si="5"/>
        <v>669.07247700211292</v>
      </c>
      <c r="AN53" s="62">
        <f ca="1">AVERAGE(OFFSET($AM$3,0,0,'Données projet'!$E$10+1,1))-AVERAGE(OFFSET($H$3,0,0,'Données projet'!$E$10+1,1))</f>
        <v>456.86147223520601</v>
      </c>
      <c r="AO53" s="62">
        <f t="shared" si="36"/>
        <v>244.45149244446094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-1.1368683772161603E-13</v>
      </c>
      <c r="BE53" s="14">
        <f>BD53*VLOOKUP('Données projet'!$B$11,Paramètres!$A$1:$I$89,3,0)*VLOOKUP('Données projet'!$B$11,Paramètres!$A$1:$I$89,5,0)</f>
        <v>-6.7984728957526396E-14</v>
      </c>
      <c r="BF53" s="14" t="e">
        <f t="shared" si="37"/>
        <v>#NUM!</v>
      </c>
      <c r="BG53" s="22" t="e">
        <f t="shared" si="7"/>
        <v>#NUM!</v>
      </c>
      <c r="BH53" s="62" t="e">
        <f t="shared" si="8"/>
        <v>#NUM!</v>
      </c>
      <c r="BI53" s="62">
        <f ca="1">AVERAGE(OFFSET($BH$3,0,0,'Données projet'!$E$11+1,1))-AVERAGE(OFFSET($H$3,0,0,'Données projet'!$E$11+1,1))</f>
        <v>215.43756133069593</v>
      </c>
      <c r="BJ53" s="62">
        <f t="shared" si="38"/>
        <v>363.02009369315243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74.413924869085932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6.1453592189825441</v>
      </c>
      <c r="BS53" s="24">
        <f t="shared" si="9"/>
        <v>80.55928408806848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24.8</v>
      </c>
      <c r="BY53" s="13">
        <f>IF('Données projet'!$A$114&gt;35,BY52+BX53-CG52,IF(A53&lt;'Données projet'!$A$114,$BV$205^A53,IF(A53='Données projet'!$A$114,'Données projet'!$B$114,BY52+BX53-CG52)))</f>
        <v>710.19999999999982</v>
      </c>
      <c r="BZ53" s="14">
        <f>BY53*VLOOKUP('Données projet'!$B$12,Paramètres!$A$1:$I$89,3,0)*VLOOKUP('Données projet'!$B$12,Paramètres!$A$1:$I$89,5,0)</f>
        <v>313.90839999999997</v>
      </c>
      <c r="CA53" s="14">
        <f t="shared" si="39"/>
        <v>74.084463516621199</v>
      </c>
      <c r="CB53" s="22">
        <f t="shared" si="10"/>
        <v>675.75423729144848</v>
      </c>
      <c r="CC53" s="62">
        <f t="shared" si="11"/>
        <v>969.08757062478185</v>
      </c>
      <c r="CD53" s="62">
        <f ca="1">AVERAGE(OFFSET($CC$3,0,0,'Données projet'!$E$12+1,1))-AVERAGE(OFFSET($H$3,0,0,'Données projet'!$E$12+1,1))</f>
        <v>461.75392711528474</v>
      </c>
      <c r="CE53" s="62">
        <f t="shared" si="40"/>
        <v>441.67157957428236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299</v>
      </c>
      <c r="CR53" s="13">
        <f>VLOOKUP(A53,'Données projet'!$A$139:$I$159,9,0)</f>
        <v>17.399999999999999</v>
      </c>
      <c r="CS53" s="13">
        <f t="array" ref="CS53">INDEX(CR:CR,MIN(IF(ISNUMBER(CR53:CR249),ROW(CR53:CR249),"")))</f>
        <v>17.399999999999999</v>
      </c>
      <c r="CT53" s="13">
        <f>IF('Données projet'!$A$140&gt;35,CT52+CS53-DB52,IF(A53&lt;'Données projet'!$A$140,$CQ$205^A53,IF(A53='Données projet'!$A$140,'Données projet'!$B$140,CT52+CS53-DB52)))</f>
        <v>299</v>
      </c>
      <c r="CU53" s="18">
        <f>CT53*VLOOKUP('Données projet'!$B$13,Paramètres!$A$1:$I$89,3,0)*VLOOKUP('Données projet'!$B$13,Paramètres!$A$1:$I$89,5,0)</f>
        <v>178.80199999999999</v>
      </c>
      <c r="CV53" s="14">
        <f t="shared" si="41"/>
        <v>45.055549739375941</v>
      </c>
      <c r="CW53" s="22">
        <f t="shared" si="13"/>
        <v>389.88523246274644</v>
      </c>
      <c r="CX53" s="62">
        <f t="shared" si="14"/>
        <v>683.2185657960797</v>
      </c>
      <c r="CY53" s="62">
        <f ca="1">AVERAGE(OFFSET($CX$3,0,0,'Données projet'!$E$13+1,1))-AVERAGE(OFFSET($H$3,0,0,'Données projet'!$E$13+1,1))</f>
        <v>338.72479490324491</v>
      </c>
      <c r="CZ53" s="62">
        <f t="shared" si="42"/>
        <v>248.47107558211923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186</v>
      </c>
      <c r="O54" s="14">
        <f>N54*VLOOKUP('Données projet'!$B$9,Paramètres!$A$1:$I$89,3,0)*VLOOKUP('Données projet'!$B$9,Paramètres!$A$1:$I$89,5,0)</f>
        <v>168.2928</v>
      </c>
      <c r="P54" s="14">
        <f t="shared" si="33"/>
        <v>42.707443263135104</v>
      </c>
      <c r="Q54" s="22">
        <f t="shared" si="53"/>
        <v>367.49209034996028</v>
      </c>
      <c r="R54" s="62">
        <f t="shared" si="0"/>
        <v>660.82542368329359</v>
      </c>
      <c r="S54" s="62">
        <f ca="1">AVERAGE(OFFSET($R$3,0,0,'Données projet'!$E$9+1,1))-AVERAGE(OFFSET($H$3,0,0,'Données projet'!$E$9+1,1))</f>
        <v>430.11660085503223</v>
      </c>
      <c r="T54" s="62">
        <f t="shared" si="34"/>
        <v>231.36959598460686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186</v>
      </c>
      <c r="AJ54" s="14">
        <f>AI54*VLOOKUP('Données projet'!$B$10,Paramètres!$A$1:$I$89,3,0)*VLOOKUP('Données projet'!$B$10,Paramètres!$A$1:$I$89,5,0)</f>
        <v>179.89920000000001</v>
      </c>
      <c r="AK54" s="14">
        <f t="shared" si="35"/>
        <v>45.299759292628586</v>
      </c>
      <c r="AL54" s="22">
        <f t="shared" si="4"/>
        <v>392.22152076799483</v>
      </c>
      <c r="AM54" s="62">
        <f t="shared" si="5"/>
        <v>685.55485410132815</v>
      </c>
      <c r="AN54" s="62">
        <f ca="1">AVERAGE(OFFSET($AM$3,0,0,'Données projet'!$E$10+1,1))-AVERAGE(OFFSET($H$3,0,0,'Données projet'!$E$10+1,1))</f>
        <v>456.86147223520601</v>
      </c>
      <c r="AO54" s="62">
        <f t="shared" si="36"/>
        <v>244.45149244446094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-1.1368683772161603E-13</v>
      </c>
      <c r="BE54" s="14">
        <f>BD54*VLOOKUP('Données projet'!$B$11,Paramètres!$A$1:$I$89,3,0)*VLOOKUP('Données projet'!$B$11,Paramètres!$A$1:$I$89,5,0)</f>
        <v>-6.7984728957526396E-14</v>
      </c>
      <c r="BF54" s="14" t="e">
        <f t="shared" si="37"/>
        <v>#NUM!</v>
      </c>
      <c r="BG54" s="22" t="e">
        <f t="shared" si="7"/>
        <v>#NUM!</v>
      </c>
      <c r="BH54" s="62" t="e">
        <f t="shared" si="8"/>
        <v>#NUM!</v>
      </c>
      <c r="BI54" s="62">
        <f ca="1">AVERAGE(OFFSET($BH$3,0,0,'Données projet'!$E$11+1,1))-AVERAGE(OFFSET($H$3,0,0,'Données projet'!$E$11+1,1))</f>
        <v>215.43756133069593</v>
      </c>
      <c r="BJ54" s="62">
        <f t="shared" si="38"/>
        <v>363.02009369315243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72.954713190415632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4.3454251765698224</v>
      </c>
      <c r="BS54" s="24">
        <f t="shared" si="9"/>
        <v>77.30013836698545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>
        <f>VLOOKUP(A54,'Données projet'!$A$113:$I$133,2,0)</f>
        <v>735</v>
      </c>
      <c r="BW54" s="13">
        <f>VLOOKUP(A54,'Données projet'!$A$113:$I$133,9,0)</f>
        <v>24.8</v>
      </c>
      <c r="BX54" s="13">
        <f t="array" ref="BX54">INDEX(BW:BW,MIN(IF(ISNUMBER(BW54:BW250),ROW(BW54:BW250),"")))</f>
        <v>24.8</v>
      </c>
      <c r="BY54" s="13">
        <f>IF('Données projet'!$A$114&gt;35,BY53+BX54-CG53,IF(A54&lt;'Données projet'!$A$114,$BV$205^A54,IF(A54='Données projet'!$A$114,'Données projet'!$B$114,BY53+BX54-CG53)))</f>
        <v>734.99999999999977</v>
      </c>
      <c r="BZ54" s="14">
        <f>BY54*VLOOKUP('Données projet'!$B$12,Paramètres!$A$1:$I$89,3,0)*VLOOKUP('Données projet'!$B$12,Paramètres!$A$1:$I$89,5,0)</f>
        <v>324.86999999999995</v>
      </c>
      <c r="CA54" s="14">
        <f t="shared" si="39"/>
        <v>76.365759406147731</v>
      </c>
      <c r="CB54" s="22">
        <f t="shared" si="10"/>
        <v>698.81894763237381</v>
      </c>
      <c r="CC54" s="62">
        <f t="shared" si="11"/>
        <v>992.15228096570718</v>
      </c>
      <c r="CD54" s="62">
        <f ca="1">AVERAGE(OFFSET($CC$3,0,0,'Données projet'!$E$12+1,1))-AVERAGE(OFFSET($H$3,0,0,'Données projet'!$E$12+1,1))</f>
        <v>461.75392711528474</v>
      </c>
      <c r="CE54" s="62">
        <f t="shared" si="40"/>
        <v>441.67157957428236</v>
      </c>
      <c r="CF54" s="16">
        <f>IF(ISNA(VLOOKUP(A54,'Données projet'!$A$113:$I$133,3,0)),0,VLOOKUP(A54,'Données projet'!$A$113:$I$133,3,0))</f>
        <v>4</v>
      </c>
      <c r="CG54" s="16">
        <f>IF(ISNA(VLOOKUP(A54,'Données projet'!$A$113:$I$133,4,0)),0,VLOOKUP(A54,'Données projet'!$A$113:$I$133,4,0))</f>
        <v>117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14.5</v>
      </c>
      <c r="CT54" s="13">
        <f>IF('Données projet'!$A$140&gt;35,CT53+CS54-DB53,IF(A54&lt;'Données projet'!$A$140,$CQ$205^A54,IF(A54='Données projet'!$A$140,'Données projet'!$B$140,CT53+CS54-DB53)))</f>
        <v>313.5</v>
      </c>
      <c r="CU54" s="18">
        <f>CT54*VLOOKUP('Données projet'!$B$13,Paramètres!$A$1:$I$89,3,0)*VLOOKUP('Données projet'!$B$13,Paramètres!$A$1:$I$89,5,0)</f>
        <v>187.47300000000001</v>
      </c>
      <c r="CV54" s="14">
        <f t="shared" si="41"/>
        <v>46.980834419747985</v>
      </c>
      <c r="CW54" s="22">
        <f t="shared" si="13"/>
        <v>408.34042828106112</v>
      </c>
      <c r="CX54" s="62">
        <f t="shared" si="14"/>
        <v>701.67376161439438</v>
      </c>
      <c r="CY54" s="62">
        <f ca="1">AVERAGE(OFFSET($CX$3,0,0,'Données projet'!$E$13+1,1))-AVERAGE(OFFSET($H$3,0,0,'Données projet'!$E$13+1,1))</f>
        <v>338.72479490324491</v>
      </c>
      <c r="CZ54" s="62">
        <f t="shared" si="42"/>
        <v>248.47107558211923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194</v>
      </c>
      <c r="O55" s="14">
        <f>N55*VLOOKUP('Données projet'!$B$9,Paramètres!$A$1:$I$89,3,0)*VLOOKUP('Données projet'!$B$9,Paramètres!$A$1:$I$89,5,0)</f>
        <v>175.53120000000001</v>
      </c>
      <c r="P55" s="14">
        <f t="shared" si="33"/>
        <v>44.326510481422488</v>
      </c>
      <c r="Q55" s="22">
        <f t="shared" si="53"/>
        <v>382.9188457551441</v>
      </c>
      <c r="R55" s="62">
        <f t="shared" si="0"/>
        <v>676.25217908847742</v>
      </c>
      <c r="S55" s="62">
        <f ca="1">AVERAGE(OFFSET($R$3,0,0,'Données projet'!$E$9+1,1))-AVERAGE(OFFSET($H$3,0,0,'Données projet'!$E$9+1,1))</f>
        <v>430.11660085503223</v>
      </c>
      <c r="T55" s="62">
        <f t="shared" si="34"/>
        <v>231.36959598460686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194</v>
      </c>
      <c r="AJ55" s="14">
        <f>AI55*VLOOKUP('Données projet'!$B$10,Paramètres!$A$1:$I$89,3,0)*VLOOKUP('Données projet'!$B$10,Paramètres!$A$1:$I$89,5,0)</f>
        <v>187.63680000000002</v>
      </c>
      <c r="AK55" s="14">
        <f t="shared" si="35"/>
        <v>47.01710291385907</v>
      </c>
      <c r="AL55" s="22">
        <f t="shared" si="4"/>
        <v>408.68888090830461</v>
      </c>
      <c r="AM55" s="62">
        <f t="shared" si="5"/>
        <v>702.02221424163793</v>
      </c>
      <c r="AN55" s="62">
        <f ca="1">AVERAGE(OFFSET($AM$3,0,0,'Données projet'!$E$10+1,1))-AVERAGE(OFFSET($H$3,0,0,'Données projet'!$E$10+1,1))</f>
        <v>456.86147223520601</v>
      </c>
      <c r="AO55" s="62">
        <f t="shared" si="36"/>
        <v>244.45149244446094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-1.1368683772161603E-13</v>
      </c>
      <c r="BE55" s="14">
        <f>BD55*VLOOKUP('Données projet'!$B$11,Paramètres!$A$1:$I$89,3,0)*VLOOKUP('Données projet'!$B$11,Paramètres!$A$1:$I$89,5,0)</f>
        <v>-6.7984728957526396E-14</v>
      </c>
      <c r="BF55" s="14" t="e">
        <f t="shared" si="37"/>
        <v>#NUM!</v>
      </c>
      <c r="BG55" s="22" t="e">
        <f t="shared" si="7"/>
        <v>#NUM!</v>
      </c>
      <c r="BH55" s="62" t="e">
        <f t="shared" si="8"/>
        <v>#NUM!</v>
      </c>
      <c r="BI55" s="62">
        <f ca="1">AVERAGE(OFFSET($BH$3,0,0,'Données projet'!$E$11+1,1))-AVERAGE(OFFSET($H$3,0,0,'Données projet'!$E$11+1,1))</f>
        <v>215.43756133069593</v>
      </c>
      <c r="BJ55" s="62">
        <f t="shared" si="38"/>
        <v>363.02009369315243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71.524115762732819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3.0726796094912721</v>
      </c>
      <c r="BS55" s="24">
        <f t="shared" si="9"/>
        <v>74.596795372224094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22.2</v>
      </c>
      <c r="BY55" s="13">
        <f>IF('Données projet'!$A$114&gt;35,BY54+BX55-CG54,IF(A55&lt;'Données projet'!$A$114,$BV$205^A55,IF(A55='Données projet'!$A$114,'Données projet'!$B$114,BY54+BX55-CG54)))</f>
        <v>640.19999999999982</v>
      </c>
      <c r="BZ55" s="14">
        <f>BY55*VLOOKUP('Données projet'!$B$12,Paramètres!$A$1:$I$89,3,0)*VLOOKUP('Données projet'!$B$12,Paramètres!$A$1:$I$89,5,0)</f>
        <v>282.96839999999992</v>
      </c>
      <c r="CA55" s="14">
        <f t="shared" si="39"/>
        <v>67.593931599809835</v>
      </c>
      <c r="CB55" s="22">
        <f t="shared" si="10"/>
        <v>610.56272753633527</v>
      </c>
      <c r="CC55" s="62">
        <f t="shared" si="11"/>
        <v>903.89606086966864</v>
      </c>
      <c r="CD55" s="62">
        <f ca="1">AVERAGE(OFFSET($CC$3,0,0,'Données projet'!$E$12+1,1))-AVERAGE(OFFSET($H$3,0,0,'Données projet'!$E$12+1,1))</f>
        <v>461.75392711528474</v>
      </c>
      <c r="CE55" s="62">
        <f t="shared" si="40"/>
        <v>441.67157957428236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14.5</v>
      </c>
      <c r="CT55" s="13">
        <f>IF('Données projet'!$A$140&gt;35,CT54+CS55-DB54,IF(A55&lt;'Données projet'!$A$140,$CQ$205^A55,IF(A55='Données projet'!$A$140,'Données projet'!$B$140,CT54+CS55-DB54)))</f>
        <v>328</v>
      </c>
      <c r="CU55" s="18">
        <f>CT55*VLOOKUP('Données projet'!$B$13,Paramètres!$A$1:$I$89,3,0)*VLOOKUP('Données projet'!$B$13,Paramètres!$A$1:$I$89,5,0)</f>
        <v>196.14400000000001</v>
      </c>
      <c r="CV55" s="14">
        <f t="shared" si="41"/>
        <v>48.895777841838495</v>
      </c>
      <c r="CW55" s="22">
        <f t="shared" si="13"/>
        <v>426.77761307453534</v>
      </c>
      <c r="CX55" s="62">
        <f t="shared" si="14"/>
        <v>720.1109464078686</v>
      </c>
      <c r="CY55" s="62">
        <f ca="1">AVERAGE(OFFSET($CX$3,0,0,'Données projet'!$E$13+1,1))-AVERAGE(OFFSET($H$3,0,0,'Données projet'!$E$13+1,1))</f>
        <v>338.72479490324491</v>
      </c>
      <c r="CZ55" s="62">
        <f t="shared" si="42"/>
        <v>248.47107558211923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202</v>
      </c>
      <c r="O56" s="14">
        <f>N56*VLOOKUP('Données projet'!$B$9,Paramètres!$A$1:$I$89,3,0)*VLOOKUP('Données projet'!$B$9,Paramètres!$A$1:$I$89,5,0)</f>
        <v>182.7696</v>
      </c>
      <c r="P56" s="14">
        <f t="shared" si="33"/>
        <v>45.937822477650357</v>
      </c>
      <c r="Q56" s="22">
        <f t="shared" si="53"/>
        <v>398.33209414857441</v>
      </c>
      <c r="R56" s="62">
        <f t="shared" si="0"/>
        <v>691.66542748190773</v>
      </c>
      <c r="S56" s="62">
        <f ca="1">AVERAGE(OFFSET($R$3,0,0,'Données projet'!$E$9+1,1))-AVERAGE(OFFSET($H$3,0,0,'Données projet'!$E$9+1,1))</f>
        <v>430.11660085503223</v>
      </c>
      <c r="T56" s="62">
        <f t="shared" si="34"/>
        <v>231.36959598460686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202</v>
      </c>
      <c r="AJ56" s="14">
        <f>AI56*VLOOKUP('Données projet'!$B$10,Paramètres!$A$1:$I$89,3,0)*VLOOKUP('Données projet'!$B$10,Paramètres!$A$1:$I$89,5,0)</f>
        <v>195.37440000000001</v>
      </c>
      <c r="AK56" s="14">
        <f t="shared" si="35"/>
        <v>48.726220575731652</v>
      </c>
      <c r="AL56" s="22">
        <f t="shared" si="4"/>
        <v>425.14191416939929</v>
      </c>
      <c r="AM56" s="62">
        <f t="shared" si="5"/>
        <v>718.4752475027326</v>
      </c>
      <c r="AN56" s="62">
        <f ca="1">AVERAGE(OFFSET($AM$3,0,0,'Données projet'!$E$10+1,1))-AVERAGE(OFFSET($H$3,0,0,'Données projet'!$E$10+1,1))</f>
        <v>456.86147223520601</v>
      </c>
      <c r="AO56" s="62">
        <f t="shared" si="36"/>
        <v>244.45149244446094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-1.1368683772161603E-13</v>
      </c>
      <c r="BE56" s="14">
        <f>BD56*VLOOKUP('Données projet'!$B$11,Paramètres!$A$1:$I$89,3,0)*VLOOKUP('Données projet'!$B$11,Paramètres!$A$1:$I$89,5,0)</f>
        <v>-6.7984728957526396E-14</v>
      </c>
      <c r="BF56" s="14" t="e">
        <f t="shared" si="37"/>
        <v>#NUM!</v>
      </c>
      <c r="BG56" s="22" t="e">
        <f t="shared" si="7"/>
        <v>#NUM!</v>
      </c>
      <c r="BH56" s="62" t="e">
        <f t="shared" si="8"/>
        <v>#NUM!</v>
      </c>
      <c r="BI56" s="62">
        <f ca="1">AVERAGE(OFFSET($BH$3,0,0,'Données projet'!$E$11+1,1))-AVERAGE(OFFSET($H$3,0,0,'Données projet'!$E$11+1,1))</f>
        <v>215.43756133069593</v>
      </c>
      <c r="BJ56" s="62">
        <f t="shared" si="38"/>
        <v>363.02009369315243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70.121571478028599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2.1727125882849112</v>
      </c>
      <c r="BS56" s="24">
        <f t="shared" si="9"/>
        <v>72.294284066313509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22.2</v>
      </c>
      <c r="BY56" s="13">
        <f>IF('Données projet'!$A$114&gt;35,BY55+BX56-CG55,IF(A56&lt;'Données projet'!$A$114,$BV$205^A56,IF(A56='Données projet'!$A$114,'Données projet'!$B$114,BY55+BX56-CG55)))</f>
        <v>662.39999999999986</v>
      </c>
      <c r="BZ56" s="14">
        <f>BY56*VLOOKUP('Données projet'!$B$12,Paramètres!$A$1:$I$89,3,0)*VLOOKUP('Données projet'!$B$12,Paramètres!$A$1:$I$89,5,0)</f>
        <v>292.7808</v>
      </c>
      <c r="CA56" s="14">
        <f t="shared" si="39"/>
        <v>69.660903052386217</v>
      </c>
      <c r="CB56" s="22">
        <f t="shared" si="10"/>
        <v>631.25263281623927</v>
      </c>
      <c r="CC56" s="62">
        <f t="shared" si="11"/>
        <v>924.58596614957264</v>
      </c>
      <c r="CD56" s="62">
        <f ca="1">AVERAGE(OFFSET($CC$3,0,0,'Données projet'!$E$12+1,1))-AVERAGE(OFFSET($H$3,0,0,'Données projet'!$E$12+1,1))</f>
        <v>461.75392711528474</v>
      </c>
      <c r="CE56" s="62">
        <f t="shared" si="40"/>
        <v>441.67157957428236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14.5</v>
      </c>
      <c r="CT56" s="13">
        <f>IF('Données projet'!$A$140&gt;35,CT55+CS56-DB55,IF(A56&lt;'Données projet'!$A$140,$CQ$205^A56,IF(A56='Données projet'!$A$140,'Données projet'!$B$140,CT55+CS56-DB55)))</f>
        <v>342.5</v>
      </c>
      <c r="CU56" s="18">
        <f>CT56*VLOOKUP('Données projet'!$B$13,Paramètres!$A$1:$I$89,3,0)*VLOOKUP('Données projet'!$B$13,Paramètres!$A$1:$I$89,5,0)</f>
        <v>204.81500000000003</v>
      </c>
      <c r="CV56" s="14">
        <f t="shared" si="41"/>
        <v>50.800889406233551</v>
      </c>
      <c r="CW56" s="22">
        <f t="shared" si="13"/>
        <v>445.19767404919008</v>
      </c>
      <c r="CX56" s="62">
        <f t="shared" si="14"/>
        <v>738.5310073825234</v>
      </c>
      <c r="CY56" s="62">
        <f ca="1">AVERAGE(OFFSET($CX$3,0,0,'Données projet'!$E$13+1,1))-AVERAGE(OFFSET($H$3,0,0,'Données projet'!$E$13+1,1))</f>
        <v>338.72479490324491</v>
      </c>
      <c r="CZ56" s="62">
        <f t="shared" si="42"/>
        <v>248.47107558211923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210</v>
      </c>
      <c r="O57" s="14">
        <f>N57*VLOOKUP('Données projet'!$B$9,Paramètres!$A$1:$I$89,3,0)*VLOOKUP('Données projet'!$B$9,Paramètres!$A$1:$I$89,5,0)</f>
        <v>190.00800000000001</v>
      </c>
      <c r="P57" s="14">
        <f t="shared" si="33"/>
        <v>47.541721533308163</v>
      </c>
      <c r="Q57" s="22">
        <f t="shared" si="53"/>
        <v>413.73243167051174</v>
      </c>
      <c r="R57" s="62">
        <f t="shared" si="0"/>
        <v>707.06576500384506</v>
      </c>
      <c r="S57" s="62">
        <f ca="1">AVERAGE(OFFSET($R$3,0,0,'Données projet'!$E$9+1,1))-AVERAGE(OFFSET($H$3,0,0,'Données projet'!$E$9+1,1))</f>
        <v>430.11660085503223</v>
      </c>
      <c r="T57" s="62">
        <f t="shared" si="34"/>
        <v>231.36959598460686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210</v>
      </c>
      <c r="AJ57" s="14">
        <f>AI57*VLOOKUP('Données projet'!$B$10,Paramètres!$A$1:$I$89,3,0)*VLOOKUP('Données projet'!$B$10,Paramètres!$A$1:$I$89,5,0)</f>
        <v>203.11199999999999</v>
      </c>
      <c r="AK57" s="14">
        <f t="shared" si="35"/>
        <v>50.427475336015782</v>
      </c>
      <c r="AL57" s="22">
        <f t="shared" si="4"/>
        <v>441.5812528768941</v>
      </c>
      <c r="AM57" s="62">
        <f t="shared" si="5"/>
        <v>734.91458621022741</v>
      </c>
      <c r="AN57" s="62">
        <f ca="1">AVERAGE(OFFSET($AM$3,0,0,'Données projet'!$E$10+1,1))-AVERAGE(OFFSET($H$3,0,0,'Données projet'!$E$10+1,1))</f>
        <v>456.86147223520601</v>
      </c>
      <c r="AO57" s="62">
        <f t="shared" si="36"/>
        <v>244.45149244446094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-1.1368683772161603E-13</v>
      </c>
      <c r="BE57" s="14">
        <f>BD57*VLOOKUP('Données projet'!$B$11,Paramètres!$A$1:$I$89,3,0)*VLOOKUP('Données projet'!$B$11,Paramètres!$A$1:$I$89,5,0)</f>
        <v>-6.7984728957526396E-14</v>
      </c>
      <c r="BF57" s="14" t="e">
        <f t="shared" si="37"/>
        <v>#NUM!</v>
      </c>
      <c r="BG57" s="22" t="e">
        <f t="shared" si="7"/>
        <v>#NUM!</v>
      </c>
      <c r="BH57" s="62" t="e">
        <f t="shared" si="8"/>
        <v>#NUM!</v>
      </c>
      <c r="BI57" s="62">
        <f ca="1">AVERAGE(OFFSET($BH$3,0,0,'Données projet'!$E$11+1,1))-AVERAGE(OFFSET($H$3,0,0,'Données projet'!$E$11+1,1))</f>
        <v>215.43756133069593</v>
      </c>
      <c r="BJ57" s="62">
        <f t="shared" si="38"/>
        <v>363.02009369315243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68.746530231279877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1.536339804745636</v>
      </c>
      <c r="BS57" s="24">
        <f t="shared" si="9"/>
        <v>70.282870036025514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22.2</v>
      </c>
      <c r="BY57" s="13">
        <f>IF('Données projet'!$A$114&gt;35,BY56+BX57-CG56,IF(A57&lt;'Données projet'!$A$114,$BV$205^A57,IF(A57='Données projet'!$A$114,'Données projet'!$B$114,BY56+BX57-CG56)))</f>
        <v>684.59999999999991</v>
      </c>
      <c r="BZ57" s="14">
        <f>BY57*VLOOKUP('Données projet'!$B$12,Paramètres!$A$1:$I$89,3,0)*VLOOKUP('Données projet'!$B$12,Paramètres!$A$1:$I$89,5,0)</f>
        <v>302.59319999999997</v>
      </c>
      <c r="CA57" s="14">
        <f t="shared" si="39"/>
        <v>71.719825185352832</v>
      </c>
      <c r="CB57" s="22">
        <f t="shared" si="10"/>
        <v>651.92851886448943</v>
      </c>
      <c r="CC57" s="62">
        <f t="shared" si="11"/>
        <v>945.26185219782269</v>
      </c>
      <c r="CD57" s="62">
        <f ca="1">AVERAGE(OFFSET($CC$3,0,0,'Données projet'!$E$12+1,1))-AVERAGE(OFFSET($H$3,0,0,'Données projet'!$E$12+1,1))</f>
        <v>461.75392711528474</v>
      </c>
      <c r="CE57" s="62">
        <f t="shared" si="40"/>
        <v>441.67157957428236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14.5</v>
      </c>
      <c r="CT57" s="13">
        <f>IF('Données projet'!$A$140&gt;35,CT56+CS57-DB56,IF(A57&lt;'Données projet'!$A$140,$CQ$205^A57,IF(A57='Données projet'!$A$140,'Données projet'!$B$140,CT56+CS57-DB56)))</f>
        <v>357</v>
      </c>
      <c r="CU57" s="18">
        <f>CT57*VLOOKUP('Données projet'!$B$13,Paramètres!$A$1:$I$89,3,0)*VLOOKUP('Données projet'!$B$13,Paramètres!$A$1:$I$89,5,0)</f>
        <v>213.48600000000002</v>
      </c>
      <c r="CV57" s="14">
        <f t="shared" si="41"/>
        <v>52.696632942005166</v>
      </c>
      <c r="CW57" s="22">
        <f t="shared" si="13"/>
        <v>463.60141904065904</v>
      </c>
      <c r="CX57" s="62">
        <f t="shared" si="14"/>
        <v>756.9347523739923</v>
      </c>
      <c r="CY57" s="62">
        <f ca="1">AVERAGE(OFFSET($CX$3,0,0,'Données projet'!$E$13+1,1))-AVERAGE(OFFSET($H$3,0,0,'Données projet'!$E$13+1,1))</f>
        <v>338.72479490324491</v>
      </c>
      <c r="CZ57" s="62">
        <f t="shared" si="42"/>
        <v>248.47107558211923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218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218</v>
      </c>
      <c r="O58" s="14">
        <f>N58*VLOOKUP('Données projet'!$B$9,Paramètres!$A$1:$I$89,3,0)*VLOOKUP('Données projet'!$B$9,Paramètres!$A$1:$I$89,5,0)</f>
        <v>197.24639999999999</v>
      </c>
      <c r="P58" s="14">
        <f t="shared" si="33"/>
        <v>49.138522374247202</v>
      </c>
      <c r="Q58" s="22">
        <f t="shared" si="53"/>
        <v>429.12040646848055</v>
      </c>
      <c r="R58" s="62">
        <f t="shared" si="0"/>
        <v>722.45373980181387</v>
      </c>
      <c r="S58" s="62">
        <f ca="1">AVERAGE(OFFSET($R$3,0,0,'Données projet'!$E$9+1,1))-AVERAGE(OFFSET($H$3,0,0,'Données projet'!$E$9+1,1))</f>
        <v>430.11660085503223</v>
      </c>
      <c r="T58" s="62">
        <f t="shared" si="34"/>
        <v>231.36959598460686</v>
      </c>
      <c r="U58" s="16">
        <f>IF(ISNA(VLOOKUP(A58,'Données projet'!$A$35:$I$55,3,0)),0,VLOOKUP(A58,'Données projet'!$A$35:$I$55,3,0))</f>
        <v>4</v>
      </c>
      <c r="V58" s="16">
        <f>IF(ISNA(VLOOKUP(A58,'Données projet'!$A$35:$I$55,4,0)),0,VLOOKUP(A58,'Données projet'!$A$35:$I$55,4,0))</f>
        <v>42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218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218</v>
      </c>
      <c r="AJ58" s="14">
        <f>AI58*VLOOKUP('Données projet'!$B$10,Paramètres!$A$1:$I$89,3,0)*VLOOKUP('Données projet'!$B$10,Paramètres!$A$1:$I$89,5,0)</f>
        <v>210.84960000000001</v>
      </c>
      <c r="AK58" s="14">
        <f t="shared" si="35"/>
        <v>52.121201024231922</v>
      </c>
      <c r="AL58" s="22">
        <f t="shared" si="4"/>
        <v>458.00747845053729</v>
      </c>
      <c r="AM58" s="62">
        <f t="shared" si="5"/>
        <v>751.34081178387055</v>
      </c>
      <c r="AN58" s="62">
        <f ca="1">AVERAGE(OFFSET($AM$3,0,0,'Données projet'!$E$10+1,1))-AVERAGE(OFFSET($H$3,0,0,'Données projet'!$E$10+1,1))</f>
        <v>456.86147223520601</v>
      </c>
      <c r="AO58" s="62">
        <f t="shared" si="36"/>
        <v>244.45149244446094</v>
      </c>
      <c r="AP58" s="16">
        <f>IF(ISNA(VLOOKUP(A58,'Données projet'!$A$61:$I$81,3,0)),0,VLOOKUP(A58,'Données projet'!$A$61:$I$81,3,0))</f>
        <v>4</v>
      </c>
      <c r="AQ58" s="16">
        <f>IF(ISNA(VLOOKUP(A58,'Données projet'!$A$61:$I$81,4,0)),0,VLOOKUP(A58,'Données projet'!$A$61:$I$81,4,0))</f>
        <v>42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-1.1368683772161603E-13</v>
      </c>
      <c r="BE58" s="14">
        <f>BD58*VLOOKUP('Données projet'!$B$11,Paramètres!$A$1:$I$89,3,0)*VLOOKUP('Données projet'!$B$11,Paramètres!$A$1:$I$89,5,0)</f>
        <v>-6.7984728957526396E-14</v>
      </c>
      <c r="BF58" s="14" t="e">
        <f t="shared" si="37"/>
        <v>#NUM!</v>
      </c>
      <c r="BG58" s="22" t="e">
        <f t="shared" si="7"/>
        <v>#NUM!</v>
      </c>
      <c r="BH58" s="62" t="e">
        <f t="shared" si="8"/>
        <v>#NUM!</v>
      </c>
      <c r="BI58" s="62">
        <f ca="1">AVERAGE(OFFSET($BH$3,0,0,'Données projet'!$E$11+1,1))-AVERAGE(OFFSET($H$3,0,0,'Données projet'!$E$11+1,1))</f>
        <v>215.43756133069593</v>
      </c>
      <c r="BJ58" s="62">
        <f t="shared" si="38"/>
        <v>363.02009369315243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67.398452704687557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1.0863562941424556</v>
      </c>
      <c r="BS58" s="24">
        <f t="shared" si="9"/>
        <v>68.484808998830019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22.2</v>
      </c>
      <c r="BY58" s="13">
        <f>IF('Données projet'!$A$114&gt;35,BY57+BX58-CG57,IF(A58&lt;'Données projet'!$A$114,$BV$205^A58,IF(A58='Données projet'!$A$114,'Données projet'!$B$114,BY57+BX58-CG57)))</f>
        <v>706.8</v>
      </c>
      <c r="BZ58" s="14">
        <f>BY58*VLOOKUP('Données projet'!$B$12,Paramètres!$A$1:$I$89,3,0)*VLOOKUP('Données projet'!$B$12,Paramètres!$A$1:$I$89,5,0)</f>
        <v>312.40560000000005</v>
      </c>
      <c r="CA58" s="14">
        <f t="shared" si="39"/>
        <v>73.77098895667821</v>
      </c>
      <c r="CB58" s="22">
        <f t="shared" si="10"/>
        <v>672.59089243288122</v>
      </c>
      <c r="CC58" s="62">
        <f t="shared" si="11"/>
        <v>965.92422576621448</v>
      </c>
      <c r="CD58" s="62">
        <f ca="1">AVERAGE(OFFSET($CC$3,0,0,'Données projet'!$E$12+1,1))-AVERAGE(OFFSET($H$3,0,0,'Données projet'!$E$12+1,1))</f>
        <v>461.75392711528474</v>
      </c>
      <c r="CE58" s="62">
        <f t="shared" si="40"/>
        <v>441.67157957428236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14.5</v>
      </c>
      <c r="CT58" s="13">
        <f>IF('Données projet'!$A$140&gt;35,CT57+CS58-DB57,IF(A58&lt;'Données projet'!$A$140,$CQ$205^A58,IF(A58='Données projet'!$A$140,'Données projet'!$B$140,CT57+CS58-DB57)))</f>
        <v>371.5</v>
      </c>
      <c r="CU58" s="18">
        <f>CT58*VLOOKUP('Données projet'!$B$13,Paramètres!$A$1:$I$89,3,0)*VLOOKUP('Données projet'!$B$13,Paramètres!$A$1:$I$89,5,0)</f>
        <v>222.15700000000004</v>
      </c>
      <c r="CV58" s="14">
        <f t="shared" si="41"/>
        <v>54.583432467932887</v>
      </c>
      <c r="CW58" s="22">
        <f t="shared" si="13"/>
        <v>481.98958654831648</v>
      </c>
      <c r="CX58" s="62">
        <f t="shared" si="14"/>
        <v>775.3229198816498</v>
      </c>
      <c r="CY58" s="62">
        <f ca="1">AVERAGE(OFFSET($CX$3,0,0,'Données projet'!$E$13+1,1))-AVERAGE(OFFSET($H$3,0,0,'Données projet'!$E$13+1,1))</f>
        <v>338.72479490324491</v>
      </c>
      <c r="CZ58" s="62">
        <f t="shared" si="42"/>
        <v>248.47107558211923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183.6</v>
      </c>
      <c r="O59" s="14">
        <f>N59*VLOOKUP('Données projet'!$B$9,Paramètres!$A$1:$I$89,3,0)*VLOOKUP('Données projet'!$B$9,Paramètres!$A$1:$I$89,5,0)</f>
        <v>166.12127999999998</v>
      </c>
      <c r="P59" s="14">
        <f t="shared" si="33"/>
        <v>42.220155874487318</v>
      </c>
      <c r="Q59" s="22">
        <f t="shared" si="53"/>
        <v>362.8613341480654</v>
      </c>
      <c r="R59" s="62">
        <f t="shared" si="0"/>
        <v>656.19466748139871</v>
      </c>
      <c r="S59" s="62">
        <f ca="1">AVERAGE(OFFSET($R$3,0,0,'Données projet'!$E$9+1,1))-AVERAGE(OFFSET($H$3,0,0,'Données projet'!$E$9+1,1))</f>
        <v>430.11660085503223</v>
      </c>
      <c r="T59" s="62">
        <f t="shared" si="34"/>
        <v>231.36959598460686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183.6</v>
      </c>
      <c r="AJ59" s="14">
        <f>AI59*VLOOKUP('Données projet'!$B$10,Paramètres!$A$1:$I$89,3,0)*VLOOKUP('Données projet'!$B$10,Paramètres!$A$1:$I$89,5,0)</f>
        <v>177.57792000000001</v>
      </c>
      <c r="AK59" s="14">
        <f t="shared" si="35"/>
        <v>44.782893853597976</v>
      </c>
      <c r="AL59" s="22">
        <f t="shared" si="4"/>
        <v>387.27841746168315</v>
      </c>
      <c r="AM59" s="62">
        <f t="shared" si="5"/>
        <v>680.61175079501641</v>
      </c>
      <c r="AN59" s="62">
        <f ca="1">AVERAGE(OFFSET($AM$3,0,0,'Données projet'!$E$10+1,1))-AVERAGE(OFFSET($H$3,0,0,'Données projet'!$E$10+1,1))</f>
        <v>456.86147223520601</v>
      </c>
      <c r="AO59" s="62">
        <f t="shared" si="36"/>
        <v>244.45149244446094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-1.1368683772161603E-13</v>
      </c>
      <c r="BE59" s="14">
        <f>BD59*VLOOKUP('Données projet'!$B$11,Paramètres!$A$1:$I$89,3,0)*VLOOKUP('Données projet'!$B$11,Paramètres!$A$1:$I$89,5,0)</f>
        <v>-6.7984728957526396E-14</v>
      </c>
      <c r="BF59" s="14" t="e">
        <f t="shared" si="37"/>
        <v>#NUM!</v>
      </c>
      <c r="BG59" s="22" t="e">
        <f t="shared" si="7"/>
        <v>#NUM!</v>
      </c>
      <c r="BH59" s="62" t="e">
        <f t="shared" si="8"/>
        <v>#NUM!</v>
      </c>
      <c r="BI59" s="62">
        <f ca="1">AVERAGE(OFFSET($BH$3,0,0,'Données projet'!$E$11+1,1))-AVERAGE(OFFSET($H$3,0,0,'Données projet'!$E$11+1,1))</f>
        <v>215.43756133069593</v>
      </c>
      <c r="BJ59" s="62">
        <f t="shared" si="38"/>
        <v>363.02009369315243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66.076810156145612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0.76816990237281801</v>
      </c>
      <c r="BS59" s="24">
        <f t="shared" si="9"/>
        <v>66.844980058518431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>
        <f>VLOOKUP(A59,'Données projet'!$A$113:$I$133,2,0)</f>
        <v>729</v>
      </c>
      <c r="BW59" s="13">
        <f>VLOOKUP(A59,'Données projet'!$A$113:$I$133,9,0)</f>
        <v>22.2</v>
      </c>
      <c r="BX59" s="13">
        <f t="array" ref="BX59">INDEX(BW:BW,MIN(IF(ISNUMBER(BW59:BW255),ROW(BW59:BW255),"")))</f>
        <v>22.2</v>
      </c>
      <c r="BY59" s="13">
        <f>IF('Données projet'!$A$114&gt;35,BY58+BX59-CG58,IF(A59&lt;'Données projet'!$A$114,$BV$205^A59,IF(A59='Données projet'!$A$114,'Données projet'!$B$114,BY58+BX59-CG58)))</f>
        <v>729</v>
      </c>
      <c r="BZ59" s="14">
        <f>BY59*VLOOKUP('Données projet'!$B$12,Paramètres!$A$1:$I$89,3,0)*VLOOKUP('Données projet'!$B$12,Paramètres!$A$1:$I$89,5,0)</f>
        <v>322.21800000000002</v>
      </c>
      <c r="CA59" s="14">
        <f t="shared" si="39"/>
        <v>75.814666008760426</v>
      </c>
      <c r="CB59" s="22">
        <f t="shared" si="10"/>
        <v>693.24022663192443</v>
      </c>
      <c r="CC59" s="62">
        <f t="shared" si="11"/>
        <v>986.5735599652578</v>
      </c>
      <c r="CD59" s="62">
        <f ca="1">AVERAGE(OFFSET($CC$3,0,0,'Données projet'!$E$12+1,1))-AVERAGE(OFFSET($H$3,0,0,'Données projet'!$E$12+1,1))</f>
        <v>461.75392711528474</v>
      </c>
      <c r="CE59" s="62">
        <f t="shared" si="40"/>
        <v>441.67157957428236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14.5</v>
      </c>
      <c r="CT59" s="13">
        <f>IF('Données projet'!$A$140&gt;35,CT58+CS59-DB58,IF(A59&lt;'Données projet'!$A$140,$CQ$205^A59,IF(A59='Données projet'!$A$140,'Données projet'!$B$140,CT58+CS59-DB58)))</f>
        <v>386</v>
      </c>
      <c r="CU59" s="18">
        <f>CT59*VLOOKUP('Données projet'!$B$13,Paramètres!$A$1:$I$89,3,0)*VLOOKUP('Données projet'!$B$13,Paramètres!$A$1:$I$89,5,0)</f>
        <v>230.828</v>
      </c>
      <c r="CV59" s="14">
        <f t="shared" si="41"/>
        <v>56.461677028956025</v>
      </c>
      <c r="CW59" s="22">
        <f t="shared" si="13"/>
        <v>500.36285415876506</v>
      </c>
      <c r="CX59" s="62">
        <f t="shared" si="14"/>
        <v>793.69618749209837</v>
      </c>
      <c r="CY59" s="62">
        <f ca="1">AVERAGE(OFFSET($CX$3,0,0,'Données projet'!$E$13+1,1))-AVERAGE(OFFSET($H$3,0,0,'Données projet'!$E$13+1,1))</f>
        <v>338.72479490324491</v>
      </c>
      <c r="CZ59" s="62">
        <f t="shared" si="42"/>
        <v>248.47107558211923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191.2</v>
      </c>
      <c r="O60" s="14">
        <f>N60*VLOOKUP('Données projet'!$B$9,Paramètres!$A$1:$I$89,3,0)*VLOOKUP('Données projet'!$B$9,Paramètres!$A$1:$I$89,5,0)</f>
        <v>172.99775999999997</v>
      </c>
      <c r="P60" s="14">
        <f t="shared" si="33"/>
        <v>43.760737531919609</v>
      </c>
      <c r="Q60" s="22">
        <f t="shared" si="53"/>
        <v>377.52104986809326</v>
      </c>
      <c r="R60" s="62">
        <f t="shared" si="0"/>
        <v>670.85438320142657</v>
      </c>
      <c r="S60" s="62">
        <f ca="1">AVERAGE(OFFSET($R$3,0,0,'Données projet'!$E$9+1,1))-AVERAGE(OFFSET($H$3,0,0,'Données projet'!$E$9+1,1))</f>
        <v>430.11660085503223</v>
      </c>
      <c r="T60" s="62">
        <f t="shared" si="34"/>
        <v>231.36959598460686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191.2</v>
      </c>
      <c r="AJ60" s="14">
        <f>AI60*VLOOKUP('Données projet'!$B$10,Paramètres!$A$1:$I$89,3,0)*VLOOKUP('Données projet'!$B$10,Paramètres!$A$1:$I$89,5,0)</f>
        <v>184.92864</v>
      </c>
      <c r="AK60" s="14">
        <f t="shared" si="35"/>
        <v>46.416987887800225</v>
      </c>
      <c r="AL60" s="22">
        <f t="shared" si="4"/>
        <v>402.92696857125202</v>
      </c>
      <c r="AM60" s="62">
        <f t="shared" si="5"/>
        <v>696.26030190458528</v>
      </c>
      <c r="AN60" s="62">
        <f ca="1">AVERAGE(OFFSET($AM$3,0,0,'Données projet'!$E$10+1,1))-AVERAGE(OFFSET($H$3,0,0,'Données projet'!$E$10+1,1))</f>
        <v>456.86147223520601</v>
      </c>
      <c r="AO60" s="62">
        <f t="shared" si="36"/>
        <v>244.45149244446094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-1.1368683772161603E-13</v>
      </c>
      <c r="BE60" s="14">
        <f>BD60*VLOOKUP('Données projet'!$B$11,Paramètres!$A$1:$I$89,3,0)*VLOOKUP('Données projet'!$B$11,Paramètres!$A$1:$I$89,5,0)</f>
        <v>-6.7984728957526396E-14</v>
      </c>
      <c r="BF60" s="14" t="e">
        <f t="shared" si="37"/>
        <v>#NUM!</v>
      </c>
      <c r="BG60" s="22" t="e">
        <f t="shared" si="7"/>
        <v>#NUM!</v>
      </c>
      <c r="BH60" s="62" t="e">
        <f t="shared" si="8"/>
        <v>#NUM!</v>
      </c>
      <c r="BI60" s="62">
        <f ca="1">AVERAGE(OFFSET($BH$3,0,0,'Données projet'!$E$11+1,1))-AVERAGE(OFFSET($H$3,0,0,'Données projet'!$E$11+1,1))</f>
        <v>215.43756133069593</v>
      </c>
      <c r="BJ60" s="62">
        <f t="shared" si="38"/>
        <v>363.02009369315243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64.781084211858214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0.5431781470712278</v>
      </c>
      <c r="BS60" s="24">
        <f t="shared" si="9"/>
        <v>65.324262358929445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18.8</v>
      </c>
      <c r="BY60" s="13">
        <f>IF('Données projet'!$A$114&gt;35,BY59+BX60-CG59,IF(A60&lt;'Données projet'!$A$114,$BV$205^A60,IF(A60='Données projet'!$A$114,'Données projet'!$B$114,BY59+BX60-CG59)))</f>
        <v>747.8</v>
      </c>
      <c r="BZ60" s="14">
        <f>BY60*VLOOKUP('Données projet'!$B$12,Paramètres!$A$1:$I$89,3,0)*VLOOKUP('Données projet'!$B$12,Paramètres!$A$1:$I$89,5,0)</f>
        <v>330.52760000000001</v>
      </c>
      <c r="CA60" s="14">
        <f t="shared" si="39"/>
        <v>77.53968194052517</v>
      </c>
      <c r="CB60" s="22">
        <f t="shared" si="10"/>
        <v>710.71718271308134</v>
      </c>
      <c r="CC60" s="62">
        <f t="shared" si="11"/>
        <v>1004.0505160464147</v>
      </c>
      <c r="CD60" s="62">
        <f ca="1">AVERAGE(OFFSET($CC$3,0,0,'Données projet'!$E$12+1,1))-AVERAGE(OFFSET($H$3,0,0,'Données projet'!$E$12+1,1))</f>
        <v>461.75392711528474</v>
      </c>
      <c r="CE60" s="62">
        <f t="shared" si="40"/>
        <v>441.67157957428236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14.5</v>
      </c>
      <c r="CT60" s="13">
        <f>IF('Données projet'!$A$140&gt;35,CT59+CS60-DB59,IF(A60&lt;'Données projet'!$A$140,$CQ$205^A60,IF(A60='Données projet'!$A$140,'Données projet'!$B$140,CT59+CS60-DB59)))</f>
        <v>400.5</v>
      </c>
      <c r="CU60" s="18">
        <f>CT60*VLOOKUP('Données projet'!$B$13,Paramètres!$A$1:$I$89,3,0)*VLOOKUP('Données projet'!$B$13,Paramètres!$A$1:$I$89,5,0)</f>
        <v>239.49900000000002</v>
      </c>
      <c r="CV60" s="14">
        <f t="shared" si="41"/>
        <v>58.331724785471216</v>
      </c>
      <c r="CW60" s="22">
        <f t="shared" si="13"/>
        <v>518.721845668029</v>
      </c>
      <c r="CX60" s="62">
        <f t="shared" si="14"/>
        <v>812.05517900136238</v>
      </c>
      <c r="CY60" s="62">
        <f ca="1">AVERAGE(OFFSET($CX$3,0,0,'Données projet'!$E$13+1,1))-AVERAGE(OFFSET($H$3,0,0,'Données projet'!$E$13+1,1))</f>
        <v>338.72479490324491</v>
      </c>
      <c r="CZ60" s="62">
        <f t="shared" si="42"/>
        <v>248.47107558211923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198.79999999999998</v>
      </c>
      <c r="O61" s="14">
        <f>N61*VLOOKUP('Données projet'!$B$9,Paramètres!$A$1:$I$89,3,0)*VLOOKUP('Données projet'!$B$9,Paramètres!$A$1:$I$89,5,0)</f>
        <v>179.87423999999999</v>
      </c>
      <c r="P61" s="14">
        <f t="shared" si="33"/>
        <v>45.294205745553846</v>
      </c>
      <c r="Q61" s="22">
        <f t="shared" si="53"/>
        <v>392.16837634017293</v>
      </c>
      <c r="R61" s="62">
        <f t="shared" si="0"/>
        <v>685.50170967350618</v>
      </c>
      <c r="S61" s="62">
        <f ca="1">AVERAGE(OFFSET($R$3,0,0,'Données projet'!$E$9+1,1))-AVERAGE(OFFSET($H$3,0,0,'Données projet'!$E$9+1,1))</f>
        <v>430.11660085503223</v>
      </c>
      <c r="T61" s="62">
        <f t="shared" si="34"/>
        <v>231.36959598460686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198.79999999999998</v>
      </c>
      <c r="AJ61" s="14">
        <f>AI61*VLOOKUP('Données projet'!$B$10,Paramètres!$A$1:$I$89,3,0)*VLOOKUP('Données projet'!$B$10,Paramètres!$A$1:$I$89,5,0)</f>
        <v>192.27936</v>
      </c>
      <c r="AK61" s="14">
        <f t="shared" si="35"/>
        <v>48.04353669645932</v>
      </c>
      <c r="AL61" s="22">
        <f t="shared" si="4"/>
        <v>418.56237841299998</v>
      </c>
      <c r="AM61" s="62">
        <f t="shared" si="5"/>
        <v>711.89571174633329</v>
      </c>
      <c r="AN61" s="62">
        <f ca="1">AVERAGE(OFFSET($AM$3,0,0,'Données projet'!$E$10+1,1))-AVERAGE(OFFSET($H$3,0,0,'Données projet'!$E$10+1,1))</f>
        <v>456.86147223520601</v>
      </c>
      <c r="AO61" s="62">
        <f t="shared" si="36"/>
        <v>244.45149244446094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-1.1368683772161603E-13</v>
      </c>
      <c r="BE61" s="14">
        <f>BD61*VLOOKUP('Données projet'!$B$11,Paramètres!$A$1:$I$89,3,0)*VLOOKUP('Données projet'!$B$11,Paramètres!$A$1:$I$89,5,0)</f>
        <v>-6.7984728957526396E-14</v>
      </c>
      <c r="BF61" s="14" t="e">
        <f t="shared" si="37"/>
        <v>#NUM!</v>
      </c>
      <c r="BG61" s="22" t="e">
        <f t="shared" si="7"/>
        <v>#NUM!</v>
      </c>
      <c r="BH61" s="62" t="e">
        <f t="shared" si="8"/>
        <v>#NUM!</v>
      </c>
      <c r="BI61" s="62">
        <f ca="1">AVERAGE(OFFSET($BH$3,0,0,'Données projet'!$E$11+1,1))-AVERAGE(OFFSET($H$3,0,0,'Données projet'!$E$11+1,1))</f>
        <v>215.43756133069593</v>
      </c>
      <c r="BJ61" s="62">
        <f t="shared" si="38"/>
        <v>363.02009369315243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63.510766663023503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0.38408495118640901</v>
      </c>
      <c r="BS61" s="24">
        <f t="shared" si="9"/>
        <v>63.894851614209912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18.8</v>
      </c>
      <c r="BY61" s="13">
        <f>IF('Données projet'!$A$114&gt;35,BY60+BX61-CG60,IF(A61&lt;'Données projet'!$A$114,$BV$205^A61,IF(A61='Données projet'!$A$114,'Données projet'!$B$114,BY60+BX61-CG60)))</f>
        <v>766.59999999999991</v>
      </c>
      <c r="BZ61" s="14">
        <f>BY61*VLOOKUP('Données projet'!$B$12,Paramètres!$A$1:$I$89,3,0)*VLOOKUP('Données projet'!$B$12,Paramètres!$A$1:$I$89,5,0)</f>
        <v>338.8372</v>
      </c>
      <c r="CA61" s="14">
        <f t="shared" si="39"/>
        <v>79.259656700037795</v>
      </c>
      <c r="CB61" s="22">
        <f t="shared" si="10"/>
        <v>728.18535875256578</v>
      </c>
      <c r="CC61" s="62">
        <f t="shared" si="11"/>
        <v>1021.5186920858991</v>
      </c>
      <c r="CD61" s="62">
        <f ca="1">AVERAGE(OFFSET($CC$3,0,0,'Données projet'!$E$12+1,1))-AVERAGE(OFFSET($H$3,0,0,'Données projet'!$E$12+1,1))</f>
        <v>461.75392711528474</v>
      </c>
      <c r="CE61" s="62">
        <f t="shared" si="40"/>
        <v>441.67157957428236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>
        <f>VLOOKUP(A61,'Données projet'!$A$139:$I$159,2,0)</f>
        <v>415</v>
      </c>
      <c r="CR61" s="13">
        <f>VLOOKUP(A61,'Données projet'!$A$139:$I$159,9,0)</f>
        <v>14.5</v>
      </c>
      <c r="CS61" s="13">
        <f t="array" ref="CS61">INDEX(CR:CR,MIN(IF(ISNUMBER(CR61:CR257),ROW(CR61:CR257),"")))</f>
        <v>14.5</v>
      </c>
      <c r="CT61" s="13">
        <f>IF('Données projet'!$A$140&gt;35,CT60+CS61-DB60,IF(A61&lt;'Données projet'!$A$140,$CQ$205^A61,IF(A61='Données projet'!$A$140,'Données projet'!$B$140,CT60+CS61-DB60)))</f>
        <v>415</v>
      </c>
      <c r="CU61" s="18">
        <f>CT61*VLOOKUP('Données projet'!$B$13,Paramètres!$A$1:$I$89,3,0)*VLOOKUP('Données projet'!$B$13,Paramètres!$A$1:$I$89,5,0)</f>
        <v>248.17000000000002</v>
      </c>
      <c r="CV61" s="14">
        <f t="shared" si="41"/>
        <v>60.193906493778854</v>
      </c>
      <c r="CW61" s="22">
        <f t="shared" si="13"/>
        <v>537.06713714333148</v>
      </c>
      <c r="CX61" s="62">
        <f t="shared" si="14"/>
        <v>830.40047047666485</v>
      </c>
      <c r="CY61" s="62">
        <f ca="1">AVERAGE(OFFSET($CX$3,0,0,'Données projet'!$E$13+1,1))-AVERAGE(OFFSET($H$3,0,0,'Données projet'!$E$13+1,1))</f>
        <v>338.72479490324491</v>
      </c>
      <c r="CZ61" s="62">
        <f t="shared" si="42"/>
        <v>248.47107558211923</v>
      </c>
      <c r="DA61" s="16">
        <f>IF(ISNA(VLOOKUP(A61,'Données projet'!$A$139:$I$159,3,0)),0,VLOOKUP(A61,'Données projet'!$A$139:$I$159,3,0))</f>
        <v>4</v>
      </c>
      <c r="DB61" s="16">
        <f>IF(ISNA(VLOOKUP(A61,'Données projet'!$A$139:$I$159,4,0)),0,VLOOKUP(A61,'Données projet'!$A$139:$I$159,4,0))</f>
        <v>131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206.39999999999998</v>
      </c>
      <c r="O62" s="14">
        <f>N62*VLOOKUP('Données projet'!$B$9,Paramètres!$A$1:$I$89,3,0)*VLOOKUP('Données projet'!$B$9,Paramètres!$A$1:$I$89,5,0)</f>
        <v>186.75071999999997</v>
      </c>
      <c r="P62" s="14">
        <f t="shared" si="33"/>
        <v>46.820863587839391</v>
      </c>
      <c r="Q62" s="22">
        <f t="shared" si="53"/>
        <v>406.80384141548689</v>
      </c>
      <c r="R62" s="62">
        <f t="shared" si="0"/>
        <v>700.13717474882014</v>
      </c>
      <c r="S62" s="62">
        <f ca="1">AVERAGE(OFFSET($R$3,0,0,'Données projet'!$E$9+1,1))-AVERAGE(OFFSET($H$3,0,0,'Données projet'!$E$9+1,1))</f>
        <v>430.11660085503223</v>
      </c>
      <c r="T62" s="62">
        <f t="shared" si="34"/>
        <v>231.36959598460686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206.39999999999998</v>
      </c>
      <c r="AJ62" s="14">
        <f>AI62*VLOOKUP('Données projet'!$B$10,Paramètres!$A$1:$I$89,3,0)*VLOOKUP('Données projet'!$B$10,Paramètres!$A$1:$I$89,5,0)</f>
        <v>199.63007999999999</v>
      </c>
      <c r="AK62" s="14">
        <f t="shared" si="35"/>
        <v>49.662861748339331</v>
      </c>
      <c r="AL62" s="22">
        <f t="shared" si="4"/>
        <v>434.18520687835763</v>
      </c>
      <c r="AM62" s="62">
        <f t="shared" si="5"/>
        <v>727.51854021169095</v>
      </c>
      <c r="AN62" s="62">
        <f ca="1">AVERAGE(OFFSET($AM$3,0,0,'Données projet'!$E$10+1,1))-AVERAGE(OFFSET($H$3,0,0,'Données projet'!$E$10+1,1))</f>
        <v>456.86147223520601</v>
      </c>
      <c r="AO62" s="62">
        <f t="shared" si="36"/>
        <v>244.45149244446094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-1.1368683772161603E-13</v>
      </c>
      <c r="BE62" s="14">
        <f>BD62*VLOOKUP('Données projet'!$B$11,Paramètres!$A$1:$I$89,3,0)*VLOOKUP('Données projet'!$B$11,Paramètres!$A$1:$I$89,5,0)</f>
        <v>-6.7984728957526396E-14</v>
      </c>
      <c r="BF62" s="14" t="e">
        <f t="shared" si="37"/>
        <v>#NUM!</v>
      </c>
      <c r="BG62" s="22" t="e">
        <f t="shared" si="7"/>
        <v>#NUM!</v>
      </c>
      <c r="BH62" s="62" t="e">
        <f t="shared" si="8"/>
        <v>#NUM!</v>
      </c>
      <c r="BI62" s="62">
        <f ca="1">AVERAGE(OFFSET($BH$3,0,0,'Données projet'!$E$11+1,1))-AVERAGE(OFFSET($H$3,0,0,'Données projet'!$E$11+1,1))</f>
        <v>215.43756133069593</v>
      </c>
      <c r="BJ62" s="62">
        <f t="shared" si="38"/>
        <v>363.02009369315243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62.265359266504241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0.2715890735356139</v>
      </c>
      <c r="BS62" s="24">
        <f t="shared" si="9"/>
        <v>62.536948340039856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18.8</v>
      </c>
      <c r="BY62" s="13">
        <f>IF('Données projet'!$A$114&gt;35,BY61+BX62-CG61,IF(A62&lt;'Données projet'!$A$114,$BV$205^A62,IF(A62='Données projet'!$A$114,'Données projet'!$B$114,BY61+BX62-CG61)))</f>
        <v>785.39999999999986</v>
      </c>
      <c r="BZ62" s="14">
        <f>BY62*VLOOKUP('Données projet'!$B$12,Paramètres!$A$1:$I$89,3,0)*VLOOKUP('Données projet'!$B$12,Paramètres!$A$1:$I$89,5,0)</f>
        <v>347.14679999999993</v>
      </c>
      <c r="CA62" s="14">
        <f t="shared" si="39"/>
        <v>80.974728137922909</v>
      </c>
      <c r="CB62" s="22">
        <f t="shared" si="10"/>
        <v>745.64499484021553</v>
      </c>
      <c r="CC62" s="62">
        <f t="shared" si="11"/>
        <v>1038.9783281735488</v>
      </c>
      <c r="CD62" s="62">
        <f ca="1">AVERAGE(OFFSET($CC$3,0,0,'Données projet'!$E$12+1,1))-AVERAGE(OFFSET($H$3,0,0,'Données projet'!$E$12+1,1))</f>
        <v>461.75392711528474</v>
      </c>
      <c r="CE62" s="62">
        <f t="shared" si="40"/>
        <v>441.67157957428236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18.25</v>
      </c>
      <c r="CT62" s="13">
        <f>IF('Données projet'!$A$140&gt;35,CT61+CS62-DB61,IF(A62&lt;'Données projet'!$A$140,$CQ$205^A62,IF(A62='Données projet'!$A$140,'Données projet'!$B$140,CT61+CS62-DB61)))</f>
        <v>302.25</v>
      </c>
      <c r="CU62" s="18">
        <f>CT62*VLOOKUP('Données projet'!$B$13,Paramètres!$A$1:$I$89,3,0)*VLOOKUP('Données projet'!$B$13,Paramètres!$A$1:$I$89,5,0)</f>
        <v>180.74549999999999</v>
      </c>
      <c r="CV62" s="14">
        <f t="shared" si="41"/>
        <v>45.488006263298338</v>
      </c>
      <c r="CW62" s="22">
        <f t="shared" si="13"/>
        <v>394.02335674191119</v>
      </c>
      <c r="CX62" s="62">
        <f t="shared" si="14"/>
        <v>687.3566900752445</v>
      </c>
      <c r="CY62" s="62">
        <f ca="1">AVERAGE(OFFSET($CX$3,0,0,'Données projet'!$E$13+1,1))-AVERAGE(OFFSET($H$3,0,0,'Données projet'!$E$13+1,1))</f>
        <v>338.72479490324491</v>
      </c>
      <c r="CZ62" s="62">
        <f t="shared" si="42"/>
        <v>248.47107558211923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213.99999999999997</v>
      </c>
      <c r="O63" s="14">
        <f>N63*VLOOKUP('Données projet'!$B$9,Paramètres!$A$1:$I$89,3,0)*VLOOKUP('Données projet'!$B$9,Paramètres!$A$1:$I$89,5,0)</f>
        <v>193.62719999999996</v>
      </c>
      <c r="P63" s="14">
        <f t="shared" si="33"/>
        <v>48.340990547231193</v>
      </c>
      <c r="Q63" s="22">
        <f t="shared" si="53"/>
        <v>421.42793186976087</v>
      </c>
      <c r="R63" s="62">
        <f t="shared" si="0"/>
        <v>714.76126520309413</v>
      </c>
      <c r="S63" s="62">
        <f ca="1">AVERAGE(OFFSET($R$3,0,0,'Données projet'!$E$9+1,1))-AVERAGE(OFFSET($H$3,0,0,'Données projet'!$E$9+1,1))</f>
        <v>430.11660085503223</v>
      </c>
      <c r="T63" s="62">
        <f t="shared" si="34"/>
        <v>231.36959598460686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213.99999999999997</v>
      </c>
      <c r="AJ63" s="14">
        <f>AI63*VLOOKUP('Données projet'!$B$10,Paramètres!$A$1:$I$89,3,0)*VLOOKUP('Données projet'!$B$10,Paramètres!$A$1:$I$89,5,0)</f>
        <v>206.98079999999996</v>
      </c>
      <c r="AK63" s="14">
        <f t="shared" si="35"/>
        <v>51.275259496675787</v>
      </c>
      <c r="AL63" s="22">
        <f t="shared" si="4"/>
        <v>449.7959702900435</v>
      </c>
      <c r="AM63" s="62">
        <f t="shared" si="5"/>
        <v>743.12930362337681</v>
      </c>
      <c r="AN63" s="62">
        <f ca="1">AVERAGE(OFFSET($AM$3,0,0,'Données projet'!$E$10+1,1))-AVERAGE(OFFSET($H$3,0,0,'Données projet'!$E$10+1,1))</f>
        <v>456.86147223520601</v>
      </c>
      <c r="AO63" s="62">
        <f t="shared" si="36"/>
        <v>244.45149244446094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-1.1368683772161603E-13</v>
      </c>
      <c r="BE63" s="14">
        <f>BD63*VLOOKUP('Données projet'!$B$11,Paramètres!$A$1:$I$89,3,0)*VLOOKUP('Données projet'!$B$11,Paramètres!$A$1:$I$89,5,0)</f>
        <v>-6.7984728957526396E-14</v>
      </c>
      <c r="BF63" s="14" t="e">
        <f t="shared" si="37"/>
        <v>#NUM!</v>
      </c>
      <c r="BG63" s="22" t="e">
        <f t="shared" si="7"/>
        <v>#NUM!</v>
      </c>
      <c r="BH63" s="62" t="e">
        <f t="shared" si="8"/>
        <v>#NUM!</v>
      </c>
      <c r="BI63" s="62">
        <f ca="1">AVERAGE(OFFSET($BH$3,0,0,'Données projet'!$E$11+1,1))-AVERAGE(OFFSET($H$3,0,0,'Données projet'!$E$11+1,1))</f>
        <v>215.43756133069593</v>
      </c>
      <c r="BJ63" s="62">
        <f t="shared" si="38"/>
        <v>363.02009369315243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61.044373549407219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0.1920424755932045</v>
      </c>
      <c r="BS63" s="24">
        <f t="shared" si="9"/>
        <v>61.236416025000423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18.8</v>
      </c>
      <c r="BY63" s="13">
        <f>IF('Données projet'!$A$114&gt;35,BY62+BX63-CG62,IF(A63&lt;'Données projet'!$A$114,$BV$205^A63,IF(A63='Données projet'!$A$114,'Données projet'!$B$114,BY62+BX63-CG62)))</f>
        <v>804.19999999999982</v>
      </c>
      <c r="BZ63" s="14">
        <f>BY63*VLOOKUP('Données projet'!$B$12,Paramètres!$A$1:$I$89,3,0)*VLOOKUP('Données projet'!$B$12,Paramètres!$A$1:$I$89,5,0)</f>
        <v>355.45639999999992</v>
      </c>
      <c r="CA63" s="14">
        <f t="shared" si="39"/>
        <v>82.685027129014003</v>
      </c>
      <c r="CB63" s="22">
        <f t="shared" si="10"/>
        <v>763.09631891636582</v>
      </c>
      <c r="CC63" s="62">
        <f t="shared" si="11"/>
        <v>1056.4296522496991</v>
      </c>
      <c r="CD63" s="62">
        <f ca="1">AVERAGE(OFFSET($CC$3,0,0,'Données projet'!$E$12+1,1))-AVERAGE(OFFSET($H$3,0,0,'Données projet'!$E$12+1,1))</f>
        <v>461.75392711528474</v>
      </c>
      <c r="CE63" s="62">
        <f t="shared" si="40"/>
        <v>441.67157957428236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18.25</v>
      </c>
      <c r="CT63" s="13">
        <f>IF('Données projet'!$A$140&gt;35,CT62+CS63-DB62,IF(A63&lt;'Données projet'!$A$140,$CQ$205^A63,IF(A63='Données projet'!$A$140,'Données projet'!$B$140,CT62+CS63-DB62)))</f>
        <v>320.5</v>
      </c>
      <c r="CU63" s="18">
        <f>CT63*VLOOKUP('Données projet'!$B$13,Paramètres!$A$1:$I$89,3,0)*VLOOKUP('Données projet'!$B$13,Paramètres!$A$1:$I$89,5,0)</f>
        <v>191.65900000000002</v>
      </c>
      <c r="CV63" s="14">
        <f t="shared" si="41"/>
        <v>47.906548409076173</v>
      </c>
      <c r="CW63" s="22">
        <f t="shared" si="13"/>
        <v>417.2433301458077</v>
      </c>
      <c r="CX63" s="62">
        <f t="shared" si="14"/>
        <v>710.57666347914096</v>
      </c>
      <c r="CY63" s="62">
        <f ca="1">AVERAGE(OFFSET($CX$3,0,0,'Données projet'!$E$13+1,1))-AVERAGE(OFFSET($H$3,0,0,'Données projet'!$E$13+1,1))</f>
        <v>338.72479490324491</v>
      </c>
      <c r="CZ63" s="62">
        <f t="shared" si="42"/>
        <v>248.47107558211923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221.19999999999996</v>
      </c>
      <c r="O64" s="14">
        <f>N64*VLOOKUP('Données projet'!$B$9,Paramètres!$A$1:$I$89,3,0)*VLOOKUP('Données projet'!$B$9,Paramètres!$A$1:$I$89,5,0)</f>
        <v>200.14175999999995</v>
      </c>
      <c r="P64" s="14">
        <f t="shared" si="33"/>
        <v>49.775320997880847</v>
      </c>
      <c r="Q64" s="22">
        <f t="shared" si="53"/>
        <v>435.27224940464231</v>
      </c>
      <c r="R64" s="62">
        <f t="shared" si="0"/>
        <v>728.60558273797562</v>
      </c>
      <c r="S64" s="62">
        <f ca="1">AVERAGE(OFFSET($R$3,0,0,'Données projet'!$E$9+1,1))-AVERAGE(OFFSET($H$3,0,0,'Données projet'!$E$9+1,1))</f>
        <v>430.11660085503223</v>
      </c>
      <c r="T64" s="62">
        <f t="shared" si="34"/>
        <v>231.36959598460686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221.19999999999996</v>
      </c>
      <c r="AJ64" s="14">
        <f>AI64*VLOOKUP('Données projet'!$B$10,Paramètres!$A$1:$I$89,3,0)*VLOOKUP('Données projet'!$B$10,Paramètres!$A$1:$I$89,5,0)</f>
        <v>213.94463999999996</v>
      </c>
      <c r="AK64" s="14">
        <f t="shared" si="35"/>
        <v>52.796652939972844</v>
      </c>
      <c r="AL64" s="22">
        <f t="shared" si="4"/>
        <v>464.5744185371193</v>
      </c>
      <c r="AM64" s="62">
        <f t="shared" si="5"/>
        <v>757.90775187045256</v>
      </c>
      <c r="AN64" s="62">
        <f ca="1">AVERAGE(OFFSET($AM$3,0,0,'Données projet'!$E$10+1,1))-AVERAGE(OFFSET($H$3,0,0,'Données projet'!$E$10+1,1))</f>
        <v>456.86147223520601</v>
      </c>
      <c r="AO64" s="62">
        <f t="shared" si="36"/>
        <v>244.45149244446094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-1.1368683772161603E-13</v>
      </c>
      <c r="BE64" s="14">
        <f>BD64*VLOOKUP('Données projet'!$B$11,Paramètres!$A$1:$I$89,3,0)*VLOOKUP('Données projet'!$B$11,Paramètres!$A$1:$I$89,5,0)</f>
        <v>-6.7984728957526396E-14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215.43756133069593</v>
      </c>
      <c r="BJ64" s="62">
        <f t="shared" si="38"/>
        <v>363.02009369315243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59.847330617494713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0.13579453676780695</v>
      </c>
      <c r="BS64" s="24">
        <f t="shared" si="9"/>
        <v>59.983125154262517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>
        <f>VLOOKUP(A64,'Données projet'!$A$113:$I$133,2,0)</f>
        <v>823</v>
      </c>
      <c r="BW64" s="13">
        <f>VLOOKUP(A64,'Données projet'!$A$113:$I$133,9,0)</f>
        <v>18.8</v>
      </c>
      <c r="BX64" s="13">
        <f t="array" ref="BX64">INDEX(BW:BW,MIN(IF(ISNUMBER(BW64:BW260),ROW(BW64:BW260),"")))</f>
        <v>18.8</v>
      </c>
      <c r="BY64" s="13">
        <f>IF('Données projet'!$A$114&gt;35,BY63+BX64-CG63,IF(A64&lt;'Données projet'!$A$114,$BV$205^A64,IF(A64='Données projet'!$A$114,'Données projet'!$B$114,BY63+BX64-CG63)))</f>
        <v>822.99999999999977</v>
      </c>
      <c r="BZ64" s="14">
        <f>BY64*VLOOKUP('Données projet'!$B$12,Paramètres!$A$1:$I$89,3,0)*VLOOKUP('Données projet'!$B$12,Paramètres!$A$1:$I$89,5,0)</f>
        <v>363.76599999999991</v>
      </c>
      <c r="CA64" s="14">
        <f t="shared" si="39"/>
        <v>84.39067808005538</v>
      </c>
      <c r="CB64" s="22">
        <f t="shared" si="10"/>
        <v>780.53954765609626</v>
      </c>
      <c r="CC64" s="62">
        <f t="shared" si="11"/>
        <v>1073.8728809894296</v>
      </c>
      <c r="CD64" s="62">
        <f ca="1">AVERAGE(OFFSET($CC$3,0,0,'Données projet'!$E$12+1,1))-AVERAGE(OFFSET($H$3,0,0,'Données projet'!$E$12+1,1))</f>
        <v>461.75392711528474</v>
      </c>
      <c r="CE64" s="62">
        <f t="shared" si="40"/>
        <v>441.67157957428236</v>
      </c>
      <c r="CF64" s="16">
        <f>IF(ISNA(VLOOKUP(A64,'Données projet'!$A$113:$I$133,3,0)),0,VLOOKUP(A64,'Données projet'!$A$113:$I$133,3,0))</f>
        <v>5</v>
      </c>
      <c r="CG64" s="16">
        <f>IF(ISNA(VLOOKUP(A64,'Données projet'!$A$113:$I$133,4,0)),0,VLOOKUP(A64,'Données projet'!$A$113:$I$133,4,0))</f>
        <v>87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18.25</v>
      </c>
      <c r="CT64" s="13">
        <f>IF('Données projet'!$A$140&gt;35,CT63+CS64-DB63,IF(A64&lt;'Données projet'!$A$140,$CQ$205^A64,IF(A64='Données projet'!$A$140,'Données projet'!$B$140,CT63+CS64-DB63)))</f>
        <v>338.75</v>
      </c>
      <c r="CU64" s="18">
        <f>CT64*VLOOKUP('Données projet'!$B$13,Paramètres!$A$1:$I$89,3,0)*VLOOKUP('Données projet'!$B$13,Paramètres!$A$1:$I$89,5,0)</f>
        <v>202.57250000000002</v>
      </c>
      <c r="CV64" s="14">
        <f t="shared" si="41"/>
        <v>50.309104150357172</v>
      </c>
      <c r="CW64" s="22">
        <f t="shared" si="13"/>
        <v>440.43546056187211</v>
      </c>
      <c r="CX64" s="62">
        <f t="shared" si="14"/>
        <v>733.76879389520536</v>
      </c>
      <c r="CY64" s="62">
        <f ca="1">AVERAGE(OFFSET($CX$3,0,0,'Données projet'!$E$13+1,1))-AVERAGE(OFFSET($H$3,0,0,'Données projet'!$E$13+1,1))</f>
        <v>338.72479490324491</v>
      </c>
      <c r="CZ64" s="62">
        <f t="shared" si="42"/>
        <v>248.47107558211923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228.39999999999995</v>
      </c>
      <c r="O65" s="14">
        <f>N65*VLOOKUP('Données projet'!$B$9,Paramètres!$A$1:$I$89,3,0)*VLOOKUP('Données projet'!$B$9,Paramètres!$A$1:$I$89,5,0)</f>
        <v>206.65631999999994</v>
      </c>
      <c r="P65" s="14">
        <f t="shared" si="33"/>
        <v>51.20422634371338</v>
      </c>
      <c r="Q65" s="22">
        <f t="shared" si="53"/>
        <v>449.10711821530072</v>
      </c>
      <c r="R65" s="62">
        <f t="shared" si="0"/>
        <v>742.44045154863397</v>
      </c>
      <c r="S65" s="62">
        <f ca="1">AVERAGE(OFFSET($R$3,0,0,'Données projet'!$E$9+1,1))-AVERAGE(OFFSET($H$3,0,0,'Données projet'!$E$9+1,1))</f>
        <v>430.11660085503223</v>
      </c>
      <c r="T65" s="62">
        <f t="shared" si="34"/>
        <v>231.36959598460686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228.39999999999995</v>
      </c>
      <c r="AJ65" s="14">
        <f>AI65*VLOOKUP('Données projet'!$B$10,Paramètres!$A$1:$I$89,3,0)*VLOOKUP('Données projet'!$B$10,Paramètres!$A$1:$I$89,5,0)</f>
        <v>220.90847999999997</v>
      </c>
      <c r="AK65" s="14">
        <f t="shared" si="35"/>
        <v>54.312291977864817</v>
      </c>
      <c r="AL65" s="22">
        <f t="shared" si="4"/>
        <v>479.34284452811448</v>
      </c>
      <c r="AM65" s="62">
        <f t="shared" si="5"/>
        <v>772.67617786144774</v>
      </c>
      <c r="AN65" s="62">
        <f ca="1">AVERAGE(OFFSET($AM$3,0,0,'Données projet'!$E$10+1,1))-AVERAGE(OFFSET($H$3,0,0,'Données projet'!$E$10+1,1))</f>
        <v>456.86147223520601</v>
      </c>
      <c r="AO65" s="62">
        <f t="shared" si="36"/>
        <v>244.45149244446094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-1.1368683772161603E-13</v>
      </c>
      <c r="BE65" s="14">
        <f>BD65*VLOOKUP('Données projet'!$B$11,Paramètres!$A$1:$I$89,3,0)*VLOOKUP('Données projet'!$B$11,Paramètres!$A$1:$I$89,5,0)</f>
        <v>-6.7984728957526396E-14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215.43756133069593</v>
      </c>
      <c r="BJ65" s="62">
        <f t="shared" si="38"/>
        <v>363.02009369315243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58.673760967352919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9.6021237796602252E-2</v>
      </c>
      <c r="BS65" s="24">
        <f t="shared" si="9"/>
        <v>58.769782205149518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15.8</v>
      </c>
      <c r="BY65" s="13">
        <f>IF('Données projet'!$A$114&gt;35,BY64+BX65-CG64,IF(A65&lt;'Données projet'!$A$114,$BV$205^A65,IF(A65='Données projet'!$A$114,'Données projet'!$B$114,BY64+BX65-CG64)))</f>
        <v>751.79999999999973</v>
      </c>
      <c r="BZ65" s="14">
        <f>BY65*VLOOKUP('Données projet'!$B$12,Paramètres!$A$1:$I$89,3,0)*VLOOKUP('Données projet'!$B$12,Paramètres!$A$1:$I$89,5,0)</f>
        <v>332.29559999999992</v>
      </c>
      <c r="CA65" s="14">
        <f t="shared" si="39"/>
        <v>77.906051429526542</v>
      </c>
      <c r="CB65" s="22">
        <f t="shared" si="10"/>
        <v>714.43454290642524</v>
      </c>
      <c r="CC65" s="62">
        <f t="shared" si="11"/>
        <v>1007.7678762397586</v>
      </c>
      <c r="CD65" s="62">
        <f ca="1">AVERAGE(OFFSET($CC$3,0,0,'Données projet'!$E$12+1,1))-AVERAGE(OFFSET($H$3,0,0,'Données projet'!$E$12+1,1))</f>
        <v>461.75392711528474</v>
      </c>
      <c r="CE65" s="62">
        <f t="shared" si="40"/>
        <v>441.67157957428236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18.25</v>
      </c>
      <c r="CT65" s="13">
        <f>IF('Données projet'!$A$140&gt;35,CT64+CS65-DB64,IF(A65&lt;'Données projet'!$A$140,$CQ$205^A65,IF(A65='Données projet'!$A$140,'Données projet'!$B$140,CT64+CS65-DB64)))</f>
        <v>357</v>
      </c>
      <c r="CU65" s="18">
        <f>CT65*VLOOKUP('Données projet'!$B$13,Paramètres!$A$1:$I$89,3,0)*VLOOKUP('Données projet'!$B$13,Paramètres!$A$1:$I$89,5,0)</f>
        <v>213.48600000000002</v>
      </c>
      <c r="CV65" s="14">
        <f t="shared" si="41"/>
        <v>52.696632942005166</v>
      </c>
      <c r="CW65" s="22">
        <f t="shared" si="13"/>
        <v>463.60141904065904</v>
      </c>
      <c r="CX65" s="62">
        <f t="shared" si="14"/>
        <v>756.9347523739923</v>
      </c>
      <c r="CY65" s="62">
        <f ca="1">AVERAGE(OFFSET($CX$3,0,0,'Données projet'!$E$13+1,1))-AVERAGE(OFFSET($H$3,0,0,'Données projet'!$E$13+1,1))</f>
        <v>338.72479490324491</v>
      </c>
      <c r="CZ65" s="62">
        <f t="shared" si="42"/>
        <v>248.47107558211923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235.59999999999994</v>
      </c>
      <c r="O66" s="14">
        <f>N66*VLOOKUP('Données projet'!$B$9,Paramètres!$A$1:$I$89,3,0)*VLOOKUP('Données projet'!$B$9,Paramètres!$A$1:$I$89,5,0)</f>
        <v>213.17087999999995</v>
      </c>
      <c r="P66" s="14">
        <f t="shared" si="33"/>
        <v>52.627897224631596</v>
      </c>
      <c r="Q66" s="22">
        <f t="shared" si="53"/>
        <v>462.93287033289988</v>
      </c>
      <c r="R66" s="62">
        <f t="shared" si="0"/>
        <v>756.2662036662332</v>
      </c>
      <c r="S66" s="62">
        <f ca="1">AVERAGE(OFFSET($R$3,0,0,'Données projet'!$E$9+1,1))-AVERAGE(OFFSET($H$3,0,0,'Données projet'!$E$9+1,1))</f>
        <v>430.11660085503223</v>
      </c>
      <c r="T66" s="62">
        <f t="shared" si="34"/>
        <v>231.36959598460686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235.59999999999994</v>
      </c>
      <c r="AJ66" s="14">
        <f>AI66*VLOOKUP('Données projet'!$B$10,Paramètres!$A$1:$I$89,3,0)*VLOOKUP('Données projet'!$B$10,Paramètres!$A$1:$I$89,5,0)</f>
        <v>227.87231999999997</v>
      </c>
      <c r="AK66" s="14">
        <f t="shared" si="35"/>
        <v>55.822378821981488</v>
      </c>
      <c r="AL66" s="22">
        <f t="shared" si="4"/>
        <v>494.10160044828439</v>
      </c>
      <c r="AM66" s="62">
        <f t="shared" si="5"/>
        <v>787.4349337816177</v>
      </c>
      <c r="AN66" s="62">
        <f ca="1">AVERAGE(OFFSET($AM$3,0,0,'Données projet'!$E$10+1,1))-AVERAGE(OFFSET($H$3,0,0,'Données projet'!$E$10+1,1))</f>
        <v>456.86147223520601</v>
      </c>
      <c r="AO66" s="62">
        <f t="shared" si="36"/>
        <v>244.45149244446094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-1.1368683772161603E-13</v>
      </c>
      <c r="BE66" s="14">
        <f>BD66*VLOOKUP('Données projet'!$B$11,Paramètres!$A$1:$I$89,3,0)*VLOOKUP('Données projet'!$B$11,Paramètres!$A$1:$I$89,5,0)</f>
        <v>-6.7984728957526396E-14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215.43756133069593</v>
      </c>
      <c r="BJ66" s="62">
        <f t="shared" si="38"/>
        <v>363.02009369315243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57.523204302243599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6.7897268383903475E-2</v>
      </c>
      <c r="BS66" s="24">
        <f t="shared" si="9"/>
        <v>57.591101570627501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15.8</v>
      </c>
      <c r="BY66" s="13">
        <f>IF('Données projet'!$A$114&gt;35,BY65+BX66-CG65,IF(A66&lt;'Données projet'!$A$114,$BV$205^A66,IF(A66='Données projet'!$A$114,'Données projet'!$B$114,BY65+BX66-CG65)))</f>
        <v>767.59999999999968</v>
      </c>
      <c r="BZ66" s="14">
        <f>BY66*VLOOKUP('Données projet'!$B$12,Paramètres!$A$1:$I$89,3,0)*VLOOKUP('Données projet'!$B$12,Paramètres!$A$1:$I$89,5,0)</f>
        <v>339.27919999999989</v>
      </c>
      <c r="CA66" s="14">
        <f t="shared" si="39"/>
        <v>79.351006189074667</v>
      </c>
      <c r="CB66" s="22">
        <f t="shared" si="10"/>
        <v>729.11427577930488</v>
      </c>
      <c r="CC66" s="62">
        <f t="shared" si="11"/>
        <v>1022.4476091126382</v>
      </c>
      <c r="CD66" s="62">
        <f ca="1">AVERAGE(OFFSET($CC$3,0,0,'Données projet'!$E$12+1,1))-AVERAGE(OFFSET($H$3,0,0,'Données projet'!$E$12+1,1))</f>
        <v>461.75392711528474</v>
      </c>
      <c r="CE66" s="62">
        <f t="shared" si="40"/>
        <v>441.67157957428236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18.25</v>
      </c>
      <c r="CT66" s="13">
        <f>IF('Données projet'!$A$140&gt;35,CT65+CS66-DB65,IF(A66&lt;'Données projet'!$A$140,$CQ$205^A66,IF(A66='Données projet'!$A$140,'Données projet'!$B$140,CT65+CS66-DB65)))</f>
        <v>375.25</v>
      </c>
      <c r="CU66" s="18">
        <f>CT66*VLOOKUP('Données projet'!$B$13,Paramètres!$A$1:$I$89,3,0)*VLOOKUP('Données projet'!$B$13,Paramètres!$A$1:$I$89,5,0)</f>
        <v>224.39950000000002</v>
      </c>
      <c r="CV66" s="14">
        <f t="shared" si="41"/>
        <v>55.069990602501541</v>
      </c>
      <c r="CW66" s="22">
        <f t="shared" si="13"/>
        <v>486.74269613269013</v>
      </c>
      <c r="CX66" s="62">
        <f t="shared" si="14"/>
        <v>780.07602946602344</v>
      </c>
      <c r="CY66" s="62">
        <f ca="1">AVERAGE(OFFSET($CX$3,0,0,'Données projet'!$E$13+1,1))-AVERAGE(OFFSET($H$3,0,0,'Données projet'!$E$13+1,1))</f>
        <v>338.72479490324491</v>
      </c>
      <c r="CZ66" s="62">
        <f t="shared" si="42"/>
        <v>248.47107558211923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242.79999999999993</v>
      </c>
      <c r="O67" s="14">
        <f>N67*VLOOKUP('Données projet'!$B$9,Paramètres!$A$1:$I$89,3,0)*VLOOKUP('Données projet'!$B$9,Paramètres!$A$1:$I$89,5,0)</f>
        <v>219.68543999999994</v>
      </c>
      <c r="P67" s="14">
        <f t="shared" si="33"/>
        <v>54.046511966469559</v>
      </c>
      <c r="Q67" s="22">
        <f t="shared" ref="Q67:Q98" si="54">(O67+P67)*0.475*44/12</f>
        <v>476.74981634160105</v>
      </c>
      <c r="R67" s="62">
        <f t="shared" ref="R67:R130" si="55">Q67+(I67+J67)*44/12</f>
        <v>770.08314967493436</v>
      </c>
      <c r="S67" s="62">
        <f ca="1">AVERAGE(OFFSET($R$3,0,0,'Données projet'!$E$9+1,1))-AVERAGE(OFFSET($H$3,0,0,'Données projet'!$E$9+1,1))</f>
        <v>430.11660085503223</v>
      </c>
      <c r="T67" s="62">
        <f t="shared" si="34"/>
        <v>231.36959598460686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242.79999999999993</v>
      </c>
      <c r="AJ67" s="14">
        <f>AI67*VLOOKUP('Données projet'!$B$10,Paramètres!$A$1:$I$89,3,0)*VLOOKUP('Données projet'!$B$10,Paramètres!$A$1:$I$89,5,0)</f>
        <v>234.83615999999992</v>
      </c>
      <c r="AK67" s="14">
        <f t="shared" si="35"/>
        <v>57.327102622427432</v>
      </c>
      <c r="AL67" s="22">
        <f t="shared" si="4"/>
        <v>508.85101573406092</v>
      </c>
      <c r="AM67" s="62">
        <f t="shared" si="5"/>
        <v>802.18434906739424</v>
      </c>
      <c r="AN67" s="62">
        <f ca="1">AVERAGE(OFFSET($AM$3,0,0,'Données projet'!$E$10+1,1))-AVERAGE(OFFSET($H$3,0,0,'Données projet'!$E$10+1,1))</f>
        <v>456.86147223520601</v>
      </c>
      <c r="AO67" s="62">
        <f t="shared" si="36"/>
        <v>244.45149244446094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-1.1368683772161603E-13</v>
      </c>
      <c r="BE67" s="14">
        <f>BD67*VLOOKUP('Données projet'!$B$11,Paramètres!$A$1:$I$89,3,0)*VLOOKUP('Données projet'!$B$11,Paramètres!$A$1:$I$89,5,0)</f>
        <v>-6.7984728957526396E-14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215.43756133069593</v>
      </c>
      <c r="BJ67" s="62">
        <f t="shared" si="38"/>
        <v>363.02009369315243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56.395209351566805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4.8010618898301126E-2</v>
      </c>
      <c r="BS67" s="24">
        <f t="shared" si="9"/>
        <v>56.443219970465108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15.8</v>
      </c>
      <c r="BY67" s="13">
        <f>IF('Données projet'!$A$114&gt;35,BY66+BX67-CG66,IF(A67&lt;'Données projet'!$A$114,$BV$205^A67,IF(A67='Données projet'!$A$114,'Données projet'!$B$114,BY66+BX67-CG66)))</f>
        <v>783.39999999999964</v>
      </c>
      <c r="BZ67" s="14">
        <f>BY67*VLOOKUP('Données projet'!$B$12,Paramètres!$A$1:$I$89,3,0)*VLOOKUP('Données projet'!$B$12,Paramètres!$A$1:$I$89,5,0)</f>
        <v>346.26279999999986</v>
      </c>
      <c r="CA67" s="14">
        <f t="shared" si="39"/>
        <v>80.792502816340289</v>
      </c>
      <c r="CB67" s="22">
        <f t="shared" si="10"/>
        <v>743.78798573845904</v>
      </c>
      <c r="CC67" s="62">
        <f t="shared" si="11"/>
        <v>1037.1213190717924</v>
      </c>
      <c r="CD67" s="62">
        <f ca="1">AVERAGE(OFFSET($CC$3,0,0,'Données projet'!$E$12+1,1))-AVERAGE(OFFSET($H$3,0,0,'Données projet'!$E$12+1,1))</f>
        <v>461.75392711528474</v>
      </c>
      <c r="CE67" s="62">
        <f t="shared" si="40"/>
        <v>441.67157957428236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18.25</v>
      </c>
      <c r="CT67" s="13">
        <f>IF('Données projet'!$A$140&gt;35,CT66+CS67-DB66,IF(A67&lt;'Données projet'!$A$140,$CQ$205^A67,IF(A67='Données projet'!$A$140,'Données projet'!$B$140,CT66+CS67-DB66)))</f>
        <v>393.5</v>
      </c>
      <c r="CU67" s="18">
        <f>CT67*VLOOKUP('Données projet'!$B$13,Paramètres!$A$1:$I$89,3,0)*VLOOKUP('Données projet'!$B$13,Paramètres!$A$1:$I$89,5,0)</f>
        <v>235.31300000000005</v>
      </c>
      <c r="CV67" s="14">
        <f t="shared" si="41"/>
        <v>57.429945003037197</v>
      </c>
      <c r="CW67" s="22">
        <f t="shared" si="13"/>
        <v>509.8606292136231</v>
      </c>
      <c r="CX67" s="62">
        <f t="shared" si="14"/>
        <v>803.19396254695641</v>
      </c>
      <c r="CY67" s="62">
        <f ca="1">AVERAGE(OFFSET($CX$3,0,0,'Données projet'!$E$13+1,1))-AVERAGE(OFFSET($H$3,0,0,'Données projet'!$E$13+1,1))</f>
        <v>338.72479490324491</v>
      </c>
      <c r="CZ67" s="62">
        <f t="shared" si="42"/>
        <v>248.47107558211923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250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249.99999999999991</v>
      </c>
      <c r="O68" s="14">
        <f>N68*VLOOKUP('Données projet'!$B$9,Paramètres!$A$1:$I$89,3,0)*VLOOKUP('Données projet'!$B$9,Paramètres!$A$1:$I$89,5,0)</f>
        <v>226.19999999999993</v>
      </c>
      <c r="P68" s="14">
        <f t="shared" si="33"/>
        <v>55.460237717698107</v>
      </c>
      <c r="Q68" s="22">
        <f t="shared" si="54"/>
        <v>490.55824735832402</v>
      </c>
      <c r="R68" s="62">
        <f t="shared" si="55"/>
        <v>783.89158069165728</v>
      </c>
      <c r="S68" s="62">
        <f ca="1">AVERAGE(OFFSET($R$3,0,0,'Données projet'!$E$9+1,1))-AVERAGE(OFFSET($H$3,0,0,'Données projet'!$E$9+1,1))</f>
        <v>430.11660085503223</v>
      </c>
      <c r="T68" s="62">
        <f t="shared" si="34"/>
        <v>231.36959598460686</v>
      </c>
      <c r="U68" s="16">
        <f>IF(ISNA(VLOOKUP(A68,'Données projet'!$A$35:$I$55,3,0)),0,VLOOKUP(A68,'Données projet'!$A$35:$I$55,3,0))</f>
        <v>5</v>
      </c>
      <c r="V68" s="16">
        <f>IF(ISNA(VLOOKUP(A68,'Données projet'!$A$35:$I$55,4,0)),0,VLOOKUP(A68,'Données projet'!$A$35:$I$55,4,0))</f>
        <v>42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250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249.99999999999991</v>
      </c>
      <c r="AJ68" s="14">
        <f>AI68*VLOOKUP('Données projet'!$B$10,Paramètres!$A$1:$I$89,3,0)*VLOOKUP('Données projet'!$B$10,Paramètres!$A$1:$I$89,5,0)</f>
        <v>241.79999999999993</v>
      </c>
      <c r="AK68" s="14">
        <f t="shared" si="35"/>
        <v>58.826640673484839</v>
      </c>
      <c r="AL68" s="22">
        <f t="shared" ref="AL68:AL131" si="58">(AJ68+AK68)*0.475*44/12</f>
        <v>523.59139917298592</v>
      </c>
      <c r="AM68" s="62">
        <f t="shared" ref="AM68:AM131" si="59">AL68+(AD68+AE68)*44/12</f>
        <v>816.92473250631929</v>
      </c>
      <c r="AN68" s="62">
        <f ca="1">AVERAGE(OFFSET($AM$3,0,0,'Données projet'!$E$10+1,1))-AVERAGE(OFFSET($H$3,0,0,'Données projet'!$E$10+1,1))</f>
        <v>456.86147223520601</v>
      </c>
      <c r="AO68" s="62">
        <f t="shared" si="36"/>
        <v>244.45149244446094</v>
      </c>
      <c r="AP68" s="16">
        <f>IF(ISNA(VLOOKUP(A68,'Données projet'!$A$61:$I$81,3,0)),0,VLOOKUP(A68,'Données projet'!$A$61:$I$81,3,0))</f>
        <v>5</v>
      </c>
      <c r="AQ68" s="16">
        <f>IF(ISNA(VLOOKUP(A68,'Données projet'!$A$61:$I$81,4,0)),0,VLOOKUP(A68,'Données projet'!$A$61:$I$81,4,0))</f>
        <v>42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-1.1368683772161603E-13</v>
      </c>
      <c r="BE68" s="14">
        <f>BD68*VLOOKUP('Données projet'!$B$11,Paramètres!$A$1:$I$89,3,0)*VLOOKUP('Données projet'!$B$11,Paramètres!$A$1:$I$89,5,0)</f>
        <v>-6.7984728957526396E-14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215.43756133069593</v>
      </c>
      <c r="BJ68" s="62">
        <f t="shared" si="38"/>
        <v>363.02009369315243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55.289333693863796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3.3948634191951738E-2</v>
      </c>
      <c r="BS68" s="24">
        <f t="shared" ref="BS68:BS131" si="63">SUM(BP68:BR68)</f>
        <v>55.323282328055747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15.8</v>
      </c>
      <c r="BY68" s="13">
        <f>IF('Données projet'!$A$114&gt;35,BY67+BX68-CG67,IF(A68&lt;'Données projet'!$A$114,$BV$205^A68,IF(A68='Données projet'!$A$114,'Données projet'!$B$114,BY67+BX68-CG67)))</f>
        <v>799.19999999999959</v>
      </c>
      <c r="BZ68" s="14">
        <f>BY68*VLOOKUP('Données projet'!$B$12,Paramètres!$A$1:$I$89,3,0)*VLOOKUP('Données projet'!$B$12,Paramètres!$A$1:$I$89,5,0)</f>
        <v>353.24639999999988</v>
      </c>
      <c r="CA68" s="14">
        <f t="shared" si="39"/>
        <v>82.230619094325945</v>
      </c>
      <c r="CB68" s="22">
        <f t="shared" ref="CB68:CB131" si="64">(BZ68+CA68)*0.475*44/12</f>
        <v>758.45580825595073</v>
      </c>
      <c r="CC68" s="62">
        <f t="shared" ref="CC68:CC131" si="65">CB68+(BT68+BU68)*44/12</f>
        <v>1051.7891415892841</v>
      </c>
      <c r="CD68" s="62">
        <f ca="1">AVERAGE(OFFSET($CC$3,0,0,'Données projet'!$E$12+1,1))-AVERAGE(OFFSET($H$3,0,0,'Données projet'!$E$12+1,1))</f>
        <v>461.75392711528474</v>
      </c>
      <c r="CE68" s="62">
        <f t="shared" si="40"/>
        <v>441.67157957428236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18.25</v>
      </c>
      <c r="CT68" s="13">
        <f>IF('Données projet'!$A$140&gt;35,CT67+CS68-DB67,IF(A68&lt;'Données projet'!$A$140,$CQ$205^A68,IF(A68='Données projet'!$A$140,'Données projet'!$B$140,CT67+CS68-DB67)))</f>
        <v>411.75</v>
      </c>
      <c r="CU68" s="18">
        <f>CT68*VLOOKUP('Données projet'!$B$13,Paramètres!$A$1:$I$89,3,0)*VLOOKUP('Données projet'!$B$13,Paramètres!$A$1:$I$89,5,0)</f>
        <v>246.22650000000002</v>
      </c>
      <c r="CV68" s="14">
        <f t="shared" si="41"/>
        <v>59.777188763695399</v>
      </c>
      <c r="CW68" s="22">
        <f t="shared" ref="CW68:CW131" si="67">(CU68+CV68)*0.475*44/12</f>
        <v>532.95642459676958</v>
      </c>
      <c r="CX68" s="62">
        <f t="shared" ref="CX68:CX131" si="68">CW68+(CO68+CP68)*44/12</f>
        <v>826.28975793010295</v>
      </c>
      <c r="CY68" s="62">
        <f ca="1">AVERAGE(OFFSET($CX$3,0,0,'Données projet'!$E$13+1,1))-AVERAGE(OFFSET($H$3,0,0,'Données projet'!$E$13+1,1))</f>
        <v>338.72479490324491</v>
      </c>
      <c r="CZ68" s="62">
        <f t="shared" si="42"/>
        <v>248.47107558211923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214.7999999999999</v>
      </c>
      <c r="O69" s="14">
        <f>N69*VLOOKUP('Données projet'!$B$9,Paramètres!$A$1:$I$89,3,0)*VLOOKUP('Données projet'!$B$9,Paramètres!$A$1:$I$89,5,0)</f>
        <v>194.3510399999999</v>
      </c>
      <c r="P69" s="14">
        <f t="shared" ref="P69:P132" si="87">EXP(-1.0587+0.8836*LN(O69)+0.284)</f>
        <v>48.500634729810116</v>
      </c>
      <c r="Q69" s="22">
        <f t="shared" si="54"/>
        <v>422.96666682108577</v>
      </c>
      <c r="R69" s="62">
        <f t="shared" si="55"/>
        <v>716.30000015441908</v>
      </c>
      <c r="S69" s="62">
        <f ca="1">AVERAGE(OFFSET($R$3,0,0,'Données projet'!$E$9+1,1))-AVERAGE(OFFSET($H$3,0,0,'Données projet'!$E$9+1,1))</f>
        <v>430.11660085503223</v>
      </c>
      <c r="T69" s="62">
        <f t="shared" ref="T69:T132" si="88">$T$3</f>
        <v>231.36959598460686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214.7999999999999</v>
      </c>
      <c r="AJ69" s="14">
        <f>AI69*VLOOKUP('Données projet'!$B$10,Paramètres!$A$1:$I$89,3,0)*VLOOKUP('Données projet'!$B$10,Paramètres!$A$1:$I$89,5,0)</f>
        <v>207.75455999999991</v>
      </c>
      <c r="AK69" s="14">
        <f t="shared" ref="AK69:AK132" si="89">EXP(-1.0587+0.8836*LN(AJ69)+0.284)</f>
        <v>51.444593984782131</v>
      </c>
      <c r="AL69" s="22">
        <f t="shared" si="58"/>
        <v>451.43852652349534</v>
      </c>
      <c r="AM69" s="62">
        <f t="shared" si="59"/>
        <v>744.77185985682866</v>
      </c>
      <c r="AN69" s="62">
        <f ca="1">AVERAGE(OFFSET($AM$3,0,0,'Données projet'!$E$10+1,1))-AVERAGE(OFFSET($H$3,0,0,'Données projet'!$E$10+1,1))</f>
        <v>456.86147223520601</v>
      </c>
      <c r="AO69" s="62">
        <f t="shared" ref="AO69:AO132" si="90">$AO$3</f>
        <v>244.45149244446094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-1.1368683772161603E-13</v>
      </c>
      <c r="BE69" s="14">
        <f>BD69*VLOOKUP('Données projet'!$B$11,Paramètres!$A$1:$I$89,3,0)*VLOOKUP('Données projet'!$B$11,Paramètres!$A$1:$I$89,5,0)</f>
        <v>-6.7984728957526396E-14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215.43756133069593</v>
      </c>
      <c r="BJ69" s="62">
        <f t="shared" ref="BJ69:BJ132" si="92">$BJ$3</f>
        <v>363.02009369315243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54.205143583290791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2.4005309449150563E-2</v>
      </c>
      <c r="BS69" s="24">
        <f t="shared" si="63"/>
        <v>54.229148892739943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>
        <f>VLOOKUP(A69,'Données projet'!$A$113:$I$133,2,0)</f>
        <v>815</v>
      </c>
      <c r="BW69" s="13">
        <f>VLOOKUP(A69,'Données projet'!$A$113:$I$133,9,0)</f>
        <v>15.8</v>
      </c>
      <c r="BX69" s="13">
        <f t="array" ref="BX69">INDEX(BW:BW,MIN(IF(ISNUMBER(BW69:BW265),ROW(BW69:BW265),"")))</f>
        <v>15.8</v>
      </c>
      <c r="BY69" s="13">
        <f>IF('Données projet'!$A$114&gt;35,BY68+BX69-CG68,IF(A69&lt;'Données projet'!$A$114,$BV$205^A69,IF(A69='Données projet'!$A$114,'Données projet'!$B$114,BY68+BX69-CG68)))</f>
        <v>814.99999999999955</v>
      </c>
      <c r="BZ69" s="14">
        <f>BY69*VLOOKUP('Données projet'!$B$12,Paramètres!$A$1:$I$89,3,0)*VLOOKUP('Données projet'!$B$12,Paramètres!$A$1:$I$89,5,0)</f>
        <v>360.22999999999985</v>
      </c>
      <c r="CA69" s="14">
        <f t="shared" ref="CA69:CA132" si="93">EXP(-1.0587+0.8836*LN(BZ69)+0.284)</f>
        <v>83.66542955464233</v>
      </c>
      <c r="CB69" s="22">
        <f t="shared" si="64"/>
        <v>773.11787314100184</v>
      </c>
      <c r="CC69" s="62">
        <f t="shared" si="65"/>
        <v>1066.4512064743351</v>
      </c>
      <c r="CD69" s="62">
        <f ca="1">AVERAGE(OFFSET($CC$3,0,0,'Données projet'!$E$12+1,1))-AVERAGE(OFFSET($H$3,0,0,'Données projet'!$E$12+1,1))</f>
        <v>461.75392711528474</v>
      </c>
      <c r="CE69" s="62">
        <f t="shared" ref="CE69:CE132" si="94">$CE$3</f>
        <v>441.67157957428236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>
        <f>VLOOKUP(A69,'Données projet'!$A$139:$I$159,2,0)</f>
        <v>430</v>
      </c>
      <c r="CR69" s="13">
        <f>VLOOKUP(A69,'Données projet'!$A$139:$I$159,9,0)</f>
        <v>18.25</v>
      </c>
      <c r="CS69" s="13">
        <f t="array" ref="CS69">INDEX(CR:CR,MIN(IF(ISNUMBER(CR69:CR265),ROW(CR69:CR265),"")))</f>
        <v>18.25</v>
      </c>
      <c r="CT69" s="13">
        <f>IF('Données projet'!$A$140&gt;35,CT68+CS69-DB68,IF(A69&lt;'Données projet'!$A$140,$CQ$205^A69,IF(A69='Données projet'!$A$140,'Données projet'!$B$140,CT68+CS69-DB68)))</f>
        <v>430</v>
      </c>
      <c r="CU69" s="18">
        <f>CT69*VLOOKUP('Données projet'!$B$13,Paramètres!$A$1:$I$89,3,0)*VLOOKUP('Données projet'!$B$13,Paramètres!$A$1:$I$89,5,0)</f>
        <v>257.14000000000004</v>
      </c>
      <c r="CV69" s="14">
        <f t="shared" ref="CV69:CV132" si="95">EXP(-1.0587+0.8836*LN(CU69)+0.284)</f>
        <v>62.112349635142238</v>
      </c>
      <c r="CW69" s="22">
        <f t="shared" si="67"/>
        <v>556.03117561453939</v>
      </c>
      <c r="CX69" s="62">
        <f t="shared" si="68"/>
        <v>849.36450894787276</v>
      </c>
      <c r="CY69" s="62">
        <f ca="1">AVERAGE(OFFSET($CX$3,0,0,'Données projet'!$E$13+1,1))-AVERAGE(OFFSET($H$3,0,0,'Données projet'!$E$13+1,1))</f>
        <v>338.72479490324491</v>
      </c>
      <c r="CZ69" s="62">
        <f t="shared" ref="CZ69:CZ132" si="96">$CZ$3</f>
        <v>248.47107558211923</v>
      </c>
      <c r="DA69" s="16">
        <f>IF(ISNA(VLOOKUP(A69,'Données projet'!$A$139:$I$159,3,0)),0,VLOOKUP(A69,'Données projet'!$A$139:$I$159,3,0))</f>
        <v>5</v>
      </c>
      <c r="DB69" s="16">
        <f>IF(ISNA(VLOOKUP(A69,'Données projet'!$A$139:$I$159,4,0)),0,VLOOKUP(A69,'Données projet'!$A$139:$I$159,4,0))</f>
        <v>65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221.59999999999991</v>
      </c>
      <c r="O70" s="14">
        <f>N70*VLOOKUP('Données projet'!$B$9,Paramètres!$A$1:$I$89,3,0)*VLOOKUP('Données projet'!$B$9,Paramètres!$A$1:$I$89,5,0)</f>
        <v>200.50367999999992</v>
      </c>
      <c r="P70" s="14">
        <f t="shared" si="87"/>
        <v>49.854845135229887</v>
      </c>
      <c r="Q70" s="22">
        <f t="shared" si="54"/>
        <v>436.04109794385857</v>
      </c>
      <c r="R70" s="62">
        <f t="shared" si="55"/>
        <v>729.37443127719189</v>
      </c>
      <c r="S70" s="62">
        <f ca="1">AVERAGE(OFFSET($R$3,0,0,'Données projet'!$E$9+1,1))-AVERAGE(OFFSET($H$3,0,0,'Données projet'!$E$9+1,1))</f>
        <v>430.11660085503223</v>
      </c>
      <c r="T70" s="62">
        <f t="shared" si="88"/>
        <v>231.36959598460686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221.59999999999991</v>
      </c>
      <c r="AJ70" s="14">
        <f>AI70*VLOOKUP('Données projet'!$B$10,Paramètres!$A$1:$I$89,3,0)*VLOOKUP('Données projet'!$B$10,Paramètres!$A$1:$I$89,5,0)</f>
        <v>214.3315199999999</v>
      </c>
      <c r="AK70" s="14">
        <f t="shared" si="89"/>
        <v>52.881004144461244</v>
      </c>
      <c r="AL70" s="22">
        <f t="shared" si="58"/>
        <v>465.39514621826976</v>
      </c>
      <c r="AM70" s="62">
        <f t="shared" si="59"/>
        <v>758.72847955160307</v>
      </c>
      <c r="AN70" s="62">
        <f ca="1">AVERAGE(OFFSET($AM$3,0,0,'Données projet'!$E$10+1,1))-AVERAGE(OFFSET($H$3,0,0,'Données projet'!$E$10+1,1))</f>
        <v>456.86147223520601</v>
      </c>
      <c r="AO70" s="62">
        <f t="shared" si="90"/>
        <v>244.45149244446094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-1.1368683772161603E-13</v>
      </c>
      <c r="BE70" s="14">
        <f>BD70*VLOOKUP('Données projet'!$B$11,Paramètres!$A$1:$I$89,3,0)*VLOOKUP('Données projet'!$B$11,Paramètres!$A$1:$I$89,5,0)</f>
        <v>-6.7984728957526396E-14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215.43756133069593</v>
      </c>
      <c r="BJ70" s="62">
        <f t="shared" si="92"/>
        <v>363.02009369315243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53.142213779495457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1.6974317095975869E-2</v>
      </c>
      <c r="BS70" s="24">
        <f t="shared" si="63"/>
        <v>53.159188096591436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13</v>
      </c>
      <c r="BY70" s="13">
        <f>IF('Données projet'!$A$114&gt;35,BY69+BX70-CG69,IF(A70&lt;'Données projet'!$A$114,$BV$205^A70,IF(A70='Données projet'!$A$114,'Données projet'!$B$114,BY69+BX70-CG69)))</f>
        <v>827.99999999999955</v>
      </c>
      <c r="BZ70" s="14">
        <f>BY70*VLOOKUP('Données projet'!$B$12,Paramètres!$A$1:$I$89,3,0)*VLOOKUP('Données projet'!$B$12,Paramètres!$A$1:$I$89,5,0)</f>
        <v>365.97599999999983</v>
      </c>
      <c r="CA70" s="14">
        <f t="shared" si="93"/>
        <v>84.843541364532598</v>
      </c>
      <c r="CB70" s="22">
        <f t="shared" si="64"/>
        <v>785.17736787656065</v>
      </c>
      <c r="CC70" s="62">
        <f t="shared" si="65"/>
        <v>1078.510701209894</v>
      </c>
      <c r="CD70" s="62">
        <f ca="1">AVERAGE(OFFSET($CC$3,0,0,'Données projet'!$E$12+1,1))-AVERAGE(OFFSET($H$3,0,0,'Données projet'!$E$12+1,1))</f>
        <v>461.75392711528474</v>
      </c>
      <c r="CE70" s="62">
        <f t="shared" si="94"/>
        <v>441.67157957428236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16.375</v>
      </c>
      <c r="CT70" s="13">
        <f>IF('Données projet'!$A$140&gt;35,CT69+CS70-DB69,IF(A70&lt;'Données projet'!$A$140,$CQ$205^A70,IF(A70='Données projet'!$A$140,'Données projet'!$B$140,CT69+CS70-DB69)))</f>
        <v>381.375</v>
      </c>
      <c r="CU70" s="18">
        <f>CT70*VLOOKUP('Données projet'!$B$13,Paramètres!$A$1:$I$89,3,0)*VLOOKUP('Données projet'!$B$13,Paramètres!$A$1:$I$89,5,0)</f>
        <v>228.06225000000001</v>
      </c>
      <c r="CV70" s="14">
        <f t="shared" si="95"/>
        <v>55.863488585619976</v>
      </c>
      <c r="CW70" s="22">
        <f t="shared" si="67"/>
        <v>494.50399470328807</v>
      </c>
      <c r="CX70" s="62">
        <f t="shared" si="68"/>
        <v>787.83732803662133</v>
      </c>
      <c r="CY70" s="62">
        <f ca="1">AVERAGE(OFFSET($CX$3,0,0,'Données projet'!$E$13+1,1))-AVERAGE(OFFSET($H$3,0,0,'Données projet'!$E$13+1,1))</f>
        <v>338.72479490324491</v>
      </c>
      <c r="CZ70" s="62">
        <f t="shared" si="96"/>
        <v>248.47107558211923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228.39999999999992</v>
      </c>
      <c r="O71" s="14">
        <f>N71*VLOOKUP('Données projet'!$B$9,Paramètres!$A$1:$I$89,3,0)*VLOOKUP('Données projet'!$B$9,Paramètres!$A$1:$I$89,5,0)</f>
        <v>206.65631999999994</v>
      </c>
      <c r="P71" s="14">
        <f t="shared" si="87"/>
        <v>51.20422634371338</v>
      </c>
      <c r="Q71" s="22">
        <f t="shared" si="54"/>
        <v>449.10711821530072</v>
      </c>
      <c r="R71" s="62">
        <f t="shared" si="55"/>
        <v>742.44045154863397</v>
      </c>
      <c r="S71" s="62">
        <f ca="1">AVERAGE(OFFSET($R$3,0,0,'Données projet'!$E$9+1,1))-AVERAGE(OFFSET($H$3,0,0,'Données projet'!$E$9+1,1))</f>
        <v>430.11660085503223</v>
      </c>
      <c r="T71" s="62">
        <f t="shared" si="88"/>
        <v>231.36959598460686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228.39999999999992</v>
      </c>
      <c r="AJ71" s="14">
        <f>AI71*VLOOKUP('Données projet'!$B$10,Paramètres!$A$1:$I$89,3,0)*VLOOKUP('Données projet'!$B$10,Paramètres!$A$1:$I$89,5,0)</f>
        <v>220.90847999999991</v>
      </c>
      <c r="AK71" s="14">
        <f t="shared" si="89"/>
        <v>54.312291977864817</v>
      </c>
      <c r="AL71" s="22">
        <f t="shared" si="58"/>
        <v>479.34284452811431</v>
      </c>
      <c r="AM71" s="62">
        <f t="shared" si="59"/>
        <v>772.67617786144763</v>
      </c>
      <c r="AN71" s="62">
        <f ca="1">AVERAGE(OFFSET($AM$3,0,0,'Données projet'!$E$10+1,1))-AVERAGE(OFFSET($H$3,0,0,'Données projet'!$E$10+1,1))</f>
        <v>456.86147223520601</v>
      </c>
      <c r="AO71" s="62">
        <f t="shared" si="90"/>
        <v>244.45149244446094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-1.1368683772161603E-13</v>
      </c>
      <c r="BE71" s="14">
        <f>BD71*VLOOKUP('Données projet'!$B$11,Paramètres!$A$1:$I$89,3,0)*VLOOKUP('Données projet'!$B$11,Paramètres!$A$1:$I$89,5,0)</f>
        <v>-6.7984728957526396E-14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215.43756133069593</v>
      </c>
      <c r="BJ71" s="62">
        <f t="shared" si="92"/>
        <v>363.02009369315243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52.100127380829385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1.2002654724575281E-2</v>
      </c>
      <c r="BS71" s="24">
        <f t="shared" si="63"/>
        <v>52.11213003555396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13</v>
      </c>
      <c r="BY71" s="13">
        <f>IF('Données projet'!$A$114&gt;35,BY70+BX71-CG70,IF(A71&lt;'Données projet'!$A$114,$BV$205^A71,IF(A71='Données projet'!$A$114,'Données projet'!$B$114,BY70+BX71-CG70)))</f>
        <v>840.99999999999955</v>
      </c>
      <c r="BZ71" s="14">
        <f>BY71*VLOOKUP('Données projet'!$B$12,Paramètres!$A$1:$I$89,3,0)*VLOOKUP('Données projet'!$B$12,Paramètres!$A$1:$I$89,5,0)</f>
        <v>371.72199999999987</v>
      </c>
      <c r="CA71" s="14">
        <f t="shared" si="93"/>
        <v>86.019502005145341</v>
      </c>
      <c r="CB71" s="22">
        <f t="shared" si="64"/>
        <v>797.23311599229453</v>
      </c>
      <c r="CC71" s="62">
        <f t="shared" si="65"/>
        <v>1090.5664493256279</v>
      </c>
      <c r="CD71" s="62">
        <f ca="1">AVERAGE(OFFSET($CC$3,0,0,'Données projet'!$E$12+1,1))-AVERAGE(OFFSET($H$3,0,0,'Données projet'!$E$12+1,1))</f>
        <v>461.75392711528474</v>
      </c>
      <c r="CE71" s="62">
        <f t="shared" si="94"/>
        <v>441.67157957428236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16.375</v>
      </c>
      <c r="CT71" s="13">
        <f>IF('Données projet'!$A$140&gt;35,CT70+CS71-DB70,IF(A71&lt;'Données projet'!$A$140,$CQ$205^A71,IF(A71='Données projet'!$A$140,'Données projet'!$B$140,CT70+CS71-DB70)))</f>
        <v>397.75</v>
      </c>
      <c r="CU71" s="18">
        <f>CT71*VLOOKUP('Données projet'!$B$13,Paramètres!$A$1:$I$89,3,0)*VLOOKUP('Données projet'!$B$13,Paramètres!$A$1:$I$89,5,0)</f>
        <v>237.8545</v>
      </c>
      <c r="CV71" s="14">
        <f t="shared" si="95"/>
        <v>57.977674732195801</v>
      </c>
      <c r="CW71" s="22">
        <f t="shared" si="67"/>
        <v>515.24103765857433</v>
      </c>
      <c r="CX71" s="62">
        <f t="shared" si="68"/>
        <v>808.5743709919077</v>
      </c>
      <c r="CY71" s="62">
        <f ca="1">AVERAGE(OFFSET($CX$3,0,0,'Données projet'!$E$13+1,1))-AVERAGE(OFFSET($H$3,0,0,'Données projet'!$E$13+1,1))</f>
        <v>338.72479490324491</v>
      </c>
      <c r="CZ71" s="62">
        <f t="shared" si="96"/>
        <v>248.47107558211923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235.19999999999993</v>
      </c>
      <c r="O72" s="14">
        <f>N72*VLOOKUP('Données projet'!$B$9,Paramètres!$A$1:$I$89,3,0)*VLOOKUP('Données projet'!$B$9,Paramètres!$A$1:$I$89,5,0)</f>
        <v>212.8089599999999</v>
      </c>
      <c r="P72" s="14">
        <f t="shared" si="87"/>
        <v>52.548938637485847</v>
      </c>
      <c r="Q72" s="22">
        <f t="shared" si="54"/>
        <v>462.16500679362093</v>
      </c>
      <c r="R72" s="62">
        <f t="shared" si="55"/>
        <v>755.49834012695419</v>
      </c>
      <c r="S72" s="62">
        <f ca="1">AVERAGE(OFFSET($R$3,0,0,'Données projet'!$E$9+1,1))-AVERAGE(OFFSET($H$3,0,0,'Données projet'!$E$9+1,1))</f>
        <v>430.11660085503223</v>
      </c>
      <c r="T72" s="62">
        <f t="shared" si="88"/>
        <v>231.36959598460686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235.19999999999993</v>
      </c>
      <c r="AJ72" s="14">
        <f>AI72*VLOOKUP('Données projet'!$B$10,Paramètres!$A$1:$I$89,3,0)*VLOOKUP('Données projet'!$B$10,Paramètres!$A$1:$I$89,5,0)</f>
        <v>227.48543999999993</v>
      </c>
      <c r="AK72" s="14">
        <f t="shared" si="89"/>
        <v>55.738627496252377</v>
      </c>
      <c r="AL72" s="22">
        <f t="shared" si="58"/>
        <v>493.28191755597277</v>
      </c>
      <c r="AM72" s="62">
        <f t="shared" si="59"/>
        <v>786.61525088930603</v>
      </c>
      <c r="AN72" s="62">
        <f ca="1">AVERAGE(OFFSET($AM$3,0,0,'Données projet'!$E$10+1,1))-AVERAGE(OFFSET($H$3,0,0,'Données projet'!$E$10+1,1))</f>
        <v>456.86147223520601</v>
      </c>
      <c r="AO72" s="62">
        <f t="shared" si="90"/>
        <v>244.45149244446094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-1.1368683772161603E-13</v>
      </c>
      <c r="BE72" s="14">
        <f>BD72*VLOOKUP('Données projet'!$B$11,Paramètres!$A$1:$I$89,3,0)*VLOOKUP('Données projet'!$B$11,Paramètres!$A$1:$I$89,5,0)</f>
        <v>-6.7984728957526396E-14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215.43756133069593</v>
      </c>
      <c r="BJ72" s="62">
        <f t="shared" si="92"/>
        <v>363.02009369315243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51.078475660831209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8.4871585479879344E-3</v>
      </c>
      <c r="BS72" s="24">
        <f t="shared" si="63"/>
        <v>51.086962819379195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13</v>
      </c>
      <c r="BY72" s="13">
        <f>IF('Données projet'!$A$114&gt;35,BY71+BX72-CG71,IF(A72&lt;'Données projet'!$A$114,$BV$205^A72,IF(A72='Données projet'!$A$114,'Données projet'!$B$114,BY71+BX72-CG71)))</f>
        <v>853.99999999999955</v>
      </c>
      <c r="BZ72" s="14">
        <f>BY72*VLOOKUP('Données projet'!$B$12,Paramètres!$A$1:$I$89,3,0)*VLOOKUP('Données projet'!$B$12,Paramètres!$A$1:$I$89,5,0)</f>
        <v>377.46799999999979</v>
      </c>
      <c r="CA72" s="14">
        <f t="shared" si="93"/>
        <v>87.193348568967664</v>
      </c>
      <c r="CB72" s="22">
        <f t="shared" si="64"/>
        <v>809.28518209095171</v>
      </c>
      <c r="CC72" s="62">
        <f t="shared" si="65"/>
        <v>1102.6185154242851</v>
      </c>
      <c r="CD72" s="62">
        <f ca="1">AVERAGE(OFFSET($CC$3,0,0,'Données projet'!$E$12+1,1))-AVERAGE(OFFSET($H$3,0,0,'Données projet'!$E$12+1,1))</f>
        <v>461.75392711528474</v>
      </c>
      <c r="CE72" s="62">
        <f t="shared" si="94"/>
        <v>441.67157957428236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16.375</v>
      </c>
      <c r="CT72" s="13">
        <f>IF('Données projet'!$A$140&gt;35,CT71+CS72-DB71,IF(A72&lt;'Données projet'!$A$140,$CQ$205^A72,IF(A72='Données projet'!$A$140,'Données projet'!$B$140,CT71+CS72-DB71)))</f>
        <v>414.125</v>
      </c>
      <c r="CU72" s="18">
        <f>CT72*VLOOKUP('Données projet'!$B$13,Paramètres!$A$1:$I$89,3,0)*VLOOKUP('Données projet'!$B$13,Paramètres!$A$1:$I$89,5,0)</f>
        <v>247.64675</v>
      </c>
      <c r="CV72" s="14">
        <f t="shared" si="95"/>
        <v>60.081750748907808</v>
      </c>
      <c r="CW72" s="22">
        <f t="shared" si="67"/>
        <v>535.96047213768099</v>
      </c>
      <c r="CX72" s="62">
        <f t="shared" si="68"/>
        <v>829.29380547101437</v>
      </c>
      <c r="CY72" s="62">
        <f ca="1">AVERAGE(OFFSET($CX$3,0,0,'Données projet'!$E$13+1,1))-AVERAGE(OFFSET($H$3,0,0,'Données projet'!$E$13+1,1))</f>
        <v>338.72479490324491</v>
      </c>
      <c r="CZ72" s="62">
        <f t="shared" si="96"/>
        <v>248.47107558211923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241.99999999999994</v>
      </c>
      <c r="O73" s="14">
        <f>N73*VLOOKUP('Données projet'!$B$9,Paramètres!$A$1:$I$89,3,0)*VLOOKUP('Données projet'!$B$9,Paramètres!$A$1:$I$89,5,0)</f>
        <v>218.96159999999995</v>
      </c>
      <c r="P73" s="14">
        <f t="shared" si="87"/>
        <v>53.88913250370743</v>
      </c>
      <c r="Q73" s="22">
        <f t="shared" si="54"/>
        <v>475.21502577729035</v>
      </c>
      <c r="R73" s="62">
        <f t="shared" si="55"/>
        <v>768.54835911062366</v>
      </c>
      <c r="S73" s="62">
        <f ca="1">AVERAGE(OFFSET($R$3,0,0,'Données projet'!$E$9+1,1))-AVERAGE(OFFSET($H$3,0,0,'Données projet'!$E$9+1,1))</f>
        <v>430.11660085503223</v>
      </c>
      <c r="T73" s="62">
        <f t="shared" si="88"/>
        <v>231.36959598460686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241.99999999999994</v>
      </c>
      <c r="AJ73" s="14">
        <f>AI73*VLOOKUP('Données projet'!$B$10,Paramètres!$A$1:$I$89,3,0)*VLOOKUP('Données projet'!$B$10,Paramètres!$A$1:$I$89,5,0)</f>
        <v>234.06239999999994</v>
      </c>
      <c r="AK73" s="14">
        <f t="shared" si="89"/>
        <v>57.16017032126387</v>
      </c>
      <c r="AL73" s="22">
        <f t="shared" si="58"/>
        <v>507.21264330953437</v>
      </c>
      <c r="AM73" s="62">
        <f t="shared" si="59"/>
        <v>800.54597664286769</v>
      </c>
      <c r="AN73" s="62">
        <f ca="1">AVERAGE(OFFSET($AM$3,0,0,'Données projet'!$E$10+1,1))-AVERAGE(OFFSET($H$3,0,0,'Données projet'!$E$10+1,1))</f>
        <v>456.86147223520601</v>
      </c>
      <c r="AO73" s="62">
        <f t="shared" si="90"/>
        <v>244.45149244446094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-1.1368683772161603E-13</v>
      </c>
      <c r="BE73" s="14">
        <f>BD73*VLOOKUP('Données projet'!$B$11,Paramètres!$A$1:$I$89,3,0)*VLOOKUP('Données projet'!$B$11,Paramètres!$A$1:$I$89,5,0)</f>
        <v>-6.7984728957526396E-14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215.43756133069593</v>
      </c>
      <c r="BJ73" s="62">
        <f t="shared" si="92"/>
        <v>363.02009369315243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50.076857907916185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6.0013273622876407E-3</v>
      </c>
      <c r="BS73" s="24">
        <f t="shared" si="63"/>
        <v>50.08285923527847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13</v>
      </c>
      <c r="BY73" s="13">
        <f>IF('Données projet'!$A$114&gt;35,BY72+BX73-CG72,IF(A73&lt;'Données projet'!$A$114,$BV$205^A73,IF(A73='Données projet'!$A$114,'Données projet'!$B$114,BY72+BX73-CG72)))</f>
        <v>866.99999999999955</v>
      </c>
      <c r="BZ73" s="14">
        <f>BY73*VLOOKUP('Données projet'!$B$12,Paramètres!$A$1:$I$89,3,0)*VLOOKUP('Données projet'!$B$12,Paramètres!$A$1:$I$89,5,0)</f>
        <v>383.21399999999983</v>
      </c>
      <c r="CA73" s="14">
        <f t="shared" si="93"/>
        <v>88.365116954403561</v>
      </c>
      <c r="CB73" s="22">
        <f t="shared" si="64"/>
        <v>821.33362869558584</v>
      </c>
      <c r="CC73" s="62">
        <f t="shared" si="65"/>
        <v>1114.6669620289192</v>
      </c>
      <c r="CD73" s="62">
        <f ca="1">AVERAGE(OFFSET($CC$3,0,0,'Données projet'!$E$12+1,1))-AVERAGE(OFFSET($H$3,0,0,'Données projet'!$E$12+1,1))</f>
        <v>461.75392711528474</v>
      </c>
      <c r="CE73" s="62">
        <f t="shared" si="94"/>
        <v>441.67157957428236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16.375</v>
      </c>
      <c r="CT73" s="13">
        <f>IF('Données projet'!$A$140&gt;35,CT72+CS73-DB72,IF(A73&lt;'Données projet'!$A$140,$CQ$205^A73,IF(A73='Données projet'!$A$140,'Données projet'!$B$140,CT72+CS73-DB72)))</f>
        <v>430.5</v>
      </c>
      <c r="CU73" s="18">
        <f>CT73*VLOOKUP('Données projet'!$B$13,Paramètres!$A$1:$I$89,3,0)*VLOOKUP('Données projet'!$B$13,Paramètres!$A$1:$I$89,5,0)</f>
        <v>257.43900000000002</v>
      </c>
      <c r="CV73" s="14">
        <f t="shared" si="95"/>
        <v>62.176162146310126</v>
      </c>
      <c r="CW73" s="22">
        <f t="shared" si="67"/>
        <v>556.66307407149009</v>
      </c>
      <c r="CX73" s="62">
        <f t="shared" si="68"/>
        <v>849.99640740482346</v>
      </c>
      <c r="CY73" s="62">
        <f ca="1">AVERAGE(OFFSET($CX$3,0,0,'Données projet'!$E$13+1,1))-AVERAGE(OFFSET($H$3,0,0,'Données projet'!$E$13+1,1))</f>
        <v>338.72479490324491</v>
      </c>
      <c r="CZ73" s="62">
        <f t="shared" si="96"/>
        <v>248.47107558211923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248.19999999999993</v>
      </c>
      <c r="O74" s="14">
        <f>N74*VLOOKUP('Données projet'!$B$9,Paramètres!$A$1:$I$89,3,0)*VLOOKUP('Données projet'!$B$9,Paramètres!$A$1:$I$89,5,0)</f>
        <v>224.57135999999994</v>
      </c>
      <c r="P74" s="14">
        <f t="shared" si="87"/>
        <v>55.107255873104265</v>
      </c>
      <c r="Q74" s="22">
        <f t="shared" si="54"/>
        <v>487.10692264565643</v>
      </c>
      <c r="R74" s="62">
        <f t="shared" si="55"/>
        <v>780.44025597898974</v>
      </c>
      <c r="S74" s="62">
        <f ca="1">AVERAGE(OFFSET($R$3,0,0,'Données projet'!$E$9+1,1))-AVERAGE(OFFSET($H$3,0,0,'Données projet'!$E$9+1,1))</f>
        <v>430.11660085503223</v>
      </c>
      <c r="T74" s="62">
        <f t="shared" si="88"/>
        <v>231.36959598460686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248.19999999999993</v>
      </c>
      <c r="AJ74" s="14">
        <f>AI74*VLOOKUP('Données projet'!$B$10,Paramètres!$A$1:$I$89,3,0)*VLOOKUP('Données projet'!$B$10,Paramètres!$A$1:$I$89,5,0)</f>
        <v>240.05903999999995</v>
      </c>
      <c r="AK74" s="14">
        <f t="shared" si="89"/>
        <v>58.452233043970431</v>
      </c>
      <c r="AL74" s="22">
        <f t="shared" si="58"/>
        <v>519.90713388491497</v>
      </c>
      <c r="AM74" s="62">
        <f t="shared" si="59"/>
        <v>813.24046721824834</v>
      </c>
      <c r="AN74" s="62">
        <f ca="1">AVERAGE(OFFSET($AM$3,0,0,'Données projet'!$E$10+1,1))-AVERAGE(OFFSET($H$3,0,0,'Données projet'!$E$10+1,1))</f>
        <v>456.86147223520601</v>
      </c>
      <c r="AO74" s="62">
        <f t="shared" si="90"/>
        <v>244.45149244446094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-1.1368683772161603E-13</v>
      </c>
      <c r="BE74" s="14">
        <f>BD74*VLOOKUP('Données projet'!$B$11,Paramètres!$A$1:$I$89,3,0)*VLOOKUP('Données projet'!$B$11,Paramètres!$A$1:$I$89,5,0)</f>
        <v>-6.7984728957526396E-14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215.43756133069593</v>
      </c>
      <c r="BJ74" s="62">
        <f t="shared" si="92"/>
        <v>363.02009369315243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49.094881268209313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4.2435792739939672E-3</v>
      </c>
      <c r="BS74" s="24">
        <f t="shared" si="63"/>
        <v>49.09912484748331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>
        <f>VLOOKUP(A74,'Données projet'!$A$113:$I$133,2,0)</f>
        <v>880</v>
      </c>
      <c r="BW74" s="13">
        <f>VLOOKUP(A74,'Données projet'!$A$113:$I$133,9,0)</f>
        <v>13</v>
      </c>
      <c r="BX74" s="13">
        <f t="array" ref="BX74">INDEX(BW:BW,MIN(IF(ISNUMBER(BW74:BW270),ROW(BW74:BW270),"")))</f>
        <v>13</v>
      </c>
      <c r="BY74" s="13">
        <f>IF('Données projet'!$A$114&gt;35,BY73+BX74-CG73,IF(A74&lt;'Données projet'!$A$114,$BV$205^A74,IF(A74='Données projet'!$A$114,'Données projet'!$B$114,BY73+BX74-CG73)))</f>
        <v>879.99999999999955</v>
      </c>
      <c r="BZ74" s="14">
        <f>BY74*VLOOKUP('Données projet'!$B$12,Paramètres!$A$1:$I$89,3,0)*VLOOKUP('Données projet'!$B$12,Paramètres!$A$1:$I$89,5,0)</f>
        <v>388.95999999999987</v>
      </c>
      <c r="CA74" s="14">
        <f t="shared" si="93"/>
        <v>89.534841921530443</v>
      </c>
      <c r="CB74" s="22">
        <f t="shared" si="64"/>
        <v>833.37851634666515</v>
      </c>
      <c r="CC74" s="62">
        <f t="shared" si="65"/>
        <v>1126.7118496799985</v>
      </c>
      <c r="CD74" s="62">
        <f ca="1">AVERAGE(OFFSET($CC$3,0,0,'Données projet'!$E$12+1,1))-AVERAGE(OFFSET($H$3,0,0,'Données projet'!$E$12+1,1))</f>
        <v>461.75392711528474</v>
      </c>
      <c r="CE74" s="62">
        <f t="shared" si="94"/>
        <v>441.67157957428236</v>
      </c>
      <c r="CF74" s="16">
        <f>IF(ISNA(VLOOKUP(A74,'Données projet'!$A$113:$I$133,3,0)),0,VLOOKUP(A74,'Données projet'!$A$113:$I$133,3,0))</f>
        <v>6</v>
      </c>
      <c r="CG74" s="16">
        <f>IF(ISNA(VLOOKUP(A74,'Données projet'!$A$113:$I$133,4,0)),0,VLOOKUP(A74,'Données projet'!$A$113:$I$133,4,0))</f>
        <v>67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16.375</v>
      </c>
      <c r="CT74" s="13">
        <f>IF('Données projet'!$A$140&gt;35,CT73+CS74-DB73,IF(A74&lt;'Données projet'!$A$140,$CQ$205^A74,IF(A74='Données projet'!$A$140,'Données projet'!$B$140,CT73+CS74-DB73)))</f>
        <v>446.875</v>
      </c>
      <c r="CU74" s="18">
        <f>CT74*VLOOKUP('Données projet'!$B$13,Paramètres!$A$1:$I$89,3,0)*VLOOKUP('Données projet'!$B$13,Paramètres!$A$1:$I$89,5,0)</f>
        <v>267.23124999999999</v>
      </c>
      <c r="CV74" s="14">
        <f t="shared" si="95"/>
        <v>64.261318623417381</v>
      </c>
      <c r="CW74" s="22">
        <f t="shared" si="67"/>
        <v>577.34955701911861</v>
      </c>
      <c r="CX74" s="62">
        <f t="shared" si="68"/>
        <v>870.68289035245198</v>
      </c>
      <c r="CY74" s="62">
        <f ca="1">AVERAGE(OFFSET($CX$3,0,0,'Données projet'!$E$13+1,1))-AVERAGE(OFFSET($H$3,0,0,'Données projet'!$E$13+1,1))</f>
        <v>338.72479490324491</v>
      </c>
      <c r="CZ74" s="62">
        <f t="shared" si="96"/>
        <v>248.47107558211923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254.39999999999992</v>
      </c>
      <c r="O75" s="14">
        <f>N75*VLOOKUP('Données projet'!$B$9,Paramètres!$A$1:$I$89,3,0)*VLOOKUP('Données projet'!$B$9,Paramètres!$A$1:$I$89,5,0)</f>
        <v>230.18111999999991</v>
      </c>
      <c r="P75" s="14">
        <f t="shared" si="87"/>
        <v>56.321842115392933</v>
      </c>
      <c r="Q75" s="22">
        <f t="shared" si="54"/>
        <v>498.99265901764255</v>
      </c>
      <c r="R75" s="62">
        <f t="shared" si="55"/>
        <v>792.32599235097587</v>
      </c>
      <c r="S75" s="62">
        <f ca="1">AVERAGE(OFFSET($R$3,0,0,'Données projet'!$E$9+1,1))-AVERAGE(OFFSET($H$3,0,0,'Données projet'!$E$9+1,1))</f>
        <v>430.11660085503223</v>
      </c>
      <c r="T75" s="62">
        <f t="shared" si="88"/>
        <v>231.36959598460686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254.39999999999992</v>
      </c>
      <c r="AJ75" s="14">
        <f>AI75*VLOOKUP('Données projet'!$B$10,Paramètres!$A$1:$I$89,3,0)*VLOOKUP('Données projet'!$B$10,Paramètres!$A$1:$I$89,5,0)</f>
        <v>246.05567999999994</v>
      </c>
      <c r="AK75" s="14">
        <f t="shared" si="89"/>
        <v>59.740543938088187</v>
      </c>
      <c r="AL75" s="22">
        <f t="shared" si="58"/>
        <v>532.59509002550351</v>
      </c>
      <c r="AM75" s="62">
        <f t="shared" si="59"/>
        <v>825.92842335883688</v>
      </c>
      <c r="AN75" s="62">
        <f ca="1">AVERAGE(OFFSET($AM$3,0,0,'Données projet'!$E$10+1,1))-AVERAGE(OFFSET($H$3,0,0,'Données projet'!$E$10+1,1))</f>
        <v>456.86147223520601</v>
      </c>
      <c r="AO75" s="62">
        <f t="shared" si="90"/>
        <v>244.45149244446094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-1.1368683772161603E-13</v>
      </c>
      <c r="BE75" s="14">
        <f>BD75*VLOOKUP('Données projet'!$B$11,Paramètres!$A$1:$I$89,3,0)*VLOOKUP('Données projet'!$B$11,Paramètres!$A$1:$I$89,5,0)</f>
        <v>-6.7984728957526396E-14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215.43756133069593</v>
      </c>
      <c r="BJ75" s="62">
        <f t="shared" si="92"/>
        <v>363.02009369315243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48.13216059146049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3.0006636811438204E-3</v>
      </c>
      <c r="BS75" s="24">
        <f t="shared" si="63"/>
        <v>48.135161255141632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10.8</v>
      </c>
      <c r="BY75" s="13">
        <f>IF('Données projet'!$A$114&gt;35,BY74+BX75-CG74,IF(A75&lt;'Données projet'!$A$114,$BV$205^A75,IF(A75='Données projet'!$A$114,'Données projet'!$B$114,BY74+BX75-CG74)))</f>
        <v>823.7999999999995</v>
      </c>
      <c r="BZ75" s="14">
        <f>BY75*VLOOKUP('Données projet'!$B$12,Paramètres!$A$1:$I$89,3,0)*VLOOKUP('Données projet'!$B$12,Paramètres!$A$1:$I$89,5,0)</f>
        <v>364.11959999999982</v>
      </c>
      <c r="CA75" s="14">
        <f t="shared" si="93"/>
        <v>84.46315767774729</v>
      </c>
      <c r="CB75" s="22">
        <f t="shared" si="64"/>
        <v>781.28163628874279</v>
      </c>
      <c r="CC75" s="62">
        <f t="shared" si="65"/>
        <v>1074.6149696220762</v>
      </c>
      <c r="CD75" s="62">
        <f ca="1">AVERAGE(OFFSET($CC$3,0,0,'Données projet'!$E$12+1,1))-AVERAGE(OFFSET($H$3,0,0,'Données projet'!$E$12+1,1))</f>
        <v>461.75392711528474</v>
      </c>
      <c r="CE75" s="62">
        <f t="shared" si="94"/>
        <v>441.67157957428236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16.375</v>
      </c>
      <c r="CT75" s="13">
        <f>IF('Données projet'!$A$140&gt;35,CT74+CS75-DB74,IF(A75&lt;'Données projet'!$A$140,$CQ$205^A75,IF(A75='Données projet'!$A$140,'Données projet'!$B$140,CT74+CS75-DB74)))</f>
        <v>463.25</v>
      </c>
      <c r="CU75" s="18">
        <f>CT75*VLOOKUP('Données projet'!$B$13,Paramètres!$A$1:$I$89,3,0)*VLOOKUP('Données projet'!$B$13,Paramètres!$A$1:$I$89,5,0)</f>
        <v>277.02350000000001</v>
      </c>
      <c r="CV75" s="14">
        <f t="shared" si="95"/>
        <v>66.337598152265258</v>
      </c>
      <c r="CW75" s="22">
        <f t="shared" si="67"/>
        <v>598.02057928186207</v>
      </c>
      <c r="CX75" s="62">
        <f t="shared" si="68"/>
        <v>891.35391261519544</v>
      </c>
      <c r="CY75" s="62">
        <f ca="1">AVERAGE(OFFSET($CX$3,0,0,'Données projet'!$E$13+1,1))-AVERAGE(OFFSET($H$3,0,0,'Données projet'!$E$13+1,1))</f>
        <v>338.72479490324491</v>
      </c>
      <c r="CZ75" s="62">
        <f t="shared" si="96"/>
        <v>248.47107558211923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260.59999999999991</v>
      </c>
      <c r="O76" s="14">
        <f>N76*VLOOKUP('Données projet'!$B$9,Paramètres!$A$1:$I$89,3,0)*VLOOKUP('Données projet'!$B$9,Paramètres!$A$1:$I$89,5,0)</f>
        <v>235.7908799999999</v>
      </c>
      <c r="P76" s="14">
        <f t="shared" si="87"/>
        <v>57.532987351107714</v>
      </c>
      <c r="Q76" s="22">
        <f t="shared" si="54"/>
        <v>510.87240230317911</v>
      </c>
      <c r="R76" s="62">
        <f t="shared" si="55"/>
        <v>804.20573563651237</v>
      </c>
      <c r="S76" s="62">
        <f ca="1">AVERAGE(OFFSET($R$3,0,0,'Données projet'!$E$9+1,1))-AVERAGE(OFFSET($H$3,0,0,'Données projet'!$E$9+1,1))</f>
        <v>430.11660085503223</v>
      </c>
      <c r="T76" s="62">
        <f t="shared" si="88"/>
        <v>231.36959598460686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260.59999999999991</v>
      </c>
      <c r="AJ76" s="14">
        <f>AI76*VLOOKUP('Données projet'!$B$10,Paramètres!$A$1:$I$89,3,0)*VLOOKUP('Données projet'!$B$10,Paramètres!$A$1:$I$89,5,0)</f>
        <v>252.05231999999992</v>
      </c>
      <c r="AK76" s="14">
        <f t="shared" si="89"/>
        <v>61.025204958609983</v>
      </c>
      <c r="AL76" s="22">
        <f t="shared" si="58"/>
        <v>545.27668930291225</v>
      </c>
      <c r="AM76" s="62">
        <f t="shared" si="59"/>
        <v>838.6100226362455</v>
      </c>
      <c r="AN76" s="62">
        <f ca="1">AVERAGE(OFFSET($AM$3,0,0,'Données projet'!$E$10+1,1))-AVERAGE(OFFSET($H$3,0,0,'Données projet'!$E$10+1,1))</f>
        <v>456.86147223520601</v>
      </c>
      <c r="AO76" s="62">
        <f t="shared" si="90"/>
        <v>244.45149244446094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-1.1368683772161603E-13</v>
      </c>
      <c r="BE76" s="14">
        <f>BD76*VLOOKUP('Données projet'!$B$11,Paramètres!$A$1:$I$89,3,0)*VLOOKUP('Données projet'!$B$11,Paramètres!$A$1:$I$89,5,0)</f>
        <v>-6.7984728957526396E-14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215.43756133069593</v>
      </c>
      <c r="BJ76" s="62">
        <f t="shared" si="92"/>
        <v>363.02009369315243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47.188318279981075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2.1217896369969836E-3</v>
      </c>
      <c r="BS76" s="24">
        <f t="shared" si="63"/>
        <v>47.19044006961807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10.8</v>
      </c>
      <c r="BY76" s="13">
        <f>IF('Données projet'!$A$114&gt;35,BY75+BX76-CG75,IF(A76&lt;'Données projet'!$A$114,$BV$205^A76,IF(A76='Données projet'!$A$114,'Données projet'!$B$114,BY75+BX76-CG75)))</f>
        <v>834.59999999999945</v>
      </c>
      <c r="BZ76" s="14">
        <f>BY76*VLOOKUP('Données projet'!$B$12,Paramètres!$A$1:$I$89,3,0)*VLOOKUP('Données projet'!$B$12,Paramètres!$A$1:$I$89,5,0)</f>
        <v>368.89319999999981</v>
      </c>
      <c r="CA76" s="14">
        <f t="shared" si="93"/>
        <v>85.440834010164281</v>
      </c>
      <c r="CB76" s="22">
        <f t="shared" si="64"/>
        <v>791.29844256770241</v>
      </c>
      <c r="CC76" s="62">
        <f t="shared" si="65"/>
        <v>1084.6317759010358</v>
      </c>
      <c r="CD76" s="62">
        <f ca="1">AVERAGE(OFFSET($CC$3,0,0,'Données projet'!$E$12+1,1))-AVERAGE(OFFSET($H$3,0,0,'Données projet'!$E$12+1,1))</f>
        <v>461.75392711528474</v>
      </c>
      <c r="CE76" s="62">
        <f t="shared" si="94"/>
        <v>441.67157957428236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16.375</v>
      </c>
      <c r="CT76" s="13">
        <f>IF('Données projet'!$A$140&gt;35,CT75+CS76-DB75,IF(A76&lt;'Données projet'!$A$140,$CQ$205^A76,IF(A76='Données projet'!$A$140,'Données projet'!$B$140,CT75+CS76-DB75)))</f>
        <v>479.625</v>
      </c>
      <c r="CU76" s="18">
        <f>CT76*VLOOKUP('Données projet'!$B$13,Paramètres!$A$1:$I$89,3,0)*VLOOKUP('Données projet'!$B$13,Paramètres!$A$1:$I$89,5,0)</f>
        <v>286.81574999999998</v>
      </c>
      <c r="CV76" s="14">
        <f t="shared" si="95"/>
        <v>68.405350468715739</v>
      </c>
      <c r="CW76" s="22">
        <f t="shared" si="67"/>
        <v>618.67674998301311</v>
      </c>
      <c r="CX76" s="62">
        <f t="shared" si="68"/>
        <v>912.01008331634648</v>
      </c>
      <c r="CY76" s="62">
        <f ca="1">AVERAGE(OFFSET($CX$3,0,0,'Données projet'!$E$13+1,1))-AVERAGE(OFFSET($H$3,0,0,'Données projet'!$E$13+1,1))</f>
        <v>338.72479490324491</v>
      </c>
      <c r="CZ76" s="62">
        <f t="shared" si="96"/>
        <v>248.47107558211923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266.7999999999999</v>
      </c>
      <c r="O77" s="14">
        <f>N77*VLOOKUP('Données projet'!$B$9,Paramètres!$A$1:$I$89,3,0)*VLOOKUP('Données projet'!$B$9,Paramètres!$A$1:$I$89,5,0)</f>
        <v>241.40063999999992</v>
      </c>
      <c r="P77" s="14">
        <f t="shared" si="87"/>
        <v>58.740782866262698</v>
      </c>
      <c r="Q77" s="22">
        <f t="shared" si="54"/>
        <v>522.74631149207403</v>
      </c>
      <c r="R77" s="62">
        <f t="shared" si="55"/>
        <v>816.07964482540729</v>
      </c>
      <c r="S77" s="62">
        <f ca="1">AVERAGE(OFFSET($R$3,0,0,'Données projet'!$E$9+1,1))-AVERAGE(OFFSET($H$3,0,0,'Données projet'!$E$9+1,1))</f>
        <v>430.11660085503223</v>
      </c>
      <c r="T77" s="62">
        <f t="shared" si="88"/>
        <v>231.36959598460686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266.7999999999999</v>
      </c>
      <c r="AJ77" s="14">
        <f>AI77*VLOOKUP('Données projet'!$B$10,Paramètres!$A$1:$I$89,3,0)*VLOOKUP('Données projet'!$B$10,Paramètres!$A$1:$I$89,5,0)</f>
        <v>258.04895999999991</v>
      </c>
      <c r="AK77" s="14">
        <f t="shared" si="89"/>
        <v>62.306312932555763</v>
      </c>
      <c r="AL77" s="22">
        <f t="shared" si="58"/>
        <v>557.95210035753439</v>
      </c>
      <c r="AM77" s="62">
        <f t="shared" si="59"/>
        <v>851.28543369086765</v>
      </c>
      <c r="AN77" s="62">
        <f ca="1">AVERAGE(OFFSET($AM$3,0,0,'Données projet'!$E$10+1,1))-AVERAGE(OFFSET($H$3,0,0,'Données projet'!$E$10+1,1))</f>
        <v>456.86147223520601</v>
      </c>
      <c r="AO77" s="62">
        <f t="shared" si="90"/>
        <v>244.45149244446094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-1.1368683772161603E-13</v>
      </c>
      <c r="BE77" s="14">
        <f>BD77*VLOOKUP('Données projet'!$B$11,Paramètres!$A$1:$I$89,3,0)*VLOOKUP('Données projet'!$B$11,Paramètres!$A$1:$I$89,5,0)</f>
        <v>-6.7984728957526396E-14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215.43756133069593</v>
      </c>
      <c r="BJ77" s="62">
        <f t="shared" si="92"/>
        <v>363.02009369315243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46.262984140542805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1.5003318405719102E-3</v>
      </c>
      <c r="BS77" s="24">
        <f t="shared" si="63"/>
        <v>46.26448447238338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10.8</v>
      </c>
      <c r="BY77" s="13">
        <f>IF('Données projet'!$A$114&gt;35,BY76+BX77-CG76,IF(A77&lt;'Données projet'!$A$114,$BV$205^A77,IF(A77='Données projet'!$A$114,'Données projet'!$B$114,BY76+BX77-CG76)))</f>
        <v>845.39999999999941</v>
      </c>
      <c r="BZ77" s="14">
        <f>BY77*VLOOKUP('Données projet'!$B$12,Paramètres!$A$1:$I$89,3,0)*VLOOKUP('Données projet'!$B$12,Paramètres!$A$1:$I$89,5,0)</f>
        <v>373.66679999999974</v>
      </c>
      <c r="CA77" s="14">
        <f t="shared" si="93"/>
        <v>86.417038778304615</v>
      </c>
      <c r="CB77" s="22">
        <f t="shared" si="64"/>
        <v>801.31268587221336</v>
      </c>
      <c r="CC77" s="62">
        <f t="shared" si="65"/>
        <v>1094.6460192055467</v>
      </c>
      <c r="CD77" s="62">
        <f ca="1">AVERAGE(OFFSET($CC$3,0,0,'Données projet'!$E$12+1,1))-AVERAGE(OFFSET($H$3,0,0,'Données projet'!$E$12+1,1))</f>
        <v>461.75392711528474</v>
      </c>
      <c r="CE77" s="62">
        <f t="shared" si="94"/>
        <v>441.67157957428236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>
        <f>VLOOKUP(A77,'Données projet'!$A$139:$I$159,2,0)</f>
        <v>496</v>
      </c>
      <c r="CR77" s="13">
        <f>VLOOKUP(A77,'Données projet'!$A$139:$I$159,9,0)</f>
        <v>16.375</v>
      </c>
      <c r="CS77" s="13">
        <f t="array" ref="CS77">INDEX(CR:CR,MIN(IF(ISNUMBER(CR77:CR273),ROW(CR77:CR273),"")))</f>
        <v>16.375</v>
      </c>
      <c r="CT77" s="13">
        <f>IF('Données projet'!$A$140&gt;35,CT76+CS77-DB76,IF(A77&lt;'Données projet'!$A$140,$CQ$205^A77,IF(A77='Données projet'!$A$140,'Données projet'!$B$140,CT76+CS77-DB76)))</f>
        <v>496</v>
      </c>
      <c r="CU77" s="18">
        <f>CT77*VLOOKUP('Données projet'!$B$13,Paramètres!$A$1:$I$89,3,0)*VLOOKUP('Données projet'!$B$13,Paramètres!$A$1:$I$89,5,0)</f>
        <v>296.608</v>
      </c>
      <c r="CV77" s="14">
        <f t="shared" si="95"/>
        <v>70.464900073149394</v>
      </c>
      <c r="CW77" s="22">
        <f t="shared" si="67"/>
        <v>639.31863429406849</v>
      </c>
      <c r="CX77" s="62">
        <f t="shared" si="68"/>
        <v>932.65196762740175</v>
      </c>
      <c r="CY77" s="62">
        <f ca="1">AVERAGE(OFFSET($CX$3,0,0,'Données projet'!$E$13+1,1))-AVERAGE(OFFSET($H$3,0,0,'Données projet'!$E$13+1,1))</f>
        <v>338.72479490324491</v>
      </c>
      <c r="CZ77" s="62">
        <f t="shared" si="96"/>
        <v>248.47107558211923</v>
      </c>
      <c r="DA77" s="16">
        <f>IF(ISNA(VLOOKUP(A77,'Données projet'!$A$139:$I$159,3,0)),0,VLOOKUP(A77,'Données projet'!$A$139:$I$159,3,0))</f>
        <v>6</v>
      </c>
      <c r="DB77" s="16">
        <f>IF(ISNA(VLOOKUP(A77,'Données projet'!$A$139:$I$159,4,0)),0,VLOOKUP(A77,'Données projet'!$A$139:$I$159,4,0))</f>
        <v>37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273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272.99999999999989</v>
      </c>
      <c r="O78" s="14">
        <f>N78*VLOOKUP('Données projet'!$B$9,Paramètres!$A$1:$I$89,3,0)*VLOOKUP('Données projet'!$B$9,Paramètres!$A$1:$I$89,5,0)</f>
        <v>247.01039999999989</v>
      </c>
      <c r="P78" s="14">
        <f t="shared" si="87"/>
        <v>59.945315462121812</v>
      </c>
      <c r="Q78" s="22">
        <f t="shared" si="54"/>
        <v>534.61453776319524</v>
      </c>
      <c r="R78" s="62">
        <f t="shared" si="55"/>
        <v>827.94787109652862</v>
      </c>
      <c r="S78" s="62">
        <f ca="1">AVERAGE(OFFSET($R$3,0,0,'Données projet'!$E$9+1,1))-AVERAGE(OFFSET($H$3,0,0,'Données projet'!$E$9+1,1))</f>
        <v>430.11660085503223</v>
      </c>
      <c r="T78" s="62">
        <f t="shared" si="88"/>
        <v>231.36959598460686</v>
      </c>
      <c r="U78" s="16">
        <f>IF(ISNA(VLOOKUP(A78,'Données projet'!$A$35:$I$55,3,0)),0,VLOOKUP(A78,'Données projet'!$A$35:$I$55,3,0))</f>
        <v>6</v>
      </c>
      <c r="V78" s="16">
        <f>IF(ISNA(VLOOKUP(A78,'Données projet'!$A$35:$I$55,4,0)),0,VLOOKUP(A78,'Données projet'!$A$35:$I$55,4,0))</f>
        <v>42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273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272.99999999999989</v>
      </c>
      <c r="AJ78" s="14">
        <f>AI78*VLOOKUP('Données projet'!$B$10,Paramètres!$A$1:$I$89,3,0)*VLOOKUP('Données projet'!$B$10,Paramètres!$A$1:$I$89,5,0)</f>
        <v>264.04559999999992</v>
      </c>
      <c r="AK78" s="14">
        <f t="shared" si="89"/>
        <v>63.58395992997368</v>
      </c>
      <c r="AL78" s="22">
        <f t="shared" si="58"/>
        <v>570.62148354470401</v>
      </c>
      <c r="AM78" s="62">
        <f t="shared" si="59"/>
        <v>863.95481687803726</v>
      </c>
      <c r="AN78" s="62">
        <f ca="1">AVERAGE(OFFSET($AM$3,0,0,'Données projet'!$E$10+1,1))-AVERAGE(OFFSET($H$3,0,0,'Données projet'!$E$10+1,1))</f>
        <v>456.86147223520601</v>
      </c>
      <c r="AO78" s="62">
        <f t="shared" si="90"/>
        <v>244.45149244446094</v>
      </c>
      <c r="AP78" s="16">
        <f>IF(ISNA(VLOOKUP(A78,'Données projet'!$A$61:$I$81,3,0)),0,VLOOKUP(A78,'Données projet'!$A$61:$I$81,3,0))</f>
        <v>6</v>
      </c>
      <c r="AQ78" s="16">
        <f>IF(ISNA(VLOOKUP(A78,'Données projet'!$A$61:$I$81,4,0)),0,VLOOKUP(A78,'Données projet'!$A$61:$I$81,4,0))</f>
        <v>42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-1.1368683772161603E-13</v>
      </c>
      <c r="BE78" s="14">
        <f>BD78*VLOOKUP('Données projet'!$B$11,Paramètres!$A$1:$I$89,3,0)*VLOOKUP('Données projet'!$B$11,Paramètres!$A$1:$I$89,5,0)</f>
        <v>-6.7984728957526396E-14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215.43756133069593</v>
      </c>
      <c r="BJ78" s="62">
        <f t="shared" si="92"/>
        <v>363.02009369315243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45.355795239180829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1.0608948184984918E-3</v>
      </c>
      <c r="BS78" s="24">
        <f t="shared" si="63"/>
        <v>45.356856133999329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10.8</v>
      </c>
      <c r="BY78" s="13">
        <f>IF('Données projet'!$A$114&gt;35,BY77+BX78-CG77,IF(A78&lt;'Données projet'!$A$114,$BV$205^A78,IF(A78='Données projet'!$A$114,'Données projet'!$B$114,BY77+BX78-CG77)))</f>
        <v>856.19999999999936</v>
      </c>
      <c r="BZ78" s="14">
        <f>BY78*VLOOKUP('Données projet'!$B$12,Paramètres!$A$1:$I$89,3,0)*VLOOKUP('Données projet'!$B$12,Paramètres!$A$1:$I$89,5,0)</f>
        <v>378.44039999999973</v>
      </c>
      <c r="CA78" s="14">
        <f t="shared" si="93"/>
        <v>87.391792955212864</v>
      </c>
      <c r="CB78" s="22">
        <f t="shared" si="64"/>
        <v>811.32440273032853</v>
      </c>
      <c r="CC78" s="62">
        <f t="shared" si="65"/>
        <v>1104.6577360636618</v>
      </c>
      <c r="CD78" s="62">
        <f ca="1">AVERAGE(OFFSET($CC$3,0,0,'Données projet'!$E$12+1,1))-AVERAGE(OFFSET($H$3,0,0,'Données projet'!$E$12+1,1))</f>
        <v>461.75392711528474</v>
      </c>
      <c r="CE78" s="62">
        <f t="shared" si="94"/>
        <v>441.67157957428236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10.25</v>
      </c>
      <c r="CT78" s="13">
        <f>IF('Données projet'!$A$140&gt;35,CT77+CS78-DB77,IF(A78&lt;'Données projet'!$A$140,$CQ$205^A78,IF(A78='Données projet'!$A$140,'Données projet'!$B$140,CT77+CS78-DB77)))</f>
        <v>469.25</v>
      </c>
      <c r="CU78" s="18">
        <f>CT78*VLOOKUP('Données projet'!$B$13,Paramètres!$A$1:$I$89,3,0)*VLOOKUP('Données projet'!$B$13,Paramètres!$A$1:$I$89,5,0)</f>
        <v>280.61150000000004</v>
      </c>
      <c r="CV78" s="14">
        <f t="shared" si="95"/>
        <v>67.096219997567374</v>
      </c>
      <c r="CW78" s="22">
        <f t="shared" si="67"/>
        <v>605.59094566242993</v>
      </c>
      <c r="CX78" s="62">
        <f t="shared" si="68"/>
        <v>898.92427899576319</v>
      </c>
      <c r="CY78" s="62">
        <f ca="1">AVERAGE(OFFSET($CX$3,0,0,'Données projet'!$E$13+1,1))-AVERAGE(OFFSET($H$3,0,0,'Données projet'!$E$13+1,1))</f>
        <v>338.72479490324491</v>
      </c>
      <c r="CZ78" s="62">
        <f t="shared" si="96"/>
        <v>248.47107558211923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236.99999999999989</v>
      </c>
      <c r="O79" s="14">
        <f>N79*VLOOKUP('Données projet'!$B$9,Paramètres!$A$1:$I$89,3,0)*VLOOKUP('Données projet'!$B$9,Paramètres!$A$1:$I$89,5,0)</f>
        <v>214.43759999999989</v>
      </c>
      <c r="P79" s="14">
        <f t="shared" si="87"/>
        <v>52.904129603372375</v>
      </c>
      <c r="Q79" s="22">
        <f t="shared" si="54"/>
        <v>465.62017905920658</v>
      </c>
      <c r="R79" s="62">
        <f t="shared" si="55"/>
        <v>758.95351239253989</v>
      </c>
      <c r="S79" s="62">
        <f ca="1">AVERAGE(OFFSET($R$3,0,0,'Données projet'!$E$9+1,1))-AVERAGE(OFFSET($H$3,0,0,'Données projet'!$E$9+1,1))</f>
        <v>430.11660085503223</v>
      </c>
      <c r="T79" s="62">
        <f t="shared" si="88"/>
        <v>231.36959598460686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236.99999999999989</v>
      </c>
      <c r="AJ79" s="14">
        <f>AI79*VLOOKUP('Données projet'!$B$10,Paramètres!$A$1:$I$89,3,0)*VLOOKUP('Données projet'!$B$10,Paramètres!$A$1:$I$89,5,0)</f>
        <v>229.22639999999993</v>
      </c>
      <c r="AK79" s="14">
        <f t="shared" si="89"/>
        <v>56.115378339388542</v>
      </c>
      <c r="AL79" s="22">
        <f t="shared" si="58"/>
        <v>496.97026394110162</v>
      </c>
      <c r="AM79" s="62">
        <f t="shared" si="59"/>
        <v>790.30359727443488</v>
      </c>
      <c r="AN79" s="62">
        <f ca="1">AVERAGE(OFFSET($AM$3,0,0,'Données projet'!$E$10+1,1))-AVERAGE(OFFSET($H$3,0,0,'Données projet'!$E$10+1,1))</f>
        <v>456.86147223520601</v>
      </c>
      <c r="AO79" s="62">
        <f t="shared" si="90"/>
        <v>244.45149244446094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-1.1368683772161603E-13</v>
      </c>
      <c r="BE79" s="14">
        <f>BD79*VLOOKUP('Données projet'!$B$11,Paramètres!$A$1:$I$89,3,0)*VLOOKUP('Données projet'!$B$11,Paramètres!$A$1:$I$89,5,0)</f>
        <v>-6.7984728957526396E-14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215.43756133069593</v>
      </c>
      <c r="BJ79" s="62">
        <f t="shared" si="92"/>
        <v>363.02009369315243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44.466395758843966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7.5016592028595509E-4</v>
      </c>
      <c r="BS79" s="24">
        <f t="shared" si="63"/>
        <v>44.467145924764253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>
        <f>VLOOKUP(A79,'Données projet'!$A$113:$I$133,2,0)</f>
        <v>867</v>
      </c>
      <c r="BW79" s="13">
        <f>VLOOKUP(A79,'Données projet'!$A$113:$I$133,9,0)</f>
        <v>10.8</v>
      </c>
      <c r="BX79" s="13">
        <f t="array" ref="BX79">INDEX(BW:BW,MIN(IF(ISNUMBER(BW79:BW275),ROW(BW79:BW275),"")))</f>
        <v>10.8</v>
      </c>
      <c r="BY79" s="13">
        <f>IF('Données projet'!$A$114&gt;35,BY78+BX79-CG78,IF(A79&lt;'Données projet'!$A$114,$BV$205^A79,IF(A79='Données projet'!$A$114,'Données projet'!$B$114,BY78+BX79-CG78)))</f>
        <v>866.99999999999932</v>
      </c>
      <c r="BZ79" s="14">
        <f>BY79*VLOOKUP('Données projet'!$B$12,Paramètres!$A$1:$I$89,3,0)*VLOOKUP('Données projet'!$B$12,Paramètres!$A$1:$I$89,5,0)</f>
        <v>383.21399999999977</v>
      </c>
      <c r="CA79" s="14">
        <f t="shared" si="93"/>
        <v>88.365116954403561</v>
      </c>
      <c r="CB79" s="22">
        <f t="shared" si="64"/>
        <v>821.33362869558584</v>
      </c>
      <c r="CC79" s="62">
        <f t="shared" si="65"/>
        <v>1114.6669620289192</v>
      </c>
      <c r="CD79" s="62">
        <f ca="1">AVERAGE(OFFSET($CC$3,0,0,'Données projet'!$E$12+1,1))-AVERAGE(OFFSET($H$3,0,0,'Données projet'!$E$12+1,1))</f>
        <v>461.75392711528474</v>
      </c>
      <c r="CE79" s="62">
        <f t="shared" si="94"/>
        <v>441.67157957428236</v>
      </c>
      <c r="CF79" s="16">
        <f>IF(ISNA(VLOOKUP(A79,'Données projet'!$A$113:$I$133,3,0)),0,VLOOKUP(A79,'Données projet'!$A$113:$I$133,3,0))</f>
        <v>7</v>
      </c>
      <c r="CG79" s="16">
        <f>IF(ISNA(VLOOKUP(A79,'Données projet'!$A$113:$I$133,4,0)),0,VLOOKUP(A79,'Données projet'!$A$113:$I$133,4,0))</f>
        <v>867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10.25</v>
      </c>
      <c r="CT79" s="13">
        <f>IF('Données projet'!$A$140&gt;35,CT78+CS79-DB78,IF(A79&lt;'Données projet'!$A$140,$CQ$205^A79,IF(A79='Données projet'!$A$140,'Données projet'!$B$140,CT78+CS79-DB78)))</f>
        <v>479.5</v>
      </c>
      <c r="CU79" s="18">
        <f>CT79*VLOOKUP('Données projet'!$B$13,Paramètres!$A$1:$I$89,3,0)*VLOOKUP('Données projet'!$B$13,Paramètres!$A$1:$I$89,5,0)</f>
        <v>286.74100000000004</v>
      </c>
      <c r="CV79" s="14">
        <f t="shared" si="95"/>
        <v>68.38959756682155</v>
      </c>
      <c r="CW79" s="22">
        <f t="shared" si="67"/>
        <v>618.51912409554768</v>
      </c>
      <c r="CX79" s="62">
        <f t="shared" si="68"/>
        <v>911.85245742888105</v>
      </c>
      <c r="CY79" s="62">
        <f ca="1">AVERAGE(OFFSET($CX$3,0,0,'Données projet'!$E$13+1,1))-AVERAGE(OFFSET($H$3,0,0,'Données projet'!$E$13+1,1))</f>
        <v>338.72479490324491</v>
      </c>
      <c r="CZ79" s="62">
        <f t="shared" si="96"/>
        <v>248.47107558211923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242.99999999999989</v>
      </c>
      <c r="O80" s="14">
        <f>N80*VLOOKUP('Données projet'!$B$9,Paramètres!$A$1:$I$89,3,0)*VLOOKUP('Données projet'!$B$9,Paramètres!$A$1:$I$89,5,0)</f>
        <v>219.86639999999989</v>
      </c>
      <c r="P80" s="14">
        <f t="shared" si="87"/>
        <v>54.085847394182416</v>
      </c>
      <c r="Q80" s="22">
        <f t="shared" si="54"/>
        <v>477.13349754486745</v>
      </c>
      <c r="R80" s="62">
        <f t="shared" si="55"/>
        <v>770.46683087820077</v>
      </c>
      <c r="S80" s="62">
        <f ca="1">AVERAGE(OFFSET($R$3,0,0,'Données projet'!$E$9+1,1))-AVERAGE(OFFSET($H$3,0,0,'Données projet'!$E$9+1,1))</f>
        <v>430.11660085503223</v>
      </c>
      <c r="T80" s="62">
        <f t="shared" si="88"/>
        <v>231.36959598460686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242.99999999999989</v>
      </c>
      <c r="AJ80" s="14">
        <f>AI80*VLOOKUP('Données projet'!$B$10,Paramètres!$A$1:$I$89,3,0)*VLOOKUP('Données projet'!$B$10,Paramètres!$A$1:$I$89,5,0)</f>
        <v>235.0295999999999</v>
      </c>
      <c r="AK80" s="14">
        <f t="shared" si="89"/>
        <v>57.368825686861157</v>
      </c>
      <c r="AL80" s="22">
        <f t="shared" si="58"/>
        <v>509.26059140461626</v>
      </c>
      <c r="AM80" s="62">
        <f t="shared" si="59"/>
        <v>802.59392473794958</v>
      </c>
      <c r="AN80" s="62">
        <f ca="1">AVERAGE(OFFSET($AM$3,0,0,'Données projet'!$E$10+1,1))-AVERAGE(OFFSET($H$3,0,0,'Données projet'!$E$10+1,1))</f>
        <v>456.86147223520601</v>
      </c>
      <c r="AO80" s="62">
        <f t="shared" si="90"/>
        <v>244.45149244446094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-1.1368683772161603E-13</v>
      </c>
      <c r="BE80" s="14">
        <f>BD80*VLOOKUP('Données projet'!$B$11,Paramètres!$A$1:$I$89,3,0)*VLOOKUP('Données projet'!$B$11,Paramètres!$A$1:$I$89,5,0)</f>
        <v>-6.7984728957526396E-14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215.43756133069593</v>
      </c>
      <c r="BJ80" s="62">
        <f t="shared" si="92"/>
        <v>363.02009369315243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43.594436859836392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5.304474092492459E-4</v>
      </c>
      <c r="BS80" s="24">
        <f t="shared" si="63"/>
        <v>43.594967307245639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-6.8212102632969618E-13</v>
      </c>
      <c r="BZ80" s="14">
        <f>BY80*VLOOKUP('Données projet'!$B$12,Paramètres!$A$1:$I$89,3,0)*VLOOKUP('Données projet'!$B$12,Paramètres!$A$1:$I$89,5,0)</f>
        <v>-3.0149749363772573E-13</v>
      </c>
      <c r="CA80" s="14" t="e">
        <f t="shared" si="93"/>
        <v>#NUM!</v>
      </c>
      <c r="CB80" s="22" t="e">
        <f t="shared" si="64"/>
        <v>#NUM!</v>
      </c>
      <c r="CC80" s="62" t="e">
        <f t="shared" si="65"/>
        <v>#NUM!</v>
      </c>
      <c r="CD80" s="62">
        <f ca="1">AVERAGE(OFFSET($CC$3,0,0,'Données projet'!$E$12+1,1))-AVERAGE(OFFSET($H$3,0,0,'Données projet'!$E$12+1,1))</f>
        <v>461.75392711528474</v>
      </c>
      <c r="CE80" s="62">
        <f t="shared" si="94"/>
        <v>441.67157957428236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10.25</v>
      </c>
      <c r="CT80" s="13">
        <f>IF('Données projet'!$A$140&gt;35,CT79+CS80-DB79,IF(A80&lt;'Données projet'!$A$140,$CQ$205^A80,IF(A80='Données projet'!$A$140,'Données projet'!$B$140,CT79+CS80-DB79)))</f>
        <v>489.75</v>
      </c>
      <c r="CU80" s="18">
        <f>CT80*VLOOKUP('Données projet'!$B$13,Paramètres!$A$1:$I$89,3,0)*VLOOKUP('Données projet'!$B$13,Paramètres!$A$1:$I$89,5,0)</f>
        <v>292.87049999999999</v>
      </c>
      <c r="CV80" s="14">
        <f t="shared" si="95"/>
        <v>69.679760673871883</v>
      </c>
      <c r="CW80" s="22">
        <f t="shared" si="67"/>
        <v>631.44170400699352</v>
      </c>
      <c r="CX80" s="62">
        <f t="shared" si="68"/>
        <v>924.77503734032689</v>
      </c>
      <c r="CY80" s="62">
        <f ca="1">AVERAGE(OFFSET($CX$3,0,0,'Données projet'!$E$13+1,1))-AVERAGE(OFFSET($H$3,0,0,'Données projet'!$E$13+1,1))</f>
        <v>338.72479490324491</v>
      </c>
      <c r="CZ80" s="62">
        <f t="shared" si="96"/>
        <v>248.47107558211923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248.99999999999989</v>
      </c>
      <c r="O81" s="14">
        <f>N81*VLOOKUP('Données projet'!$B$9,Paramètres!$A$1:$I$89,3,0)*VLOOKUP('Données projet'!$B$9,Paramètres!$A$1:$I$89,5,0)</f>
        <v>225.29519999999991</v>
      </c>
      <c r="P81" s="14">
        <f t="shared" si="87"/>
        <v>55.264173352293078</v>
      </c>
      <c r="Q81" s="22">
        <f t="shared" si="54"/>
        <v>488.64090858857691</v>
      </c>
      <c r="R81" s="62">
        <f t="shared" si="55"/>
        <v>781.97424192191022</v>
      </c>
      <c r="S81" s="62">
        <f ca="1">AVERAGE(OFFSET($R$3,0,0,'Données projet'!$E$9+1,1))-AVERAGE(OFFSET($H$3,0,0,'Données projet'!$E$9+1,1))</f>
        <v>430.11660085503223</v>
      </c>
      <c r="T81" s="62">
        <f t="shared" si="88"/>
        <v>231.36959598460686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248.99999999999989</v>
      </c>
      <c r="AJ81" s="14">
        <f>AI81*VLOOKUP('Données projet'!$B$10,Paramètres!$A$1:$I$89,3,0)*VLOOKUP('Données projet'!$B$10,Paramètres!$A$1:$I$89,5,0)</f>
        <v>240.83279999999991</v>
      </c>
      <c r="AK81" s="14">
        <f t="shared" si="89"/>
        <v>58.618675319436669</v>
      </c>
      <c r="AL81" s="22">
        <f t="shared" si="58"/>
        <v>521.5446528480187</v>
      </c>
      <c r="AM81" s="62">
        <f t="shared" si="59"/>
        <v>814.87798618135207</v>
      </c>
      <c r="AN81" s="62">
        <f ca="1">AVERAGE(OFFSET($AM$3,0,0,'Données projet'!$E$10+1,1))-AVERAGE(OFFSET($H$3,0,0,'Données projet'!$E$10+1,1))</f>
        <v>456.86147223520601</v>
      </c>
      <c r="AO81" s="62">
        <f t="shared" si="90"/>
        <v>244.45149244446094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-1.1368683772161603E-13</v>
      </c>
      <c r="BE81" s="14">
        <f>BD81*VLOOKUP('Données projet'!$B$11,Paramètres!$A$1:$I$89,3,0)*VLOOKUP('Données projet'!$B$11,Paramètres!$A$1:$I$89,5,0)</f>
        <v>-6.7984728957526396E-14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215.43756133069593</v>
      </c>
      <c r="BJ81" s="62">
        <f t="shared" si="92"/>
        <v>363.02009369315243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42.739576542995941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3.7508296014297755E-4</v>
      </c>
      <c r="BS81" s="24">
        <f t="shared" si="63"/>
        <v>42.739951625956081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-6.8212102632969618E-13</v>
      </c>
      <c r="BZ81" s="14">
        <f>BY81*VLOOKUP('Données projet'!$B$12,Paramètres!$A$1:$I$89,3,0)*VLOOKUP('Données projet'!$B$12,Paramètres!$A$1:$I$89,5,0)</f>
        <v>-3.0149749363772573E-13</v>
      </c>
      <c r="CA81" s="14" t="e">
        <f t="shared" si="93"/>
        <v>#NUM!</v>
      </c>
      <c r="CB81" s="22" t="e">
        <f t="shared" si="64"/>
        <v>#NUM!</v>
      </c>
      <c r="CC81" s="62" t="e">
        <f t="shared" si="65"/>
        <v>#NUM!</v>
      </c>
      <c r="CD81" s="62">
        <f ca="1">AVERAGE(OFFSET($CC$3,0,0,'Données projet'!$E$12+1,1))-AVERAGE(OFFSET($H$3,0,0,'Données projet'!$E$12+1,1))</f>
        <v>461.75392711528474</v>
      </c>
      <c r="CE81" s="62">
        <f t="shared" si="94"/>
        <v>441.67157957428236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10.25</v>
      </c>
      <c r="CT81" s="13">
        <f>IF('Données projet'!$A$140&gt;35,CT80+CS81-DB80,IF(A81&lt;'Données projet'!$A$140,$CQ$205^A81,IF(A81='Données projet'!$A$140,'Données projet'!$B$140,CT80+CS81-DB80)))</f>
        <v>500</v>
      </c>
      <c r="CU81" s="18">
        <f>CT81*VLOOKUP('Données projet'!$B$13,Paramètres!$A$1:$I$89,3,0)*VLOOKUP('Données projet'!$B$13,Paramètres!$A$1:$I$89,5,0)</f>
        <v>299</v>
      </c>
      <c r="CV81" s="14">
        <f t="shared" si="95"/>
        <v>70.966784344875109</v>
      </c>
      <c r="CW81" s="22">
        <f t="shared" si="67"/>
        <v>644.35881606732414</v>
      </c>
      <c r="CX81" s="62">
        <f t="shared" si="68"/>
        <v>937.6921494006574</v>
      </c>
      <c r="CY81" s="62">
        <f ca="1">AVERAGE(OFFSET($CX$3,0,0,'Données projet'!$E$13+1,1))-AVERAGE(OFFSET($H$3,0,0,'Données projet'!$E$13+1,1))</f>
        <v>338.72479490324491</v>
      </c>
      <c r="CZ81" s="62">
        <f t="shared" si="96"/>
        <v>248.47107558211923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254.99999999999989</v>
      </c>
      <c r="O82" s="14">
        <f>N82*VLOOKUP('Données projet'!$B$9,Paramètres!$A$1:$I$89,3,0)*VLOOKUP('Données projet'!$B$9,Paramètres!$A$1:$I$89,5,0)</f>
        <v>230.72399999999988</v>
      </c>
      <c r="P82" s="14">
        <f t="shared" si="87"/>
        <v>56.439198612082045</v>
      </c>
      <c r="Q82" s="22">
        <f t="shared" si="54"/>
        <v>500.14257091604264</v>
      </c>
      <c r="R82" s="62">
        <f t="shared" si="55"/>
        <v>793.47590424937596</v>
      </c>
      <c r="S82" s="62">
        <f ca="1">AVERAGE(OFFSET($R$3,0,0,'Données projet'!$E$9+1,1))-AVERAGE(OFFSET($H$3,0,0,'Données projet'!$E$9+1,1))</f>
        <v>430.11660085503223</v>
      </c>
      <c r="T82" s="62">
        <f t="shared" si="88"/>
        <v>231.36959598460686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254.99999999999989</v>
      </c>
      <c r="AJ82" s="14">
        <f>AI82*VLOOKUP('Données projet'!$B$10,Paramètres!$A$1:$I$89,3,0)*VLOOKUP('Données projet'!$B$10,Paramètres!$A$1:$I$89,5,0)</f>
        <v>246.63599999999991</v>
      </c>
      <c r="AK82" s="14">
        <f t="shared" si="89"/>
        <v>59.865023903294535</v>
      </c>
      <c r="AL82" s="22">
        <f t="shared" si="58"/>
        <v>533.82261663157112</v>
      </c>
      <c r="AM82" s="62">
        <f t="shared" si="59"/>
        <v>827.15594996490449</v>
      </c>
      <c r="AN82" s="62">
        <f ca="1">AVERAGE(OFFSET($AM$3,0,0,'Données projet'!$E$10+1,1))-AVERAGE(OFFSET($H$3,0,0,'Données projet'!$E$10+1,1))</f>
        <v>456.86147223520601</v>
      </c>
      <c r="AO82" s="62">
        <f t="shared" si="90"/>
        <v>244.45149244446094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-1.1368683772161603E-13</v>
      </c>
      <c r="BE82" s="14">
        <f>BD82*VLOOKUP('Données projet'!$B$11,Paramètres!$A$1:$I$89,3,0)*VLOOKUP('Données projet'!$B$11,Paramètres!$A$1:$I$89,5,0)</f>
        <v>-6.7984728957526396E-14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215.43756133069593</v>
      </c>
      <c r="BJ82" s="62">
        <f t="shared" si="92"/>
        <v>363.02009369315243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41.901479515555422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2.6522370462462295E-4</v>
      </c>
      <c r="BS82" s="24">
        <f t="shared" si="63"/>
        <v>41.901744739260046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-6.8212102632969618E-13</v>
      </c>
      <c r="BZ82" s="14">
        <f>BY82*VLOOKUP('Données projet'!$B$12,Paramètres!$A$1:$I$89,3,0)*VLOOKUP('Données projet'!$B$12,Paramètres!$A$1:$I$89,5,0)</f>
        <v>-3.0149749363772573E-13</v>
      </c>
      <c r="CA82" s="14" t="e">
        <f t="shared" si="93"/>
        <v>#NUM!</v>
      </c>
      <c r="CB82" s="22" t="e">
        <f t="shared" si="64"/>
        <v>#NUM!</v>
      </c>
      <c r="CC82" s="62" t="e">
        <f t="shared" si="65"/>
        <v>#NUM!</v>
      </c>
      <c r="CD82" s="62">
        <f ca="1">AVERAGE(OFFSET($CC$3,0,0,'Données projet'!$E$12+1,1))-AVERAGE(OFFSET($H$3,0,0,'Données projet'!$E$12+1,1))</f>
        <v>461.75392711528474</v>
      </c>
      <c r="CE82" s="62">
        <f t="shared" si="94"/>
        <v>441.67157957428236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10.25</v>
      </c>
      <c r="CT82" s="13">
        <f>IF('Données projet'!$A$140&gt;35,CT81+CS82-DB81,IF(A82&lt;'Données projet'!$A$140,$CQ$205^A82,IF(A82='Données projet'!$A$140,'Données projet'!$B$140,CT81+CS82-DB81)))</f>
        <v>510.25</v>
      </c>
      <c r="CU82" s="18">
        <f>CT82*VLOOKUP('Données projet'!$B$13,Paramètres!$A$1:$I$89,3,0)*VLOOKUP('Données projet'!$B$13,Paramètres!$A$1:$I$89,5,0)</f>
        <v>305.12950000000001</v>
      </c>
      <c r="CV82" s="14">
        <f t="shared" si="95"/>
        <v>72.250740354085139</v>
      </c>
      <c r="CW82" s="22">
        <f t="shared" si="67"/>
        <v>657.27058528336488</v>
      </c>
      <c r="CX82" s="62">
        <f t="shared" si="68"/>
        <v>950.60391861669814</v>
      </c>
      <c r="CY82" s="62">
        <f ca="1">AVERAGE(OFFSET($CX$3,0,0,'Données projet'!$E$13+1,1))-AVERAGE(OFFSET($H$3,0,0,'Données projet'!$E$13+1,1))</f>
        <v>338.72479490324491</v>
      </c>
      <c r="CZ82" s="62">
        <f t="shared" si="96"/>
        <v>248.47107558211923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261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260.99999999999989</v>
      </c>
      <c r="O83" s="14">
        <f>N83*VLOOKUP('Données projet'!$B$9,Paramètres!$A$1:$I$89,3,0)*VLOOKUP('Données projet'!$B$9,Paramètres!$A$1:$I$89,5,0)</f>
        <v>236.15279999999987</v>
      </c>
      <c r="P83" s="14">
        <f t="shared" si="87"/>
        <v>57.61100977459931</v>
      </c>
      <c r="Q83" s="22">
        <f t="shared" si="54"/>
        <v>511.63863535742689</v>
      </c>
      <c r="R83" s="62">
        <f t="shared" si="55"/>
        <v>804.97196869076015</v>
      </c>
      <c r="S83" s="62">
        <f ca="1">AVERAGE(OFFSET($R$3,0,0,'Données projet'!$E$9+1,1))-AVERAGE(OFFSET($H$3,0,0,'Données projet'!$E$9+1,1))</f>
        <v>430.11660085503223</v>
      </c>
      <c r="T83" s="62">
        <f t="shared" si="88"/>
        <v>231.36959598460686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261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260.99999999999989</v>
      </c>
      <c r="AJ83" s="14">
        <f>AI83*VLOOKUP('Données projet'!$B$10,Paramètres!$A$1:$I$89,3,0)*VLOOKUP('Données projet'!$B$10,Paramètres!$A$1:$I$89,5,0)</f>
        <v>252.43919999999991</v>
      </c>
      <c r="AK83" s="14">
        <f t="shared" si="89"/>
        <v>61.107963296116218</v>
      </c>
      <c r="AL83" s="22">
        <f t="shared" si="58"/>
        <v>546.09464274073559</v>
      </c>
      <c r="AM83" s="62">
        <f t="shared" si="59"/>
        <v>839.42797607406897</v>
      </c>
      <c r="AN83" s="62">
        <f ca="1">AVERAGE(OFFSET($AM$3,0,0,'Données projet'!$E$10+1,1))-AVERAGE(OFFSET($H$3,0,0,'Données projet'!$E$10+1,1))</f>
        <v>456.86147223520601</v>
      </c>
      <c r="AO83" s="62">
        <f t="shared" si="90"/>
        <v>244.45149244446094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-1.1368683772161603E-13</v>
      </c>
      <c r="BE83" s="14">
        <f>BD83*VLOOKUP('Données projet'!$B$11,Paramètres!$A$1:$I$89,3,0)*VLOOKUP('Données projet'!$B$11,Paramètres!$A$1:$I$89,5,0)</f>
        <v>-6.7984728957526396E-14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215.43756133069593</v>
      </c>
      <c r="BJ83" s="62">
        <f t="shared" si="92"/>
        <v>363.02009369315243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41.079817059634301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1.8754148007148877E-4</v>
      </c>
      <c r="BS83" s="24">
        <f t="shared" si="63"/>
        <v>41.080004601114375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-6.8212102632969618E-13</v>
      </c>
      <c r="BZ83" s="14">
        <f>BY83*VLOOKUP('Données projet'!$B$12,Paramètres!$A$1:$I$89,3,0)*VLOOKUP('Données projet'!$B$12,Paramètres!$A$1:$I$89,5,0)</f>
        <v>-3.0149749363772573E-13</v>
      </c>
      <c r="CA83" s="14" t="e">
        <f t="shared" si="93"/>
        <v>#NUM!</v>
      </c>
      <c r="CB83" s="22" t="e">
        <f t="shared" si="64"/>
        <v>#NUM!</v>
      </c>
      <c r="CC83" s="62" t="e">
        <f t="shared" si="65"/>
        <v>#NUM!</v>
      </c>
      <c r="CD83" s="62">
        <f ca="1">AVERAGE(OFFSET($CC$3,0,0,'Données projet'!$E$12+1,1))-AVERAGE(OFFSET($H$3,0,0,'Données projet'!$E$12+1,1))</f>
        <v>461.75392711528474</v>
      </c>
      <c r="CE83" s="62">
        <f t="shared" si="94"/>
        <v>441.67157957428236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10.25</v>
      </c>
      <c r="CT83" s="13">
        <f>IF('Données projet'!$A$140&gt;35,CT82+CS83-DB82,IF(A83&lt;'Données projet'!$A$140,$CQ$205^A83,IF(A83='Données projet'!$A$140,'Données projet'!$B$140,CT82+CS83-DB82)))</f>
        <v>520.5</v>
      </c>
      <c r="CU83" s="18">
        <f>CT83*VLOOKUP('Données projet'!$B$13,Paramètres!$A$1:$I$89,3,0)*VLOOKUP('Données projet'!$B$13,Paramètres!$A$1:$I$89,5,0)</f>
        <v>311.25900000000001</v>
      </c>
      <c r="CV83" s="14">
        <f t="shared" si="95"/>
        <v>73.531697427248474</v>
      </c>
      <c r="CW83" s="22">
        <f t="shared" si="67"/>
        <v>670.17713135245776</v>
      </c>
      <c r="CX83" s="62">
        <f t="shared" si="68"/>
        <v>963.51046468579102</v>
      </c>
      <c r="CY83" s="62">
        <f ca="1">AVERAGE(OFFSET($CX$3,0,0,'Données projet'!$E$13+1,1))-AVERAGE(OFFSET($H$3,0,0,'Données projet'!$E$13+1,1))</f>
        <v>338.72479490324491</v>
      </c>
      <c r="CZ83" s="62">
        <f t="shared" si="96"/>
        <v>248.47107558211923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5.8</v>
      </c>
      <c r="N84" s="14">
        <f>IF('Données projet'!$A$36&gt;35,N83+M84-V83,IF(A84&lt;'Données projet'!$A$36,$K$205^A84,IF(A84='Données projet'!$A$36,'Données projet'!$B$36,N83+M84-V83)))</f>
        <v>266.7999999999999</v>
      </c>
      <c r="O84" s="14">
        <f>N84*VLOOKUP('Données projet'!$B$9,Paramètres!$A$1:$I$89,3,0)*VLOOKUP('Données projet'!$B$9,Paramètres!$A$1:$I$89,5,0)</f>
        <v>241.40063999999992</v>
      </c>
      <c r="P84" s="14">
        <f t="shared" si="87"/>
        <v>58.740782866262698</v>
      </c>
      <c r="Q84" s="22">
        <f t="shared" si="54"/>
        <v>522.74631149207403</v>
      </c>
      <c r="R84" s="62">
        <f t="shared" si="55"/>
        <v>816.07964482540729</v>
      </c>
      <c r="S84" s="62">
        <f ca="1">AVERAGE(OFFSET($R$3,0,0,'Données projet'!$E$9+1,1))-AVERAGE(OFFSET($H$3,0,0,'Données projet'!$E$9+1,1))</f>
        <v>430.11660085503223</v>
      </c>
      <c r="T84" s="62">
        <f t="shared" si="88"/>
        <v>231.36959598460686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5.8</v>
      </c>
      <c r="AI84" s="14">
        <f>IF('Données projet'!$A$62&gt;35,AI83+AH84-AQ83,IF(A84&lt;'Données projet'!$A$62,$AF$205^A84,IF(A84='Données projet'!$A$62,'Données projet'!$B$62,AI83+AH84-AQ83)))</f>
        <v>266.7999999999999</v>
      </c>
      <c r="AJ84" s="14">
        <f>AI84*VLOOKUP('Données projet'!$B$10,Paramètres!$A$1:$I$89,3,0)*VLOOKUP('Données projet'!$B$10,Paramètres!$A$1:$I$89,5,0)</f>
        <v>258.04895999999991</v>
      </c>
      <c r="AK84" s="14">
        <f t="shared" si="89"/>
        <v>62.306312932555763</v>
      </c>
      <c r="AL84" s="22">
        <f t="shared" si="58"/>
        <v>557.95210035753439</v>
      </c>
      <c r="AM84" s="62">
        <f t="shared" si="59"/>
        <v>851.28543369086765</v>
      </c>
      <c r="AN84" s="62">
        <f ca="1">AVERAGE(OFFSET($AM$3,0,0,'Données projet'!$E$10+1,1))-AVERAGE(OFFSET($H$3,0,0,'Données projet'!$E$10+1,1))</f>
        <v>456.86147223520601</v>
      </c>
      <c r="AO84" s="62">
        <f t="shared" si="90"/>
        <v>244.45149244446094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-1.1368683772161603E-13</v>
      </c>
      <c r="BE84" s="14">
        <f>BD84*VLOOKUP('Données projet'!$B$11,Paramètres!$A$1:$I$89,3,0)*VLOOKUP('Données projet'!$B$11,Paramètres!$A$1:$I$89,5,0)</f>
        <v>-6.7984728957526396E-14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215.43756133069593</v>
      </c>
      <c r="BJ84" s="62">
        <f t="shared" si="92"/>
        <v>363.02009369315243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40.274266903309183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1.3261185231231147E-4</v>
      </c>
      <c r="BS84" s="24">
        <f t="shared" si="63"/>
        <v>40.274399515161498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-6.8212102632969618E-13</v>
      </c>
      <c r="BZ84" s="14">
        <f>BY84*VLOOKUP('Données projet'!$B$12,Paramètres!$A$1:$I$89,3,0)*VLOOKUP('Données projet'!$B$12,Paramètres!$A$1:$I$89,5,0)</f>
        <v>-3.0149749363772573E-13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461.75392711528474</v>
      </c>
      <c r="CE84" s="62">
        <f t="shared" si="94"/>
        <v>441.67157957428236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10.25</v>
      </c>
      <c r="CT84" s="13">
        <f>IF('Données projet'!$A$140&gt;35,CT83+CS84-DB83,IF(A84&lt;'Données projet'!$A$140,$CQ$205^A84,IF(A84='Données projet'!$A$140,'Données projet'!$B$140,CT83+CS84-DB83)))</f>
        <v>530.75</v>
      </c>
      <c r="CU84" s="18">
        <f>CT84*VLOOKUP('Données projet'!$B$13,Paramètres!$A$1:$I$89,3,0)*VLOOKUP('Données projet'!$B$13,Paramètres!$A$1:$I$89,5,0)</f>
        <v>317.38850000000002</v>
      </c>
      <c r="CV84" s="14">
        <f t="shared" si="95"/>
        <v>74.809721428524995</v>
      </c>
      <c r="CW84" s="22">
        <f t="shared" si="67"/>
        <v>683.07856898801435</v>
      </c>
      <c r="CX84" s="62">
        <f t="shared" si="68"/>
        <v>976.41190232134772</v>
      </c>
      <c r="CY84" s="62">
        <f ca="1">AVERAGE(OFFSET($CX$3,0,0,'Données projet'!$E$13+1,1))-AVERAGE(OFFSET($H$3,0,0,'Données projet'!$E$13+1,1))</f>
        <v>338.72479490324491</v>
      </c>
      <c r="CZ84" s="62">
        <f t="shared" si="96"/>
        <v>248.47107558211923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5.8</v>
      </c>
      <c r="N85" s="14">
        <f>IF('Données projet'!$A$36&gt;35,N84+M85-V84,IF(A85&lt;'Données projet'!$A$36,$K$205^A85,IF(A85='Données projet'!$A$36,'Données projet'!$B$36,N84+M85-V84)))</f>
        <v>272.59999999999991</v>
      </c>
      <c r="O85" s="14">
        <f>N85*VLOOKUP('Données projet'!$B$9,Paramètres!$A$1:$I$89,3,0)*VLOOKUP('Données projet'!$B$9,Paramètres!$A$1:$I$89,5,0)</f>
        <v>246.64847999999992</v>
      </c>
      <c r="P85" s="14">
        <f t="shared" si="87"/>
        <v>59.867700517050096</v>
      </c>
      <c r="Q85" s="22">
        <f t="shared" si="54"/>
        <v>533.84901440052874</v>
      </c>
      <c r="R85" s="62">
        <f t="shared" si="55"/>
        <v>827.18234773386212</v>
      </c>
      <c r="S85" s="62">
        <f ca="1">AVERAGE(OFFSET($R$3,0,0,'Données projet'!$E$9+1,1))-AVERAGE(OFFSET($H$3,0,0,'Données projet'!$E$9+1,1))</f>
        <v>430.11660085503223</v>
      </c>
      <c r="T85" s="62">
        <f t="shared" si="88"/>
        <v>231.36959598460686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5.8</v>
      </c>
      <c r="AI85" s="14">
        <f>IF('Données projet'!$A$62&gt;35,AI84+AH85-AQ84,IF(A85&lt;'Données projet'!$A$62,$AF$205^A85,IF(A85='Données projet'!$A$62,'Données projet'!$B$62,AI84+AH85-AQ84)))</f>
        <v>272.59999999999991</v>
      </c>
      <c r="AJ85" s="14">
        <f>AI85*VLOOKUP('Données projet'!$B$10,Paramètres!$A$1:$I$89,3,0)*VLOOKUP('Données projet'!$B$10,Paramètres!$A$1:$I$89,5,0)</f>
        <v>263.6587199999999</v>
      </c>
      <c r="AK85" s="14">
        <f t="shared" si="89"/>
        <v>63.501633804581523</v>
      </c>
      <c r="AL85" s="22">
        <f t="shared" si="58"/>
        <v>569.80428287631264</v>
      </c>
      <c r="AM85" s="62">
        <f t="shared" si="59"/>
        <v>863.13761620964601</v>
      </c>
      <c r="AN85" s="62">
        <f ca="1">AVERAGE(OFFSET($AM$3,0,0,'Données projet'!$E$10+1,1))-AVERAGE(OFFSET($H$3,0,0,'Données projet'!$E$10+1,1))</f>
        <v>456.86147223520601</v>
      </c>
      <c r="AO85" s="62">
        <f t="shared" si="90"/>
        <v>244.45149244446094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-1.1368683772161603E-13</v>
      </c>
      <c r="BE85" s="14">
        <f>BD85*VLOOKUP('Données projet'!$B$11,Paramètres!$A$1:$I$89,3,0)*VLOOKUP('Données projet'!$B$11,Paramètres!$A$1:$I$89,5,0)</f>
        <v>-6.7984728957526396E-14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215.43756133069593</v>
      </c>
      <c r="BJ85" s="62">
        <f t="shared" si="92"/>
        <v>363.02009369315243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39.484513094212524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9.3770740035744387E-5</v>
      </c>
      <c r="BS85" s="24">
        <f t="shared" si="63"/>
        <v>39.484606864952561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-6.8212102632969618E-13</v>
      </c>
      <c r="BZ85" s="14">
        <f>BY85*VLOOKUP('Données projet'!$B$12,Paramètres!$A$1:$I$89,3,0)*VLOOKUP('Données projet'!$B$12,Paramètres!$A$1:$I$89,5,0)</f>
        <v>-3.0149749363772573E-13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461.75392711528474</v>
      </c>
      <c r="CE85" s="62">
        <f t="shared" si="94"/>
        <v>441.67157957428236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>
        <f>VLOOKUP(A85,'Données projet'!$A$139:$I$159,2,0)</f>
        <v>541</v>
      </c>
      <c r="CR85" s="13">
        <f>VLOOKUP(A85,'Données projet'!$A$139:$I$159,9,0)</f>
        <v>10.25</v>
      </c>
      <c r="CS85" s="13">
        <f t="array" ref="CS85">INDEX(CR:CR,MIN(IF(ISNUMBER(CR85:CR281),ROW(CR85:CR281),"")))</f>
        <v>10.25</v>
      </c>
      <c r="CT85" s="13">
        <f>IF('Données projet'!$A$140&gt;35,CT84+CS85-DB84,IF(A85&lt;'Données projet'!$A$140,$CQ$205^A85,IF(A85='Données projet'!$A$140,'Données projet'!$B$140,CT84+CS85-DB84)))</f>
        <v>541</v>
      </c>
      <c r="CU85" s="18">
        <f>CT85*VLOOKUP('Données projet'!$B$13,Paramètres!$A$1:$I$89,3,0)*VLOOKUP('Données projet'!$B$13,Paramètres!$A$1:$I$89,5,0)</f>
        <v>323.51800000000003</v>
      </c>
      <c r="CV85" s="14">
        <f t="shared" si="95"/>
        <v>76.084875532561725</v>
      </c>
      <c r="CW85" s="22">
        <f t="shared" si="67"/>
        <v>695.97500821921176</v>
      </c>
      <c r="CX85" s="62">
        <f t="shared" si="68"/>
        <v>989.30834155254502</v>
      </c>
      <c r="CY85" s="62">
        <f ca="1">AVERAGE(OFFSET($CX$3,0,0,'Données projet'!$E$13+1,1))-AVERAGE(OFFSET($H$3,0,0,'Données projet'!$E$13+1,1))</f>
        <v>338.72479490324491</v>
      </c>
      <c r="CZ85" s="62">
        <f t="shared" si="96"/>
        <v>248.47107558211923</v>
      </c>
      <c r="DA85" s="16">
        <f>IF(ISNA(VLOOKUP(A85,'Données projet'!$A$139:$I$159,3,0)),0,VLOOKUP(A85,'Données projet'!$A$139:$I$159,3,0))</f>
        <v>7</v>
      </c>
      <c r="DB85" s="16">
        <f>IF(ISNA(VLOOKUP(A85,'Données projet'!$A$139:$I$159,4,0)),0,VLOOKUP(A85,'Données projet'!$A$139:$I$159,4,0))</f>
        <v>541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5.8</v>
      </c>
      <c r="N86" s="14">
        <f>IF('Données projet'!$A$36&gt;35,N85+M86-V85,IF(A86&lt;'Données projet'!$A$36,$K$205^A86,IF(A86='Données projet'!$A$36,'Données projet'!$B$36,N85+M86-V85)))</f>
        <v>278.39999999999992</v>
      </c>
      <c r="O86" s="14">
        <f>N86*VLOOKUP('Données projet'!$B$9,Paramètres!$A$1:$I$89,3,0)*VLOOKUP('Données projet'!$B$9,Paramètres!$A$1:$I$89,5,0)</f>
        <v>251.89631999999995</v>
      </c>
      <c r="P86" s="14">
        <f t="shared" si="87"/>
        <v>60.991830479199145</v>
      </c>
      <c r="Q86" s="22">
        <f t="shared" si="54"/>
        <v>544.94686208460519</v>
      </c>
      <c r="R86" s="62">
        <f t="shared" si="55"/>
        <v>838.28019541793856</v>
      </c>
      <c r="S86" s="62">
        <f ca="1">AVERAGE(OFFSET($R$3,0,0,'Données projet'!$E$9+1,1))-AVERAGE(OFFSET($H$3,0,0,'Données projet'!$E$9+1,1))</f>
        <v>430.11660085503223</v>
      </c>
      <c r="T86" s="62">
        <f t="shared" si="88"/>
        <v>231.36959598460686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5.8</v>
      </c>
      <c r="AI86" s="14">
        <f>IF('Données projet'!$A$62&gt;35,AI85+AH86-AQ85,IF(A86&lt;'Données projet'!$A$62,$AF$205^A86,IF(A86='Données projet'!$A$62,'Données projet'!$B$62,AI85+AH86-AQ85)))</f>
        <v>278.39999999999992</v>
      </c>
      <c r="AJ86" s="14">
        <f>AI86*VLOOKUP('Données projet'!$B$10,Paramètres!$A$1:$I$89,3,0)*VLOOKUP('Données projet'!$B$10,Paramètres!$A$1:$I$89,5,0)</f>
        <v>269.26847999999995</v>
      </c>
      <c r="AK86" s="14">
        <f t="shared" si="89"/>
        <v>64.693997776951178</v>
      </c>
      <c r="AL86" s="22">
        <f t="shared" si="58"/>
        <v>581.65131546152315</v>
      </c>
      <c r="AM86" s="62">
        <f t="shared" si="59"/>
        <v>874.98464879485641</v>
      </c>
      <c r="AN86" s="62">
        <f ca="1">AVERAGE(OFFSET($AM$3,0,0,'Données projet'!$E$10+1,1))-AVERAGE(OFFSET($H$3,0,0,'Données projet'!$E$10+1,1))</f>
        <v>456.86147223520601</v>
      </c>
      <c r="AO86" s="62">
        <f t="shared" si="90"/>
        <v>244.45149244446094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-1.1368683772161603E-13</v>
      </c>
      <c r="BE86" s="14">
        <f>BD86*VLOOKUP('Données projet'!$B$11,Paramètres!$A$1:$I$89,3,0)*VLOOKUP('Données projet'!$B$11,Paramètres!$A$1:$I$89,5,0)</f>
        <v>-6.7984728957526396E-14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215.43756133069593</v>
      </c>
      <c r="BJ86" s="62">
        <f t="shared" si="92"/>
        <v>363.02009369315243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38.710245875609985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6.6305926156155737E-5</v>
      </c>
      <c r="BS86" s="24">
        <f t="shared" si="63"/>
        <v>38.710312181536139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-6.8212102632969618E-13</v>
      </c>
      <c r="BZ86" s="14">
        <f>BY86*VLOOKUP('Données projet'!$B$12,Paramètres!$A$1:$I$89,3,0)*VLOOKUP('Données projet'!$B$12,Paramètres!$A$1:$I$89,5,0)</f>
        <v>-3.0149749363772573E-13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461.75392711528474</v>
      </c>
      <c r="CE86" s="62">
        <f t="shared" si="94"/>
        <v>441.67157957428236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>
        <f>CT86*VLOOKUP('Données projet'!$B$13,Paramètres!$A$1:$I$89,3,0)*VLOOKUP('Données projet'!$B$13,Paramètres!$A$1:$I$89,5,0)</f>
        <v>0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338.72479490324491</v>
      </c>
      <c r="CZ86" s="62">
        <f t="shared" si="96"/>
        <v>248.47107558211923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5.8</v>
      </c>
      <c r="N87" s="14">
        <f>IF('Données projet'!$A$36&gt;35,N86+M87-V86,IF(A87&lt;'Données projet'!$A$36,$K$205^A87,IF(A87='Données projet'!$A$36,'Données projet'!$B$36,N86+M87-V86)))</f>
        <v>284.19999999999993</v>
      </c>
      <c r="O87" s="14">
        <f>N87*VLOOKUP('Données projet'!$B$9,Paramètres!$A$1:$I$89,3,0)*VLOOKUP('Données projet'!$B$9,Paramètres!$A$1:$I$89,5,0)</f>
        <v>257.14415999999994</v>
      </c>
      <c r="P87" s="14">
        <f t="shared" si="87"/>
        <v>62.113237520609751</v>
      </c>
      <c r="Q87" s="22">
        <f t="shared" si="54"/>
        <v>556.03996734839518</v>
      </c>
      <c r="R87" s="62">
        <f t="shared" si="55"/>
        <v>849.37330068172855</v>
      </c>
      <c r="S87" s="62">
        <f ca="1">AVERAGE(OFFSET($R$3,0,0,'Données projet'!$E$9+1,1))-AVERAGE(OFFSET($H$3,0,0,'Données projet'!$E$9+1,1))</f>
        <v>430.11660085503223</v>
      </c>
      <c r="T87" s="62">
        <f t="shared" si="88"/>
        <v>231.36959598460686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5.8</v>
      </c>
      <c r="AI87" s="14">
        <f>IF('Données projet'!$A$62&gt;35,AI86+AH87-AQ86,IF(A87&lt;'Données projet'!$A$62,$AF$205^A87,IF(A87='Données projet'!$A$62,'Données projet'!$B$62,AI86+AH87-AQ86)))</f>
        <v>284.19999999999993</v>
      </c>
      <c r="AJ87" s="14">
        <f>AI87*VLOOKUP('Données projet'!$B$10,Paramètres!$A$1:$I$89,3,0)*VLOOKUP('Données projet'!$B$10,Paramètres!$A$1:$I$89,5,0)</f>
        <v>274.87823999999995</v>
      </c>
      <c r="AK87" s="14">
        <f t="shared" si="89"/>
        <v>65.883473548937019</v>
      </c>
      <c r="AL87" s="22">
        <f t="shared" si="58"/>
        <v>593.49331776439851</v>
      </c>
      <c r="AM87" s="62">
        <f t="shared" si="59"/>
        <v>886.82665109773188</v>
      </c>
      <c r="AN87" s="62">
        <f ca="1">AVERAGE(OFFSET($AM$3,0,0,'Données projet'!$E$10+1,1))-AVERAGE(OFFSET($H$3,0,0,'Données projet'!$E$10+1,1))</f>
        <v>456.86147223520601</v>
      </c>
      <c r="AO87" s="62">
        <f t="shared" si="90"/>
        <v>244.45149244446094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-1.1368683772161603E-13</v>
      </c>
      <c r="BE87" s="14">
        <f>BD87*VLOOKUP('Données projet'!$B$11,Paramètres!$A$1:$I$89,3,0)*VLOOKUP('Données projet'!$B$11,Paramètres!$A$1:$I$89,5,0)</f>
        <v>-6.7984728957526396E-14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215.43756133069593</v>
      </c>
      <c r="BJ87" s="62">
        <f t="shared" si="92"/>
        <v>363.02009369315243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37.951161564907871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4.6885370017872193E-5</v>
      </c>
      <c r="BS87" s="24">
        <f t="shared" si="63"/>
        <v>37.951208450277889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-6.8212102632969618E-13</v>
      </c>
      <c r="BZ87" s="14">
        <f>BY87*VLOOKUP('Données projet'!$B$12,Paramètres!$A$1:$I$89,3,0)*VLOOKUP('Données projet'!$B$12,Paramètres!$A$1:$I$89,5,0)</f>
        <v>-3.0149749363772573E-13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461.75392711528474</v>
      </c>
      <c r="CE87" s="62">
        <f t="shared" si="94"/>
        <v>441.67157957428236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>
        <f>CT87*VLOOKUP('Données projet'!$B$13,Paramètres!$A$1:$I$89,3,0)*VLOOKUP('Données projet'!$B$13,Paramètres!$A$1:$I$89,5,0)</f>
        <v>0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338.72479490324491</v>
      </c>
      <c r="CZ87" s="62">
        <f t="shared" si="96"/>
        <v>248.47107558211923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290</v>
      </c>
      <c r="L88" s="13">
        <f>VLOOKUP(A88,'Données projet'!$A$35:$I$55,9,0)</f>
        <v>5.8</v>
      </c>
      <c r="M88" s="13">
        <f t="array" ref="M88">INDEX(L:L,MIN(IF(ISNUMBER(L88:L284),ROW(L88:L284),"")))</f>
        <v>5.8</v>
      </c>
      <c r="N88" s="14">
        <f>IF('Données projet'!$A$36&gt;35,N87+M88-V87,IF(A88&lt;'Données projet'!$A$36,$K$205^A88,IF(A88='Données projet'!$A$36,'Données projet'!$B$36,N87+M88-V87)))</f>
        <v>289.99999999999994</v>
      </c>
      <c r="O88" s="14">
        <f>N88*VLOOKUP('Données projet'!$B$9,Paramètres!$A$1:$I$89,3,0)*VLOOKUP('Données projet'!$B$9,Paramètres!$A$1:$I$89,5,0)</f>
        <v>262.39199999999994</v>
      </c>
      <c r="P88" s="14">
        <f t="shared" si="87"/>
        <v>63.231983614474942</v>
      </c>
      <c r="Q88" s="22">
        <f t="shared" si="54"/>
        <v>567.12843812854373</v>
      </c>
      <c r="R88" s="62">
        <f t="shared" si="55"/>
        <v>860.46177146187711</v>
      </c>
      <c r="S88" s="62">
        <f ca="1">AVERAGE(OFFSET($R$3,0,0,'Données projet'!$E$9+1,1))-AVERAGE(OFFSET($H$3,0,0,'Données projet'!$E$9+1,1))</f>
        <v>430.11660085503223</v>
      </c>
      <c r="T88" s="62">
        <f t="shared" si="88"/>
        <v>231.36959598460686</v>
      </c>
      <c r="U88" s="16">
        <f>IF(ISNA(VLOOKUP(A88,'Données projet'!$A$35:$I$55,3,0)),0,VLOOKUP(A88,'Données projet'!$A$35:$I$55,3,0))</f>
        <v>7</v>
      </c>
      <c r="V88" s="16">
        <f>IF(ISNA(VLOOKUP(A88,'Données projet'!$A$35:$I$55,4,0)),0,VLOOKUP(A88,'Données projet'!$A$35:$I$55,4,0))</f>
        <v>42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290</v>
      </c>
      <c r="AG88" s="13">
        <f>VLOOKUP(A88,'Données projet'!$A$61:$I$81,9,0)</f>
        <v>5.8</v>
      </c>
      <c r="AH88" s="13">
        <f t="array" ref="AH88">INDEX(AG:AG,MIN(IF(ISNUMBER(AG88:AG284),ROW(AG88:AG284),"")))</f>
        <v>5.8</v>
      </c>
      <c r="AI88" s="14">
        <f>IF('Données projet'!$A$62&gt;35,AI87+AH88-AQ87,IF(A88&lt;'Données projet'!$A$62,$AF$205^A88,IF(A88='Données projet'!$A$62,'Données projet'!$B$62,AI87+AH88-AQ87)))</f>
        <v>289.99999999999994</v>
      </c>
      <c r="AJ88" s="14">
        <f>AI88*VLOOKUP('Données projet'!$B$10,Paramètres!$A$1:$I$89,3,0)*VLOOKUP('Données projet'!$B$10,Paramètres!$A$1:$I$89,5,0)</f>
        <v>280.48799999999994</v>
      </c>
      <c r="AK88" s="14">
        <f t="shared" si="89"/>
        <v>67.070126855467564</v>
      </c>
      <c r="AL88" s="22">
        <f t="shared" si="58"/>
        <v>605.33040427327262</v>
      </c>
      <c r="AM88" s="62">
        <f t="shared" si="59"/>
        <v>898.66373760660599</v>
      </c>
      <c r="AN88" s="62">
        <f ca="1">AVERAGE(OFFSET($AM$3,0,0,'Données projet'!$E$10+1,1))-AVERAGE(OFFSET($H$3,0,0,'Données projet'!$E$10+1,1))</f>
        <v>456.86147223520601</v>
      </c>
      <c r="AO88" s="62">
        <f t="shared" si="90"/>
        <v>244.45149244446094</v>
      </c>
      <c r="AP88" s="16">
        <f>IF(ISNA(VLOOKUP(A88,'Données projet'!$A$61:$I$81,3,0)),0,VLOOKUP(A88,'Données projet'!$A$61:$I$81,3,0))</f>
        <v>7</v>
      </c>
      <c r="AQ88" s="16">
        <f>IF(ISNA(VLOOKUP(A88,'Données projet'!$A$61:$I$81,4,0)),0,VLOOKUP(A88,'Données projet'!$A$61:$I$81,4,0))</f>
        <v>42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-1.1368683772161603E-13</v>
      </c>
      <c r="BE88" s="14">
        <f>BD88*VLOOKUP('Données projet'!$B$11,Paramètres!$A$1:$I$89,3,0)*VLOOKUP('Données projet'!$B$11,Paramètres!$A$1:$I$89,5,0)</f>
        <v>-6.7984728957526396E-14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215.43756133069593</v>
      </c>
      <c r="BJ88" s="62">
        <f t="shared" si="92"/>
        <v>363.02009369315243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37.206962434542916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3.3152963078077869E-5</v>
      </c>
      <c r="BS88" s="24">
        <f t="shared" si="63"/>
        <v>37.206995587505993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-6.8212102632969618E-13</v>
      </c>
      <c r="BZ88" s="14">
        <f>BY88*VLOOKUP('Données projet'!$B$12,Paramètres!$A$1:$I$89,3,0)*VLOOKUP('Données projet'!$B$12,Paramètres!$A$1:$I$89,5,0)</f>
        <v>-3.0149749363772573E-13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461.75392711528474</v>
      </c>
      <c r="CE88" s="62">
        <f t="shared" si="94"/>
        <v>441.67157957428236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>
        <f>CT88*VLOOKUP('Données projet'!$B$13,Paramètres!$A$1:$I$89,3,0)*VLOOKUP('Données projet'!$B$13,Paramètres!$A$1:$I$89,5,0)</f>
        <v>0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338.72479490324491</v>
      </c>
      <c r="CZ88" s="62">
        <f t="shared" si="96"/>
        <v>248.47107558211923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5.2</v>
      </c>
      <c r="N89" s="14">
        <f>IF('Données projet'!$A$36&gt;35,N88+M89-V88,IF(A89&lt;'Données projet'!$A$36,$K$205^A89,IF(A89='Données projet'!$A$36,'Données projet'!$B$36,N88+M89-V88)))</f>
        <v>253.19999999999993</v>
      </c>
      <c r="O89" s="14">
        <f>N89*VLOOKUP('Données projet'!$B$9,Paramètres!$A$1:$I$89,3,0)*VLOOKUP('Données projet'!$B$9,Paramètres!$A$1:$I$89,5,0)</f>
        <v>229.09535999999991</v>
      </c>
      <c r="P89" s="14">
        <f t="shared" si="87"/>
        <v>56.087032370558362</v>
      </c>
      <c r="Q89" s="22">
        <f t="shared" si="54"/>
        <v>496.69266671205565</v>
      </c>
      <c r="R89" s="62">
        <f t="shared" si="55"/>
        <v>790.02600004538897</v>
      </c>
      <c r="S89" s="62">
        <f ca="1">AVERAGE(OFFSET($R$3,0,0,'Données projet'!$E$9+1,1))-AVERAGE(OFFSET($H$3,0,0,'Données projet'!$E$9+1,1))</f>
        <v>430.11660085503223</v>
      </c>
      <c r="T89" s="62">
        <f t="shared" si="88"/>
        <v>231.36959598460686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5.2</v>
      </c>
      <c r="AI89" s="14">
        <f>IF('Données projet'!$A$62&gt;35,AI88+AH89-AQ88,IF(A89&lt;'Données projet'!$A$62,$AF$205^A89,IF(A89='Données projet'!$A$62,'Données projet'!$B$62,AI88+AH89-AQ88)))</f>
        <v>253.19999999999993</v>
      </c>
      <c r="AJ89" s="14">
        <f>AI89*VLOOKUP('Données projet'!$B$10,Paramètres!$A$1:$I$89,3,0)*VLOOKUP('Données projet'!$B$10,Paramètres!$A$1:$I$89,5,0)</f>
        <v>244.89503999999994</v>
      </c>
      <c r="AK89" s="14">
        <f t="shared" si="89"/>
        <v>59.491481383464382</v>
      </c>
      <c r="AL89" s="22">
        <f t="shared" si="58"/>
        <v>530.13985807620031</v>
      </c>
      <c r="AM89" s="62">
        <f t="shared" si="59"/>
        <v>823.47319140953368</v>
      </c>
      <c r="AN89" s="62">
        <f ca="1">AVERAGE(OFFSET($AM$3,0,0,'Données projet'!$E$10+1,1))-AVERAGE(OFFSET($H$3,0,0,'Données projet'!$E$10+1,1))</f>
        <v>456.86147223520601</v>
      </c>
      <c r="AO89" s="62">
        <f t="shared" si="90"/>
        <v>244.45149244446094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-1.1368683772161603E-13</v>
      </c>
      <c r="BE89" s="14">
        <f>BD89*VLOOKUP('Données projet'!$B$11,Paramètres!$A$1:$I$89,3,0)*VLOOKUP('Données projet'!$B$11,Paramètres!$A$1:$I$89,5,0)</f>
        <v>-6.7984728957526396E-14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215.43756133069593</v>
      </c>
      <c r="BJ89" s="62">
        <f t="shared" si="92"/>
        <v>363.02009369315243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36.477356595207766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2.3442685008936097E-5</v>
      </c>
      <c r="BS89" s="24">
        <f t="shared" si="63"/>
        <v>36.477380037892772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-6.8212102632969618E-13</v>
      </c>
      <c r="BZ89" s="14">
        <f>BY89*VLOOKUP('Données projet'!$B$12,Paramètres!$A$1:$I$89,3,0)*VLOOKUP('Données projet'!$B$12,Paramètres!$A$1:$I$89,5,0)</f>
        <v>-3.0149749363772573E-13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461.75392711528474</v>
      </c>
      <c r="CE89" s="62">
        <f t="shared" si="94"/>
        <v>441.67157957428236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>
        <f>CT89*VLOOKUP('Données projet'!$B$13,Paramètres!$A$1:$I$89,3,0)*VLOOKUP('Données projet'!$B$13,Paramètres!$A$1:$I$89,5,0)</f>
        <v>0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338.72479490324491</v>
      </c>
      <c r="CZ89" s="62">
        <f t="shared" si="96"/>
        <v>248.47107558211923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5.2</v>
      </c>
      <c r="N90" s="14">
        <f>IF('Données projet'!$A$36&gt;35,N89+M90-V89,IF(A90&lt;'Données projet'!$A$36,$K$205^A90,IF(A90='Données projet'!$A$36,'Données projet'!$B$36,N89+M90-V89)))</f>
        <v>258.39999999999992</v>
      </c>
      <c r="O90" s="14">
        <f>N90*VLOOKUP('Données projet'!$B$9,Paramètres!$A$1:$I$89,3,0)*VLOOKUP('Données projet'!$B$9,Paramètres!$A$1:$I$89,5,0)</f>
        <v>233.80031999999994</v>
      </c>
      <c r="P90" s="14">
        <f t="shared" si="87"/>
        <v>57.103614181373779</v>
      </c>
      <c r="Q90" s="22">
        <f t="shared" si="54"/>
        <v>506.65768536589252</v>
      </c>
      <c r="R90" s="62">
        <f t="shared" si="55"/>
        <v>799.99101869922583</v>
      </c>
      <c r="S90" s="62">
        <f ca="1">AVERAGE(OFFSET($R$3,0,0,'Données projet'!$E$9+1,1))-AVERAGE(OFFSET($H$3,0,0,'Données projet'!$E$9+1,1))</f>
        <v>430.11660085503223</v>
      </c>
      <c r="T90" s="62">
        <f t="shared" si="88"/>
        <v>231.36959598460686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5.2</v>
      </c>
      <c r="AI90" s="14">
        <f>IF('Données projet'!$A$62&gt;35,AI89+AH90-AQ89,IF(A90&lt;'Données projet'!$A$62,$AF$205^A90,IF(A90='Données projet'!$A$62,'Données projet'!$B$62,AI89+AH90-AQ89)))</f>
        <v>258.39999999999992</v>
      </c>
      <c r="AJ90" s="14">
        <f>AI90*VLOOKUP('Données projet'!$B$10,Paramètres!$A$1:$I$89,3,0)*VLOOKUP('Données projet'!$B$10,Paramètres!$A$1:$I$89,5,0)</f>
        <v>249.92447999999993</v>
      </c>
      <c r="AK90" s="14">
        <f t="shared" si="89"/>
        <v>60.569769096626466</v>
      </c>
      <c r="AL90" s="22">
        <f t="shared" si="58"/>
        <v>540.77748384329095</v>
      </c>
      <c r="AM90" s="62">
        <f t="shared" si="59"/>
        <v>834.11081717662432</v>
      </c>
      <c r="AN90" s="62">
        <f ca="1">AVERAGE(OFFSET($AM$3,0,0,'Données projet'!$E$10+1,1))-AVERAGE(OFFSET($H$3,0,0,'Données projet'!$E$10+1,1))</f>
        <v>456.86147223520601</v>
      </c>
      <c r="AO90" s="62">
        <f t="shared" si="90"/>
        <v>244.45149244446094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-1.1368683772161603E-13</v>
      </c>
      <c r="BE90" s="14">
        <f>BD90*VLOOKUP('Données projet'!$B$11,Paramètres!$A$1:$I$89,3,0)*VLOOKUP('Données projet'!$B$11,Paramètres!$A$1:$I$89,5,0)</f>
        <v>-6.7984728957526396E-14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215.43756133069593</v>
      </c>
      <c r="BJ90" s="62">
        <f t="shared" si="92"/>
        <v>363.02009369315243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35.76205788136636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1.6576481539038934E-5</v>
      </c>
      <c r="BS90" s="24">
        <f t="shared" si="63"/>
        <v>35.762074457847902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-6.8212102632969618E-13</v>
      </c>
      <c r="BZ90" s="14">
        <f>BY90*VLOOKUP('Données projet'!$B$12,Paramètres!$A$1:$I$89,3,0)*VLOOKUP('Données projet'!$B$12,Paramètres!$A$1:$I$89,5,0)</f>
        <v>-3.0149749363772573E-13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461.75392711528474</v>
      </c>
      <c r="CE90" s="62">
        <f t="shared" si="94"/>
        <v>441.67157957428236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>
        <f>CT90*VLOOKUP('Données projet'!$B$13,Paramètres!$A$1:$I$89,3,0)*VLOOKUP('Données projet'!$B$13,Paramètres!$A$1:$I$89,5,0)</f>
        <v>0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338.72479490324491</v>
      </c>
      <c r="CZ90" s="62">
        <f t="shared" si="96"/>
        <v>248.47107558211923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5.2</v>
      </c>
      <c r="N91" s="14">
        <f>IF('Données projet'!$A$36&gt;35,N90+M91-V90,IF(A91&lt;'Données projet'!$A$36,$K$205^A91,IF(A91='Données projet'!$A$36,'Données projet'!$B$36,N90+M91-V90)))</f>
        <v>263.59999999999991</v>
      </c>
      <c r="O91" s="14">
        <f>N91*VLOOKUP('Données projet'!$B$9,Paramètres!$A$1:$I$89,3,0)*VLOOKUP('Données projet'!$B$9,Paramètres!$A$1:$I$89,5,0)</f>
        <v>238.50527999999991</v>
      </c>
      <c r="P91" s="14">
        <f t="shared" si="87"/>
        <v>58.117817352909881</v>
      </c>
      <c r="Q91" s="22">
        <f t="shared" si="54"/>
        <v>516.61856122298445</v>
      </c>
      <c r="R91" s="62">
        <f t="shared" si="55"/>
        <v>809.95189455631771</v>
      </c>
      <c r="S91" s="62">
        <f ca="1">AVERAGE(OFFSET($R$3,0,0,'Données projet'!$E$9+1,1))-AVERAGE(OFFSET($H$3,0,0,'Données projet'!$E$9+1,1))</f>
        <v>430.11660085503223</v>
      </c>
      <c r="T91" s="62">
        <f t="shared" si="88"/>
        <v>231.36959598460686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5.2</v>
      </c>
      <c r="AI91" s="14">
        <f>IF('Données projet'!$A$62&gt;35,AI90+AH91-AQ90,IF(A91&lt;'Données projet'!$A$62,$AF$205^A91,IF(A91='Données projet'!$A$62,'Données projet'!$B$62,AI90+AH91-AQ90)))</f>
        <v>263.59999999999991</v>
      </c>
      <c r="AJ91" s="14">
        <f>AI91*VLOOKUP('Données projet'!$B$10,Paramètres!$A$1:$I$89,3,0)*VLOOKUP('Données projet'!$B$10,Paramètres!$A$1:$I$89,5,0)</f>
        <v>254.9539199999999</v>
      </c>
      <c r="AK91" s="14">
        <f t="shared" si="89"/>
        <v>61.645533788540526</v>
      </c>
      <c r="AL91" s="22">
        <f t="shared" si="58"/>
        <v>551.41071534837454</v>
      </c>
      <c r="AM91" s="62">
        <f t="shared" si="59"/>
        <v>844.74404868170791</v>
      </c>
      <c r="AN91" s="62">
        <f ca="1">AVERAGE(OFFSET($AM$3,0,0,'Données projet'!$E$10+1,1))-AVERAGE(OFFSET($H$3,0,0,'Données projet'!$E$10+1,1))</f>
        <v>456.86147223520601</v>
      </c>
      <c r="AO91" s="62">
        <f t="shared" si="90"/>
        <v>244.45149244446094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-1.1368683772161603E-13</v>
      </c>
      <c r="BE91" s="14">
        <f>BD91*VLOOKUP('Données projet'!$B$11,Paramètres!$A$1:$I$89,3,0)*VLOOKUP('Données projet'!$B$11,Paramètres!$A$1:$I$89,5,0)</f>
        <v>-6.7984728957526396E-14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215.43756133069593</v>
      </c>
      <c r="BJ91" s="62">
        <f t="shared" si="92"/>
        <v>363.02009369315243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35.06078573901425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1.1721342504468048E-5</v>
      </c>
      <c r="BS91" s="24">
        <f t="shared" si="63"/>
        <v>35.060797460356753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-6.8212102632969618E-13</v>
      </c>
      <c r="BZ91" s="14">
        <f>BY91*VLOOKUP('Données projet'!$B$12,Paramètres!$A$1:$I$89,3,0)*VLOOKUP('Données projet'!$B$12,Paramètres!$A$1:$I$89,5,0)</f>
        <v>-3.0149749363772573E-13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461.75392711528474</v>
      </c>
      <c r="CE91" s="62">
        <f t="shared" si="94"/>
        <v>441.67157957428236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>
        <f>CT91*VLOOKUP('Données projet'!$B$13,Paramètres!$A$1:$I$89,3,0)*VLOOKUP('Données projet'!$B$13,Paramètres!$A$1:$I$89,5,0)</f>
        <v>0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338.72479490324491</v>
      </c>
      <c r="CZ91" s="62">
        <f t="shared" si="96"/>
        <v>248.47107558211923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5.2</v>
      </c>
      <c r="N92" s="14">
        <f>IF('Données projet'!$A$36&gt;35,N91+M92-V91,IF(A92&lt;'Données projet'!$A$36,$K$205^A92,IF(A92='Données projet'!$A$36,'Données projet'!$B$36,N91+M92-V91)))</f>
        <v>268.7999999999999</v>
      </c>
      <c r="O92" s="14">
        <f>N92*VLOOKUP('Données projet'!$B$9,Paramètres!$A$1:$I$89,3,0)*VLOOKUP('Données projet'!$B$9,Paramètres!$A$1:$I$89,5,0)</f>
        <v>243.21023999999991</v>
      </c>
      <c r="P92" s="14">
        <f t="shared" si="87"/>
        <v>59.129694216846737</v>
      </c>
      <c r="Q92" s="22">
        <f t="shared" si="54"/>
        <v>526.57538542767463</v>
      </c>
      <c r="R92" s="62">
        <f t="shared" si="55"/>
        <v>819.908718761008</v>
      </c>
      <c r="S92" s="62">
        <f ca="1">AVERAGE(OFFSET($R$3,0,0,'Données projet'!$E$9+1,1))-AVERAGE(OFFSET($H$3,0,0,'Données projet'!$E$9+1,1))</f>
        <v>430.11660085503223</v>
      </c>
      <c r="T92" s="62">
        <f t="shared" si="88"/>
        <v>231.36959598460686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5.2</v>
      </c>
      <c r="AI92" s="14">
        <f>IF('Données projet'!$A$62&gt;35,AI91+AH92-AQ91,IF(A92&lt;'Données projet'!$A$62,$AF$205^A92,IF(A92='Données projet'!$A$62,'Données projet'!$B$62,AI91+AH92-AQ91)))</f>
        <v>268.7999999999999</v>
      </c>
      <c r="AJ92" s="14">
        <f>AI92*VLOOKUP('Données projet'!$B$10,Paramètres!$A$1:$I$89,3,0)*VLOOKUP('Données projet'!$B$10,Paramètres!$A$1:$I$89,5,0)</f>
        <v>259.98335999999995</v>
      </c>
      <c r="AK92" s="14">
        <f t="shared" si="89"/>
        <v>62.718830967388243</v>
      </c>
      <c r="AL92" s="22">
        <f t="shared" si="58"/>
        <v>562.03964926820106</v>
      </c>
      <c r="AM92" s="62">
        <f t="shared" si="59"/>
        <v>855.37298260153443</v>
      </c>
      <c r="AN92" s="62">
        <f ca="1">AVERAGE(OFFSET($AM$3,0,0,'Données projet'!$E$10+1,1))-AVERAGE(OFFSET($H$3,0,0,'Données projet'!$E$10+1,1))</f>
        <v>456.86147223520601</v>
      </c>
      <c r="AO92" s="62">
        <f t="shared" si="90"/>
        <v>244.45149244446094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-1.1368683772161603E-13</v>
      </c>
      <c r="BE92" s="14">
        <f>BD92*VLOOKUP('Données projet'!$B$11,Paramètres!$A$1:$I$89,3,0)*VLOOKUP('Données projet'!$B$11,Paramètres!$A$1:$I$89,5,0)</f>
        <v>-6.7984728957526396E-14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215.43756133069593</v>
      </c>
      <c r="BJ92" s="62">
        <f t="shared" si="92"/>
        <v>363.02009369315243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34.373265115639889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8.2882407695194672E-6</v>
      </c>
      <c r="BS92" s="24">
        <f t="shared" si="63"/>
        <v>34.37327340388066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-6.8212102632969618E-13</v>
      </c>
      <c r="BZ92" s="14">
        <f>BY92*VLOOKUP('Données projet'!$B$12,Paramètres!$A$1:$I$89,3,0)*VLOOKUP('Données projet'!$B$12,Paramètres!$A$1:$I$89,5,0)</f>
        <v>-3.0149749363772573E-13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461.75392711528474</v>
      </c>
      <c r="CE92" s="62">
        <f t="shared" si="94"/>
        <v>441.67157957428236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>
        <f>CT92*VLOOKUP('Données projet'!$B$13,Paramètres!$A$1:$I$89,3,0)*VLOOKUP('Données projet'!$B$13,Paramètres!$A$1:$I$89,5,0)</f>
        <v>0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338.72479490324491</v>
      </c>
      <c r="CZ92" s="62">
        <f t="shared" si="96"/>
        <v>248.47107558211923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5.2</v>
      </c>
      <c r="N93" s="14">
        <f>IF('Données projet'!$A$36&gt;35,N92+M93-V92,IF(A93&lt;'Données projet'!$A$36,$K$205^A93,IF(A93='Données projet'!$A$36,'Données projet'!$B$36,N92+M93-V92)))</f>
        <v>273.99999999999989</v>
      </c>
      <c r="O93" s="14">
        <f>N93*VLOOKUP('Données projet'!$B$9,Paramètres!$A$1:$I$89,3,0)*VLOOKUP('Données projet'!$B$9,Paramètres!$A$1:$I$89,5,0)</f>
        <v>247.91519999999991</v>
      </c>
      <c r="P93" s="14">
        <f t="shared" si="87"/>
        <v>60.139294964297406</v>
      </c>
      <c r="Q93" s="22">
        <f t="shared" si="54"/>
        <v>536.52824539615108</v>
      </c>
      <c r="R93" s="62">
        <f t="shared" si="55"/>
        <v>829.86157872948434</v>
      </c>
      <c r="S93" s="62">
        <f ca="1">AVERAGE(OFFSET($R$3,0,0,'Données projet'!$E$9+1,1))-AVERAGE(OFFSET($H$3,0,0,'Données projet'!$E$9+1,1))</f>
        <v>430.11660085503223</v>
      </c>
      <c r="T93" s="62">
        <f t="shared" si="88"/>
        <v>231.36959598460686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5.2</v>
      </c>
      <c r="AI93" s="14">
        <f>IF('Données projet'!$A$62&gt;35,AI92+AH93-AQ92,IF(A93&lt;'Données projet'!$A$62,$AF$205^A93,IF(A93='Données projet'!$A$62,'Données projet'!$B$62,AI92+AH93-AQ92)))</f>
        <v>273.99999999999989</v>
      </c>
      <c r="AJ93" s="14">
        <f>AI93*VLOOKUP('Données projet'!$B$10,Paramètres!$A$1:$I$89,3,0)*VLOOKUP('Données projet'!$B$10,Paramètres!$A$1:$I$89,5,0)</f>
        <v>265.01279999999991</v>
      </c>
      <c r="AK93" s="14">
        <f t="shared" si="89"/>
        <v>63.789713870852729</v>
      </c>
      <c r="AL93" s="22">
        <f t="shared" si="58"/>
        <v>572.66437832506824</v>
      </c>
      <c r="AM93" s="62">
        <f t="shared" si="59"/>
        <v>865.99771165840161</v>
      </c>
      <c r="AN93" s="62">
        <f ca="1">AVERAGE(OFFSET($AM$3,0,0,'Données projet'!$E$10+1,1))-AVERAGE(OFFSET($H$3,0,0,'Données projet'!$E$10+1,1))</f>
        <v>456.86147223520601</v>
      </c>
      <c r="AO93" s="62">
        <f t="shared" si="90"/>
        <v>244.45149244446094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-1.1368683772161603E-13</v>
      </c>
      <c r="BE93" s="14">
        <f>BD93*VLOOKUP('Données projet'!$B$11,Paramètres!$A$1:$I$89,3,0)*VLOOKUP('Données projet'!$B$11,Paramètres!$A$1:$I$89,5,0)</f>
        <v>-6.7984728957526396E-14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215.43756133069593</v>
      </c>
      <c r="BJ93" s="62">
        <f t="shared" si="92"/>
        <v>363.02009369315243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33.699226352343729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5.8606712522340242E-6</v>
      </c>
      <c r="BS93" s="24">
        <f t="shared" si="63"/>
        <v>33.69923221301498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-6.8212102632969618E-13</v>
      </c>
      <c r="BZ93" s="14">
        <f>BY93*VLOOKUP('Données projet'!$B$12,Paramètres!$A$1:$I$89,3,0)*VLOOKUP('Données projet'!$B$12,Paramètres!$A$1:$I$89,5,0)</f>
        <v>-3.0149749363772573E-13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461.75392711528474</v>
      </c>
      <c r="CE93" s="62">
        <f t="shared" si="94"/>
        <v>441.67157957428236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>
        <f>CT93*VLOOKUP('Données projet'!$B$13,Paramètres!$A$1:$I$89,3,0)*VLOOKUP('Données projet'!$B$13,Paramètres!$A$1:$I$89,5,0)</f>
        <v>0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338.72479490324491</v>
      </c>
      <c r="CZ93" s="62">
        <f t="shared" si="96"/>
        <v>248.47107558211923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5.2</v>
      </c>
      <c r="N94" s="14">
        <f>IF('Données projet'!$A$36&gt;35,N93+M94-V93,IF(A94&lt;'Données projet'!$A$36,$K$205^A94,IF(A94='Données projet'!$A$36,'Données projet'!$B$36,N93+M94-V93)))</f>
        <v>279.19999999999987</v>
      </c>
      <c r="O94" s="14">
        <f>N94*VLOOKUP('Données projet'!$B$9,Paramètres!$A$1:$I$89,3,0)*VLOOKUP('Données projet'!$B$9,Paramètres!$A$1:$I$89,5,0)</f>
        <v>252.62015999999988</v>
      </c>
      <c r="P94" s="14">
        <f t="shared" si="87"/>
        <v>61.14666777229877</v>
      </c>
      <c r="Q94" s="22">
        <f t="shared" si="54"/>
        <v>546.47722503675345</v>
      </c>
      <c r="R94" s="62">
        <f t="shared" si="55"/>
        <v>839.81055837008671</v>
      </c>
      <c r="S94" s="62">
        <f ca="1">AVERAGE(OFFSET($R$3,0,0,'Données projet'!$E$9+1,1))-AVERAGE(OFFSET($H$3,0,0,'Données projet'!$E$9+1,1))</f>
        <v>430.11660085503223</v>
      </c>
      <c r="T94" s="62">
        <f t="shared" si="88"/>
        <v>231.36959598460686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5.2</v>
      </c>
      <c r="AI94" s="14">
        <f>IF('Données projet'!$A$62&gt;35,AI93+AH94-AQ93,IF(A94&lt;'Données projet'!$A$62,$AF$205^A94,IF(A94='Données projet'!$A$62,'Données projet'!$B$62,AI93+AH94-AQ93)))</f>
        <v>279.19999999999987</v>
      </c>
      <c r="AJ94" s="14">
        <f>AI94*VLOOKUP('Données projet'!$B$10,Paramètres!$A$1:$I$89,3,0)*VLOOKUP('Données projet'!$B$10,Paramètres!$A$1:$I$89,5,0)</f>
        <v>270.04223999999988</v>
      </c>
      <c r="AK94" s="14">
        <f t="shared" si="89"/>
        <v>64.858233600288088</v>
      </c>
      <c r="AL94" s="22">
        <f t="shared" si="58"/>
        <v>583.28499152050153</v>
      </c>
      <c r="AM94" s="62">
        <f t="shared" si="59"/>
        <v>876.61832485383479</v>
      </c>
      <c r="AN94" s="62">
        <f ca="1">AVERAGE(OFFSET($AM$3,0,0,'Données projet'!$E$10+1,1))-AVERAGE(OFFSET($H$3,0,0,'Données projet'!$E$10+1,1))</f>
        <v>456.86147223520601</v>
      </c>
      <c r="AO94" s="62">
        <f t="shared" si="90"/>
        <v>244.45149244446094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-1.1368683772161603E-13</v>
      </c>
      <c r="BE94" s="14">
        <f>BD94*VLOOKUP('Données projet'!$B$11,Paramètres!$A$1:$I$89,3,0)*VLOOKUP('Données projet'!$B$11,Paramètres!$A$1:$I$89,5,0)</f>
        <v>-6.7984728957526396E-14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215.43756133069593</v>
      </c>
      <c r="BJ94" s="62">
        <f t="shared" si="92"/>
        <v>363.02009369315243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33.038405078072756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4.1441203847597336E-6</v>
      </c>
      <c r="BS94" s="24">
        <f t="shared" si="63"/>
        <v>33.038409222193138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-6.8212102632969618E-13</v>
      </c>
      <c r="BZ94" s="14">
        <f>BY94*VLOOKUP('Données projet'!$B$12,Paramètres!$A$1:$I$89,3,0)*VLOOKUP('Données projet'!$B$12,Paramètres!$A$1:$I$89,5,0)</f>
        <v>-3.0149749363772573E-13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461.75392711528474</v>
      </c>
      <c r="CE94" s="62">
        <f t="shared" si="94"/>
        <v>441.67157957428236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>
        <f>CT94*VLOOKUP('Données projet'!$B$13,Paramètres!$A$1:$I$89,3,0)*VLOOKUP('Données projet'!$B$13,Paramètres!$A$1:$I$89,5,0)</f>
        <v>0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338.72479490324491</v>
      </c>
      <c r="CZ94" s="62">
        <f t="shared" si="96"/>
        <v>248.47107558211923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5.2</v>
      </c>
      <c r="N95" s="14">
        <f>IF('Données projet'!$A$36&gt;35,N94+M95-V94,IF(A95&lt;'Données projet'!$A$36,$K$205^A95,IF(A95='Données projet'!$A$36,'Données projet'!$B$36,N94+M95-V94)))</f>
        <v>284.39999999999986</v>
      </c>
      <c r="O95" s="14">
        <f>N95*VLOOKUP('Données projet'!$B$9,Paramètres!$A$1:$I$89,3,0)*VLOOKUP('Données projet'!$B$9,Paramètres!$A$1:$I$89,5,0)</f>
        <v>257.32511999999986</v>
      </c>
      <c r="P95" s="14">
        <f t="shared" si="87"/>
        <v>62.151858920612646</v>
      </c>
      <c r="Q95" s="22">
        <f t="shared" si="54"/>
        <v>556.42240495340013</v>
      </c>
      <c r="R95" s="62">
        <f t="shared" si="55"/>
        <v>849.7557382867335</v>
      </c>
      <c r="S95" s="62">
        <f ca="1">AVERAGE(OFFSET($R$3,0,0,'Données projet'!$E$9+1,1))-AVERAGE(OFFSET($H$3,0,0,'Données projet'!$E$9+1,1))</f>
        <v>430.11660085503223</v>
      </c>
      <c r="T95" s="62">
        <f t="shared" si="88"/>
        <v>231.36959598460686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5.2</v>
      </c>
      <c r="AI95" s="14">
        <f>IF('Données projet'!$A$62&gt;35,AI94+AH95-AQ94,IF(A95&lt;'Données projet'!$A$62,$AF$205^A95,IF(A95='Données projet'!$A$62,'Données projet'!$B$62,AI94+AH95-AQ94)))</f>
        <v>284.39999999999986</v>
      </c>
      <c r="AJ95" s="14">
        <f>AI95*VLOOKUP('Données projet'!$B$10,Paramètres!$A$1:$I$89,3,0)*VLOOKUP('Données projet'!$B$10,Paramètres!$A$1:$I$89,5,0)</f>
        <v>275.0716799999999</v>
      </c>
      <c r="AK95" s="14">
        <f t="shared" si="89"/>
        <v>65.924439244609701</v>
      </c>
      <c r="AL95" s="22">
        <f t="shared" si="58"/>
        <v>593.90157435102833</v>
      </c>
      <c r="AM95" s="62">
        <f t="shared" si="59"/>
        <v>887.23490768436159</v>
      </c>
      <c r="AN95" s="62">
        <f ca="1">AVERAGE(OFFSET($AM$3,0,0,'Données projet'!$E$10+1,1))-AVERAGE(OFFSET($H$3,0,0,'Données projet'!$E$10+1,1))</f>
        <v>456.86147223520601</v>
      </c>
      <c r="AO95" s="62">
        <f t="shared" si="90"/>
        <v>244.45149244446094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-1.1368683772161603E-13</v>
      </c>
      <c r="BE95" s="14">
        <f>BD95*VLOOKUP('Données projet'!$B$11,Paramètres!$A$1:$I$89,3,0)*VLOOKUP('Données projet'!$B$11,Paramètres!$A$1:$I$89,5,0)</f>
        <v>-6.7984728957526396E-14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215.43756133069593</v>
      </c>
      <c r="BJ95" s="62">
        <f t="shared" si="92"/>
        <v>363.02009369315243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32.390542105929057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2.9303356261170121E-6</v>
      </c>
      <c r="BS95" s="24">
        <f t="shared" si="63"/>
        <v>32.390545036264683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-6.8212102632969618E-13</v>
      </c>
      <c r="BZ95" s="14">
        <f>BY95*VLOOKUP('Données projet'!$B$12,Paramètres!$A$1:$I$89,3,0)*VLOOKUP('Données projet'!$B$12,Paramètres!$A$1:$I$89,5,0)</f>
        <v>-3.0149749363772573E-13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461.75392711528474</v>
      </c>
      <c r="CE95" s="62">
        <f t="shared" si="94"/>
        <v>441.67157957428236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>
        <f>CT95*VLOOKUP('Données projet'!$B$13,Paramètres!$A$1:$I$89,3,0)*VLOOKUP('Données projet'!$B$13,Paramètres!$A$1:$I$89,5,0)</f>
        <v>0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338.72479490324491</v>
      </c>
      <c r="CZ95" s="62">
        <f t="shared" si="96"/>
        <v>248.47107558211923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5.2</v>
      </c>
      <c r="N96" s="14">
        <f>IF('Données projet'!$A$36&gt;35,N95+M96-V95,IF(A96&lt;'Données projet'!$A$36,$K$205^A96,IF(A96='Données projet'!$A$36,'Données projet'!$B$36,N95+M96-V95)))</f>
        <v>289.59999999999985</v>
      </c>
      <c r="O96" s="14">
        <f>N96*VLOOKUP('Données projet'!$B$9,Paramètres!$A$1:$I$89,3,0)*VLOOKUP('Données projet'!$B$9,Paramètres!$A$1:$I$89,5,0)</f>
        <v>262.03007999999988</v>
      </c>
      <c r="P96" s="14">
        <f t="shared" si="87"/>
        <v>63.154912899742584</v>
      </c>
      <c r="Q96" s="22">
        <f t="shared" si="54"/>
        <v>566.3638626337181</v>
      </c>
      <c r="R96" s="62">
        <f t="shared" si="55"/>
        <v>859.69719596705136</v>
      </c>
      <c r="S96" s="62">
        <f ca="1">AVERAGE(OFFSET($R$3,0,0,'Données projet'!$E$9+1,1))-AVERAGE(OFFSET($H$3,0,0,'Données projet'!$E$9+1,1))</f>
        <v>430.11660085503223</v>
      </c>
      <c r="T96" s="62">
        <f t="shared" si="88"/>
        <v>231.36959598460686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5.2</v>
      </c>
      <c r="AI96" s="14">
        <f>IF('Données projet'!$A$62&gt;35,AI95+AH96-AQ95,IF(A96&lt;'Données projet'!$A$62,$AF$205^A96,IF(A96='Données projet'!$A$62,'Données projet'!$B$62,AI95+AH96-AQ95)))</f>
        <v>289.59999999999985</v>
      </c>
      <c r="AJ96" s="14">
        <f>AI96*VLOOKUP('Données projet'!$B$10,Paramètres!$A$1:$I$89,3,0)*VLOOKUP('Données projet'!$B$10,Paramètres!$A$1:$I$89,5,0)</f>
        <v>280.10111999999987</v>
      </c>
      <c r="AK96" s="14">
        <f t="shared" si="89"/>
        <v>66.988377994867818</v>
      </c>
      <c r="AL96" s="22">
        <f t="shared" si="58"/>
        <v>604.5142090077278</v>
      </c>
      <c r="AM96" s="62">
        <f t="shared" si="59"/>
        <v>897.84754234106117</v>
      </c>
      <c r="AN96" s="62">
        <f ca="1">AVERAGE(OFFSET($AM$3,0,0,'Données projet'!$E$10+1,1))-AVERAGE(OFFSET($H$3,0,0,'Données projet'!$E$10+1,1))</f>
        <v>456.86147223520601</v>
      </c>
      <c r="AO96" s="62">
        <f t="shared" si="90"/>
        <v>244.45149244446094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-1.1368683772161603E-13</v>
      </c>
      <c r="BE96" s="14">
        <f>BD96*VLOOKUP('Données projet'!$B$11,Paramètres!$A$1:$I$89,3,0)*VLOOKUP('Données projet'!$B$11,Paramètres!$A$1:$I$89,5,0)</f>
        <v>-6.7984728957526396E-14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215.43756133069593</v>
      </c>
      <c r="BJ96" s="62">
        <f t="shared" si="92"/>
        <v>363.02009369315243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31.755383331511702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2.0720601923798668E-6</v>
      </c>
      <c r="BS96" s="24">
        <f t="shared" si="63"/>
        <v>31.755385403571893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-6.8212102632969618E-13</v>
      </c>
      <c r="BZ96" s="14">
        <f>BY96*VLOOKUP('Données projet'!$B$12,Paramètres!$A$1:$I$89,3,0)*VLOOKUP('Données projet'!$B$12,Paramètres!$A$1:$I$89,5,0)</f>
        <v>-3.0149749363772573E-13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461.75392711528474</v>
      </c>
      <c r="CE96" s="62">
        <f t="shared" si="94"/>
        <v>441.67157957428236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>
        <f>CT96*VLOOKUP('Données projet'!$B$13,Paramètres!$A$1:$I$89,3,0)*VLOOKUP('Données projet'!$B$13,Paramètres!$A$1:$I$89,5,0)</f>
        <v>0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338.72479490324491</v>
      </c>
      <c r="CZ96" s="62">
        <f t="shared" si="96"/>
        <v>248.47107558211923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5.2</v>
      </c>
      <c r="N97" s="14">
        <f>IF('Données projet'!$A$36&gt;35,N96+M97-V96,IF(A97&lt;'Données projet'!$A$36,$K$205^A97,IF(A97='Données projet'!$A$36,'Données projet'!$B$36,N96+M97-V96)))</f>
        <v>294.79999999999984</v>
      </c>
      <c r="O97" s="14">
        <f>N97*VLOOKUP('Données projet'!$B$9,Paramètres!$A$1:$I$89,3,0)*VLOOKUP('Données projet'!$B$9,Paramètres!$A$1:$I$89,5,0)</f>
        <v>266.73503999999986</v>
      </c>
      <c r="P97" s="14">
        <f t="shared" si="87"/>
        <v>64.155872510973225</v>
      </c>
      <c r="Q97" s="22">
        <f t="shared" si="54"/>
        <v>576.30167262327802</v>
      </c>
      <c r="R97" s="62">
        <f t="shared" si="55"/>
        <v>869.63500595661139</v>
      </c>
      <c r="S97" s="62">
        <f ca="1">AVERAGE(OFFSET($R$3,0,0,'Données projet'!$E$9+1,1))-AVERAGE(OFFSET($H$3,0,0,'Données projet'!$E$9+1,1))</f>
        <v>430.11660085503223</v>
      </c>
      <c r="T97" s="62">
        <f t="shared" si="88"/>
        <v>231.36959598460686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5.2</v>
      </c>
      <c r="AI97" s="14">
        <f>IF('Données projet'!$A$62&gt;35,AI96+AH97-AQ96,IF(A97&lt;'Données projet'!$A$62,$AF$205^A97,IF(A97='Données projet'!$A$62,'Données projet'!$B$62,AI96+AH97-AQ96)))</f>
        <v>294.79999999999984</v>
      </c>
      <c r="AJ97" s="14">
        <f>AI97*VLOOKUP('Données projet'!$B$10,Paramètres!$A$1:$I$89,3,0)*VLOOKUP('Données projet'!$B$10,Paramètres!$A$1:$I$89,5,0)</f>
        <v>285.13055999999983</v>
      </c>
      <c r="AK97" s="14">
        <f t="shared" si="89"/>
        <v>68.050095250359178</v>
      </c>
      <c r="AL97" s="22">
        <f t="shared" si="58"/>
        <v>615.12297456104193</v>
      </c>
      <c r="AM97" s="62">
        <f t="shared" si="59"/>
        <v>908.45630789437519</v>
      </c>
      <c r="AN97" s="62">
        <f ca="1">AVERAGE(OFFSET($AM$3,0,0,'Données projet'!$E$10+1,1))-AVERAGE(OFFSET($H$3,0,0,'Données projet'!$E$10+1,1))</f>
        <v>456.86147223520601</v>
      </c>
      <c r="AO97" s="62">
        <f t="shared" si="90"/>
        <v>244.45149244446094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-1.1368683772161603E-13</v>
      </c>
      <c r="BE97" s="14">
        <f>BD97*VLOOKUP('Données projet'!$B$11,Paramètres!$A$1:$I$89,3,0)*VLOOKUP('Données projet'!$B$11,Paramètres!$A$1:$I$89,5,0)</f>
        <v>-6.7984728957526396E-14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215.43756133069593</v>
      </c>
      <c r="BJ97" s="62">
        <f t="shared" si="92"/>
        <v>363.02009369315243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31.132679633252071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1.465167813058506E-6</v>
      </c>
      <c r="BS97" s="24">
        <f t="shared" si="63"/>
        <v>31.132681098419884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-6.8212102632969618E-13</v>
      </c>
      <c r="BZ97" s="14">
        <f>BY97*VLOOKUP('Données projet'!$B$12,Paramètres!$A$1:$I$89,3,0)*VLOOKUP('Données projet'!$B$12,Paramètres!$A$1:$I$89,5,0)</f>
        <v>-3.0149749363772573E-13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461.75392711528474</v>
      </c>
      <c r="CE97" s="62">
        <f t="shared" si="94"/>
        <v>441.67157957428236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>
        <f>CT97*VLOOKUP('Données projet'!$B$13,Paramètres!$A$1:$I$89,3,0)*VLOOKUP('Données projet'!$B$13,Paramètres!$A$1:$I$89,5,0)</f>
        <v>0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338.72479490324491</v>
      </c>
      <c r="CZ97" s="62">
        <f t="shared" si="96"/>
        <v>248.47107558211923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300</v>
      </c>
      <c r="L98" s="13">
        <f>VLOOKUP(A98,'Données projet'!$A$35:$I$55,9,0)</f>
        <v>5.2</v>
      </c>
      <c r="M98" s="13">
        <f t="array" ref="M98">INDEX(L:L,MIN(IF(ISNUMBER(L98:L294),ROW(L98:L294),"")))</f>
        <v>5.2</v>
      </c>
      <c r="N98" s="14">
        <f>IF('Données projet'!$A$36&gt;35,N97+M98-V97,IF(A98&lt;'Données projet'!$A$36,$K$205^A98,IF(A98='Données projet'!$A$36,'Données projet'!$B$36,N97+M98-V97)))</f>
        <v>299.99999999999983</v>
      </c>
      <c r="O98" s="14">
        <f>N98*VLOOKUP('Données projet'!$B$9,Paramètres!$A$1:$I$89,3,0)*VLOOKUP('Données projet'!$B$9,Paramètres!$A$1:$I$89,5,0)</f>
        <v>271.43999999999983</v>
      </c>
      <c r="P98" s="14">
        <f t="shared" si="87"/>
        <v>65.154778959151173</v>
      </c>
      <c r="Q98" s="22">
        <f t="shared" si="54"/>
        <v>586.23590668718793</v>
      </c>
      <c r="R98" s="62">
        <f t="shared" si="55"/>
        <v>879.56924002052119</v>
      </c>
      <c r="S98" s="62">
        <f ca="1">AVERAGE(OFFSET($R$3,0,0,'Données projet'!$E$9+1,1))-AVERAGE(OFFSET($H$3,0,0,'Données projet'!$E$9+1,1))</f>
        <v>430.11660085503223</v>
      </c>
      <c r="T98" s="62">
        <f t="shared" si="88"/>
        <v>231.36959598460686</v>
      </c>
      <c r="U98" s="16">
        <f>IF(ISNA(VLOOKUP(A98,'Données projet'!$A$35:$I$55,3,0)),0,VLOOKUP(A98,'Données projet'!$A$35:$I$55,3,0))</f>
        <v>8</v>
      </c>
      <c r="V98" s="16">
        <f>IF(ISNA(VLOOKUP(A98,'Données projet'!$A$35:$I$55,4,0)),0,VLOOKUP(A98,'Données projet'!$A$35:$I$55,4,0))</f>
        <v>42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300</v>
      </c>
      <c r="AG98" s="13">
        <f>VLOOKUP(A98,'Données projet'!$A$61:$I$81,9,0)</f>
        <v>5.2</v>
      </c>
      <c r="AH98" s="13">
        <f t="array" ref="AH98">INDEX(AG:AG,MIN(IF(ISNUMBER(AG98:AG294),ROW(AG98:AG294),"")))</f>
        <v>5.2</v>
      </c>
      <c r="AI98" s="14">
        <f>IF('Données projet'!$A$62&gt;35,AI97+AH98-AQ97,IF(A98&lt;'Données projet'!$A$62,$AF$205^A98,IF(A98='Données projet'!$A$62,'Données projet'!$B$62,AI97+AH98-AQ97)))</f>
        <v>299.99999999999983</v>
      </c>
      <c r="AJ98" s="14">
        <f>AI98*VLOOKUP('Données projet'!$B$10,Paramètres!$A$1:$I$89,3,0)*VLOOKUP('Données projet'!$B$10,Paramètres!$A$1:$I$89,5,0)</f>
        <v>290.15999999999985</v>
      </c>
      <c r="AK98" s="14">
        <f t="shared" si="89"/>
        <v>69.109634717039867</v>
      </c>
      <c r="AL98" s="22">
        <f t="shared" si="58"/>
        <v>625.72794713217752</v>
      </c>
      <c r="AM98" s="62">
        <f t="shared" si="59"/>
        <v>919.06128046551089</v>
      </c>
      <c r="AN98" s="62">
        <f ca="1">AVERAGE(OFFSET($AM$3,0,0,'Données projet'!$E$10+1,1))-AVERAGE(OFFSET($H$3,0,0,'Données projet'!$E$10+1,1))</f>
        <v>456.86147223520601</v>
      </c>
      <c r="AO98" s="62">
        <f t="shared" si="90"/>
        <v>244.45149244446094</v>
      </c>
      <c r="AP98" s="16">
        <f>IF(ISNA(VLOOKUP(A98,'Données projet'!$A$61:$I$81,3,0)),0,VLOOKUP(A98,'Données projet'!$A$61:$I$81,3,0))</f>
        <v>8</v>
      </c>
      <c r="AQ98" s="16">
        <f>IF(ISNA(VLOOKUP(A98,'Données projet'!$A$61:$I$81,4,0)),0,VLOOKUP(A98,'Données projet'!$A$61:$I$81,4,0))</f>
        <v>42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-1.1368683772161603E-13</v>
      </c>
      <c r="BE98" s="14">
        <f>BD98*VLOOKUP('Données projet'!$B$11,Paramètres!$A$1:$I$89,3,0)*VLOOKUP('Données projet'!$B$11,Paramètres!$A$1:$I$89,5,0)</f>
        <v>-6.7984728957526396E-14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215.43756133069593</v>
      </c>
      <c r="BJ98" s="62">
        <f t="shared" si="92"/>
        <v>363.02009369315243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30.52218677470356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1.0360300961899334E-6</v>
      </c>
      <c r="BS98" s="24">
        <f t="shared" si="63"/>
        <v>30.522187810733655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-6.8212102632969618E-13</v>
      </c>
      <c r="BZ98" s="14">
        <f>BY98*VLOOKUP('Données projet'!$B$12,Paramètres!$A$1:$I$89,3,0)*VLOOKUP('Données projet'!$B$12,Paramètres!$A$1:$I$89,5,0)</f>
        <v>-3.0149749363772573E-13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461.75392711528474</v>
      </c>
      <c r="CE98" s="62">
        <f t="shared" si="94"/>
        <v>441.67157957428236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>
        <f>CT98*VLOOKUP('Données projet'!$B$13,Paramètres!$A$1:$I$89,3,0)*VLOOKUP('Données projet'!$B$13,Paramètres!$A$1:$I$89,5,0)</f>
        <v>0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338.72479490324491</v>
      </c>
      <c r="CZ98" s="62">
        <f t="shared" si="96"/>
        <v>248.47107558211923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4.7</v>
      </c>
      <c r="N99" s="14">
        <f>IF('Données projet'!$A$36&gt;35,N98+M99-V98,IF(A99&lt;'Données projet'!$A$36,$K$205^A99,IF(A99='Données projet'!$A$36,'Données projet'!$B$36,N98+M99-V98)))</f>
        <v>262.69999999999982</v>
      </c>
      <c r="O99" s="14">
        <f>N99*VLOOKUP('Données projet'!$B$9,Paramètres!$A$1:$I$89,3,0)*VLOOKUP('Données projet'!$B$9,Paramètres!$A$1:$I$89,5,0)</f>
        <v>237.69095999999982</v>
      </c>
      <c r="P99" s="14">
        <f t="shared" si="87"/>
        <v>57.942450096949393</v>
      </c>
      <c r="Q99" s="22">
        <f t="shared" ref="Q99:Q130" si="107">(O99+P99)*0.475*44/12</f>
        <v>514.89485591885318</v>
      </c>
      <c r="R99" s="62">
        <f t="shared" si="55"/>
        <v>808.22818925218644</v>
      </c>
      <c r="S99" s="62">
        <f ca="1">AVERAGE(OFFSET($R$3,0,0,'Données projet'!$E$9+1,1))-AVERAGE(OFFSET($H$3,0,0,'Données projet'!$E$9+1,1))</f>
        <v>430.11660085503223</v>
      </c>
      <c r="T99" s="62">
        <f t="shared" si="88"/>
        <v>231.36959598460686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4.7</v>
      </c>
      <c r="AI99" s="14">
        <f>IF('Données projet'!$A$62&gt;35,AI98+AH99-AQ98,IF(A99&lt;'Données projet'!$A$62,$AF$205^A99,IF(A99='Données projet'!$A$62,'Données projet'!$B$62,AI98+AH99-AQ98)))</f>
        <v>262.69999999999982</v>
      </c>
      <c r="AJ99" s="14">
        <f>AI99*VLOOKUP('Données projet'!$B$10,Paramètres!$A$1:$I$89,3,0)*VLOOKUP('Données projet'!$B$10,Paramètres!$A$1:$I$89,5,0)</f>
        <v>254.08343999999983</v>
      </c>
      <c r="AK99" s="14">
        <f t="shared" si="89"/>
        <v>61.459521845988199</v>
      </c>
      <c r="AL99" s="22">
        <f t="shared" si="58"/>
        <v>549.57065854842915</v>
      </c>
      <c r="AM99" s="62">
        <f t="shared" si="59"/>
        <v>842.90399188176252</v>
      </c>
      <c r="AN99" s="62">
        <f ca="1">AVERAGE(OFFSET($AM$3,0,0,'Données projet'!$E$10+1,1))-AVERAGE(OFFSET($H$3,0,0,'Données projet'!$E$10+1,1))</f>
        <v>456.86147223520601</v>
      </c>
      <c r="AO99" s="62">
        <f t="shared" si="90"/>
        <v>244.45149244446094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-1.1368683772161603E-13</v>
      </c>
      <c r="BE99" s="14">
        <f>BD99*VLOOKUP('Données projet'!$B$11,Paramètres!$A$1:$I$89,3,0)*VLOOKUP('Données projet'!$B$11,Paramètres!$A$1:$I$89,5,0)</f>
        <v>-6.7984728957526396E-14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215.43756133069593</v>
      </c>
      <c r="BJ99" s="62">
        <f t="shared" si="92"/>
        <v>363.02009369315243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29.92366530874731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7.3258390652925302E-7</v>
      </c>
      <c r="BS99" s="24">
        <f t="shared" si="63"/>
        <v>29.923666041331217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-6.8212102632969618E-13</v>
      </c>
      <c r="BZ99" s="14">
        <f>BY99*VLOOKUP('Données projet'!$B$12,Paramètres!$A$1:$I$89,3,0)*VLOOKUP('Données projet'!$B$12,Paramètres!$A$1:$I$89,5,0)</f>
        <v>-3.0149749363772573E-13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461.75392711528474</v>
      </c>
      <c r="CE99" s="62">
        <f t="shared" si="94"/>
        <v>441.67157957428236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>
        <f>CT99*VLOOKUP('Données projet'!$B$13,Paramètres!$A$1:$I$89,3,0)*VLOOKUP('Données projet'!$B$13,Paramètres!$A$1:$I$89,5,0)</f>
        <v>0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338.72479490324491</v>
      </c>
      <c r="CZ99" s="62">
        <f t="shared" si="96"/>
        <v>248.47107558211923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4.7</v>
      </c>
      <c r="N100" s="14">
        <f>IF('Données projet'!$A$36&gt;35,N99+M100-V99,IF(A100&lt;'Données projet'!$A$36,$K$205^A100,IF(A100='Données projet'!$A$36,'Données projet'!$B$36,N99+M100-V99)))</f>
        <v>267.39999999999981</v>
      </c>
      <c r="O100" s="14">
        <f>N100*VLOOKUP('Données projet'!$B$9,Paramètres!$A$1:$I$89,3,0)*VLOOKUP('Données projet'!$B$9,Paramètres!$A$1:$I$89,5,0)</f>
        <v>241.94351999999981</v>
      </c>
      <c r="P100" s="14">
        <f t="shared" si="87"/>
        <v>58.857491789961337</v>
      </c>
      <c r="Q100" s="22">
        <f t="shared" si="107"/>
        <v>523.89509553418225</v>
      </c>
      <c r="R100" s="62">
        <f t="shared" si="55"/>
        <v>817.2284288675155</v>
      </c>
      <c r="S100" s="62">
        <f ca="1">AVERAGE(OFFSET($R$3,0,0,'Données projet'!$E$9+1,1))-AVERAGE(OFFSET($H$3,0,0,'Données projet'!$E$9+1,1))</f>
        <v>430.11660085503223</v>
      </c>
      <c r="T100" s="62">
        <f t="shared" si="88"/>
        <v>231.36959598460686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4.7</v>
      </c>
      <c r="AI100" s="14">
        <f>IF('Données projet'!$A$62&gt;35,AI99+AH100-AQ99,IF(A100&lt;'Données projet'!$A$62,$AF$205^A100,IF(A100='Données projet'!$A$62,'Données projet'!$B$62,AI99+AH100-AQ99)))</f>
        <v>267.39999999999981</v>
      </c>
      <c r="AJ100" s="14">
        <f>AI100*VLOOKUP('Données projet'!$B$10,Paramètres!$A$1:$I$89,3,0)*VLOOKUP('Données projet'!$B$10,Paramètres!$A$1:$I$89,5,0)</f>
        <v>258.62927999999982</v>
      </c>
      <c r="AK100" s="14">
        <f t="shared" si="89"/>
        <v>62.430106017481869</v>
      </c>
      <c r="AL100" s="22">
        <f t="shared" si="58"/>
        <v>559.17843064711394</v>
      </c>
      <c r="AM100" s="62">
        <f t="shared" si="59"/>
        <v>852.51176398044731</v>
      </c>
      <c r="AN100" s="62">
        <f ca="1">AVERAGE(OFFSET($AM$3,0,0,'Données projet'!$E$10+1,1))-AVERAGE(OFFSET($H$3,0,0,'Données projet'!$E$10+1,1))</f>
        <v>456.86147223520601</v>
      </c>
      <c r="AO100" s="62">
        <f t="shared" si="90"/>
        <v>244.45149244446094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-1.1368683772161603E-13</v>
      </c>
      <c r="BE100" s="14">
        <f>BD100*VLOOKUP('Données projet'!$B$11,Paramètres!$A$1:$I$89,3,0)*VLOOKUP('Données projet'!$B$11,Paramètres!$A$1:$I$89,5,0)</f>
        <v>-6.7984728957526396E-14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215.43756133069593</v>
      </c>
      <c r="BJ100" s="62">
        <f t="shared" si="92"/>
        <v>363.02009369315243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29.336880483676413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5.180150480949667E-7</v>
      </c>
      <c r="BS100" s="24">
        <f t="shared" si="63"/>
        <v>29.336881001691463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-6.8212102632969618E-13</v>
      </c>
      <c r="BZ100" s="14">
        <f>BY100*VLOOKUP('Données projet'!$B$12,Paramètres!$A$1:$I$89,3,0)*VLOOKUP('Données projet'!$B$12,Paramètres!$A$1:$I$89,5,0)</f>
        <v>-3.0149749363772573E-13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461.75392711528474</v>
      </c>
      <c r="CE100" s="62">
        <f t="shared" si="94"/>
        <v>441.67157957428236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>
        <f>CT100*VLOOKUP('Données projet'!$B$13,Paramètres!$A$1:$I$89,3,0)*VLOOKUP('Données projet'!$B$13,Paramètres!$A$1:$I$89,5,0)</f>
        <v>0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338.72479490324491</v>
      </c>
      <c r="CZ100" s="62">
        <f t="shared" si="96"/>
        <v>248.47107558211923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4.7</v>
      </c>
      <c r="N101" s="14">
        <f>IF('Données projet'!$A$36&gt;35,N100+M101-V100,IF(A101&lt;'Données projet'!$A$36,$K$205^A101,IF(A101='Données projet'!$A$36,'Données projet'!$B$36,N100+M101-V100)))</f>
        <v>272.0999999999998</v>
      </c>
      <c r="O101" s="14">
        <f>N101*VLOOKUP('Données projet'!$B$9,Paramètres!$A$1:$I$89,3,0)*VLOOKUP('Données projet'!$B$9,Paramètres!$A$1:$I$89,5,0)</f>
        <v>246.1960799999998</v>
      </c>
      <c r="P101" s="14">
        <f t="shared" si="87"/>
        <v>59.770663189456066</v>
      </c>
      <c r="Q101" s="22">
        <f t="shared" si="107"/>
        <v>532.8920777216357</v>
      </c>
      <c r="R101" s="62">
        <f t="shared" si="55"/>
        <v>826.22541105496907</v>
      </c>
      <c r="S101" s="62">
        <f ca="1">AVERAGE(OFFSET($R$3,0,0,'Données projet'!$E$9+1,1))-AVERAGE(OFFSET($H$3,0,0,'Données projet'!$E$9+1,1))</f>
        <v>430.11660085503223</v>
      </c>
      <c r="T101" s="62">
        <f t="shared" si="88"/>
        <v>231.36959598460686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4.7</v>
      </c>
      <c r="AI101" s="14">
        <f>IF('Données projet'!$A$62&gt;35,AI100+AH101-AQ100,IF(A101&lt;'Données projet'!$A$62,$AF$205^A101,IF(A101='Données projet'!$A$62,'Données projet'!$B$62,AI100+AH101-AQ100)))</f>
        <v>272.0999999999998</v>
      </c>
      <c r="AJ101" s="14">
        <f>AI101*VLOOKUP('Données projet'!$B$10,Paramètres!$A$1:$I$89,3,0)*VLOOKUP('Données projet'!$B$10,Paramètres!$A$1:$I$89,5,0)</f>
        <v>263.17511999999982</v>
      </c>
      <c r="AK101" s="14">
        <f t="shared" si="89"/>
        <v>63.398706369770494</v>
      </c>
      <c r="AL101" s="22">
        <f t="shared" si="58"/>
        <v>568.78274759401654</v>
      </c>
      <c r="AM101" s="62">
        <f t="shared" si="59"/>
        <v>862.11608092734991</v>
      </c>
      <c r="AN101" s="62">
        <f ca="1">AVERAGE(OFFSET($AM$3,0,0,'Données projet'!$E$10+1,1))-AVERAGE(OFFSET($H$3,0,0,'Données projet'!$E$10+1,1))</f>
        <v>456.86147223520601</v>
      </c>
      <c r="AO101" s="62">
        <f t="shared" si="90"/>
        <v>244.45149244446094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-1.1368683772161603E-13</v>
      </c>
      <c r="BE101" s="14">
        <f>BD101*VLOOKUP('Données projet'!$B$11,Paramètres!$A$1:$I$89,3,0)*VLOOKUP('Données projet'!$B$11,Paramètres!$A$1:$I$89,5,0)</f>
        <v>-6.7984728957526396E-14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215.43756133069593</v>
      </c>
      <c r="BJ101" s="62">
        <f t="shared" si="92"/>
        <v>363.02009369315243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28.761602151121753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3.6629195326462651E-7</v>
      </c>
      <c r="BS101" s="24">
        <f t="shared" si="63"/>
        <v>28.761602517413706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-6.8212102632969618E-13</v>
      </c>
      <c r="BZ101" s="14">
        <f>BY101*VLOOKUP('Données projet'!$B$12,Paramètres!$A$1:$I$89,3,0)*VLOOKUP('Données projet'!$B$12,Paramètres!$A$1:$I$89,5,0)</f>
        <v>-3.0149749363772573E-13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461.75392711528474</v>
      </c>
      <c r="CE101" s="62">
        <f t="shared" si="94"/>
        <v>441.67157957428236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>
        <f>CT101*VLOOKUP('Données projet'!$B$13,Paramètres!$A$1:$I$89,3,0)*VLOOKUP('Données projet'!$B$13,Paramètres!$A$1:$I$89,5,0)</f>
        <v>0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338.72479490324491</v>
      </c>
      <c r="CZ101" s="62">
        <f t="shared" si="96"/>
        <v>248.47107558211923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4.7</v>
      </c>
      <c r="N102" s="14">
        <f>IF('Données projet'!$A$36&gt;35,N101+M102-V101,IF(A102&lt;'Données projet'!$A$36,$K$205^A102,IF(A102='Données projet'!$A$36,'Données projet'!$B$36,N101+M102-V101)))</f>
        <v>276.79999999999978</v>
      </c>
      <c r="O102" s="14">
        <f>N102*VLOOKUP('Données projet'!$B$9,Paramètres!$A$1:$I$89,3,0)*VLOOKUP('Données projet'!$B$9,Paramètres!$A$1:$I$89,5,0)</f>
        <v>250.44863999999981</v>
      </c>
      <c r="P102" s="14">
        <f t="shared" si="87"/>
        <v>60.682000328889998</v>
      </c>
      <c r="Q102" s="22">
        <f t="shared" si="107"/>
        <v>541.885865239483</v>
      </c>
      <c r="R102" s="62">
        <f t="shared" si="55"/>
        <v>835.21919857281637</v>
      </c>
      <c r="S102" s="62">
        <f ca="1">AVERAGE(OFFSET($R$3,0,0,'Données projet'!$E$9+1,1))-AVERAGE(OFFSET($H$3,0,0,'Données projet'!$E$9+1,1))</f>
        <v>430.11660085503223</v>
      </c>
      <c r="T102" s="62">
        <f t="shared" si="88"/>
        <v>231.36959598460686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4.7</v>
      </c>
      <c r="AI102" s="14">
        <f>IF('Données projet'!$A$62&gt;35,AI101+AH102-AQ101,IF(A102&lt;'Données projet'!$A$62,$AF$205^A102,IF(A102='Données projet'!$A$62,'Données projet'!$B$62,AI101+AH102-AQ101)))</f>
        <v>276.79999999999978</v>
      </c>
      <c r="AJ102" s="14">
        <f>AI102*VLOOKUP('Données projet'!$B$10,Paramètres!$A$1:$I$89,3,0)*VLOOKUP('Données projet'!$B$10,Paramètres!$A$1:$I$89,5,0)</f>
        <v>267.72095999999982</v>
      </c>
      <c r="AK102" s="14">
        <f t="shared" si="89"/>
        <v>64.365361123519946</v>
      </c>
      <c r="AL102" s="22">
        <f t="shared" si="58"/>
        <v>578.38367595679699</v>
      </c>
      <c r="AM102" s="62">
        <f t="shared" si="59"/>
        <v>871.71700929013036</v>
      </c>
      <c r="AN102" s="62">
        <f ca="1">AVERAGE(OFFSET($AM$3,0,0,'Données projet'!$E$10+1,1))-AVERAGE(OFFSET($H$3,0,0,'Données projet'!$E$10+1,1))</f>
        <v>456.86147223520601</v>
      </c>
      <c r="AO102" s="62">
        <f t="shared" si="90"/>
        <v>244.45149244446094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-1.1368683772161603E-13</v>
      </c>
      <c r="BE102" s="14">
        <f>BD102*VLOOKUP('Données projet'!$B$11,Paramètres!$A$1:$I$89,3,0)*VLOOKUP('Données projet'!$B$11,Paramètres!$A$1:$I$89,5,0)</f>
        <v>-6.7984728957526396E-14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215.43756133069593</v>
      </c>
      <c r="BJ102" s="62">
        <f t="shared" si="92"/>
        <v>363.02009369315243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28.197604675783356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2.5900752404748335E-7</v>
      </c>
      <c r="BS102" s="24">
        <f t="shared" si="63"/>
        <v>28.197604934790881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-6.8212102632969618E-13</v>
      </c>
      <c r="BZ102" s="14">
        <f>BY102*VLOOKUP('Données projet'!$B$12,Paramètres!$A$1:$I$89,3,0)*VLOOKUP('Données projet'!$B$12,Paramètres!$A$1:$I$89,5,0)</f>
        <v>-3.0149749363772573E-13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461.75392711528474</v>
      </c>
      <c r="CE102" s="62">
        <f t="shared" si="94"/>
        <v>441.67157957428236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>
        <f>CT102*VLOOKUP('Données projet'!$B$13,Paramètres!$A$1:$I$89,3,0)*VLOOKUP('Données projet'!$B$13,Paramètres!$A$1:$I$89,5,0)</f>
        <v>0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338.72479490324491</v>
      </c>
      <c r="CZ102" s="62">
        <f t="shared" si="96"/>
        <v>248.47107558211923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4.7</v>
      </c>
      <c r="N103" s="14">
        <f>IF('Données projet'!$A$36&gt;35,N102+M103-V102,IF(A103&lt;'Données projet'!$A$36,$K$205^A103,IF(A103='Données projet'!$A$36,'Données projet'!$B$36,N102+M103-V102)))</f>
        <v>281.49999999999977</v>
      </c>
      <c r="O103" s="14">
        <f>N103*VLOOKUP('Données projet'!$B$9,Paramètres!$A$1:$I$89,3,0)*VLOOKUP('Données projet'!$B$9,Paramètres!$A$1:$I$89,5,0)</f>
        <v>254.7011999999998</v>
      </c>
      <c r="P103" s="14">
        <f t="shared" si="87"/>
        <v>61.591537947915171</v>
      </c>
      <c r="Q103" s="22">
        <f t="shared" si="107"/>
        <v>550.87651859261859</v>
      </c>
      <c r="R103" s="62">
        <f t="shared" si="55"/>
        <v>844.20985192595185</v>
      </c>
      <c r="S103" s="62">
        <f ca="1">AVERAGE(OFFSET($R$3,0,0,'Données projet'!$E$9+1,1))-AVERAGE(OFFSET($H$3,0,0,'Données projet'!$E$9+1,1))</f>
        <v>430.11660085503223</v>
      </c>
      <c r="T103" s="62">
        <f t="shared" si="88"/>
        <v>231.36959598460686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4.7</v>
      </c>
      <c r="AI103" s="14">
        <f>IF('Données projet'!$A$62&gt;35,AI102+AH103-AQ102,IF(A103&lt;'Données projet'!$A$62,$AF$205^A103,IF(A103='Données projet'!$A$62,'Données projet'!$B$62,AI102+AH103-AQ102)))</f>
        <v>281.49999999999977</v>
      </c>
      <c r="AJ103" s="14">
        <f>AI103*VLOOKUP('Données projet'!$B$10,Paramètres!$A$1:$I$89,3,0)*VLOOKUP('Données projet'!$B$10,Paramètres!$A$1:$I$89,5,0)</f>
        <v>272.26679999999976</v>
      </c>
      <c r="AK103" s="14">
        <f t="shared" si="89"/>
        <v>65.330107127057786</v>
      </c>
      <c r="AL103" s="22">
        <f t="shared" si="58"/>
        <v>587.98127991295848</v>
      </c>
      <c r="AM103" s="62">
        <f t="shared" si="59"/>
        <v>881.31461324629186</v>
      </c>
      <c r="AN103" s="62">
        <f ca="1">AVERAGE(OFFSET($AM$3,0,0,'Données projet'!$E$10+1,1))-AVERAGE(OFFSET($H$3,0,0,'Données projet'!$E$10+1,1))</f>
        <v>456.86147223520601</v>
      </c>
      <c r="AO103" s="62">
        <f t="shared" si="90"/>
        <v>244.45149244446094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-1.1368683772161603E-13</v>
      </c>
      <c r="BE103" s="14">
        <f>BD103*VLOOKUP('Données projet'!$B$11,Paramètres!$A$1:$I$89,3,0)*VLOOKUP('Données projet'!$B$11,Paramètres!$A$1:$I$89,5,0)</f>
        <v>-6.7984728957526396E-14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215.43756133069593</v>
      </c>
      <c r="BJ103" s="62">
        <f t="shared" si="92"/>
        <v>363.02009369315243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27.644666846931852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1.8314597663231325E-7</v>
      </c>
      <c r="BS103" s="24">
        <f t="shared" si="63"/>
        <v>27.64466703007783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-6.8212102632969618E-13</v>
      </c>
      <c r="BZ103" s="14">
        <f>BY103*VLOOKUP('Données projet'!$B$12,Paramètres!$A$1:$I$89,3,0)*VLOOKUP('Données projet'!$B$12,Paramètres!$A$1:$I$89,5,0)</f>
        <v>-3.0149749363772573E-13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461.75392711528474</v>
      </c>
      <c r="CE103" s="62">
        <f t="shared" si="94"/>
        <v>441.67157957428236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>
        <f>CT103*VLOOKUP('Données projet'!$B$13,Paramètres!$A$1:$I$89,3,0)*VLOOKUP('Données projet'!$B$13,Paramètres!$A$1:$I$89,5,0)</f>
        <v>0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338.72479490324491</v>
      </c>
      <c r="CZ103" s="62">
        <f t="shared" si="96"/>
        <v>248.47107558211923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4.7</v>
      </c>
      <c r="N104" s="14">
        <f>IF('Données projet'!$A$36&gt;35,N103+M104-V103,IF(A104&lt;'Données projet'!$A$36,$K$205^A104,IF(A104='Données projet'!$A$36,'Données projet'!$B$36,N103+M104-V103)))</f>
        <v>286.19999999999976</v>
      </c>
      <c r="O104" s="14">
        <f>N104*VLOOKUP('Données projet'!$B$9,Paramètres!$A$1:$I$89,3,0)*VLOOKUP('Données projet'!$B$9,Paramètres!$A$1:$I$89,5,0)</f>
        <v>258.95375999999976</v>
      </c>
      <c r="P104" s="14">
        <f t="shared" si="87"/>
        <v>62.499309559645262</v>
      </c>
      <c r="Q104" s="22">
        <f t="shared" si="107"/>
        <v>559.86409614971501</v>
      </c>
      <c r="R104" s="62">
        <f t="shared" si="55"/>
        <v>853.19742948304838</v>
      </c>
      <c r="S104" s="62">
        <f ca="1">AVERAGE(OFFSET($R$3,0,0,'Données projet'!$E$9+1,1))-AVERAGE(OFFSET($H$3,0,0,'Données projet'!$E$9+1,1))</f>
        <v>430.11660085503223</v>
      </c>
      <c r="T104" s="62">
        <f t="shared" si="88"/>
        <v>231.36959598460686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4.7</v>
      </c>
      <c r="AI104" s="14">
        <f>IF('Données projet'!$A$62&gt;35,AI103+AH104-AQ103,IF(A104&lt;'Données projet'!$A$62,$AF$205^A104,IF(A104='Données projet'!$A$62,'Données projet'!$B$62,AI103+AH104-AQ103)))</f>
        <v>286.19999999999976</v>
      </c>
      <c r="AJ104" s="14">
        <f>AI104*VLOOKUP('Données projet'!$B$10,Paramètres!$A$1:$I$89,3,0)*VLOOKUP('Données projet'!$B$10,Paramètres!$A$1:$I$89,5,0)</f>
        <v>276.81263999999976</v>
      </c>
      <c r="AK104" s="14">
        <f t="shared" si="89"/>
        <v>66.292979927723621</v>
      </c>
      <c r="AL104" s="22">
        <f t="shared" si="58"/>
        <v>597.57562137411821</v>
      </c>
      <c r="AM104" s="62">
        <f t="shared" si="59"/>
        <v>890.90895470745158</v>
      </c>
      <c r="AN104" s="62">
        <f ca="1">AVERAGE(OFFSET($AM$3,0,0,'Données projet'!$E$10+1,1))-AVERAGE(OFFSET($H$3,0,0,'Données projet'!$E$10+1,1))</f>
        <v>456.86147223520601</v>
      </c>
      <c r="AO104" s="62">
        <f t="shared" si="90"/>
        <v>244.45149244446094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-1.1368683772161603E-13</v>
      </c>
      <c r="BE104" s="14">
        <f>BD104*VLOOKUP('Données projet'!$B$11,Paramètres!$A$1:$I$89,3,0)*VLOOKUP('Données projet'!$B$11,Paramètres!$A$1:$I$89,5,0)</f>
        <v>-6.7984728957526396E-14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215.43756133069593</v>
      </c>
      <c r="BJ104" s="62">
        <f t="shared" si="92"/>
        <v>363.02009369315243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27.102571791645353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1.2950376202374167E-7</v>
      </c>
      <c r="BS104" s="24">
        <f t="shared" si="63"/>
        <v>27.102571921149114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-6.8212102632969618E-13</v>
      </c>
      <c r="BZ104" s="14">
        <f>BY104*VLOOKUP('Données projet'!$B$12,Paramètres!$A$1:$I$89,3,0)*VLOOKUP('Données projet'!$B$12,Paramètres!$A$1:$I$89,5,0)</f>
        <v>-3.0149749363772573E-13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461.75392711528474</v>
      </c>
      <c r="CE104" s="62">
        <f t="shared" si="94"/>
        <v>441.67157957428236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>
        <f>CT104*VLOOKUP('Données projet'!$B$13,Paramètres!$A$1:$I$89,3,0)*VLOOKUP('Données projet'!$B$13,Paramètres!$A$1:$I$89,5,0)</f>
        <v>0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338.72479490324491</v>
      </c>
      <c r="CZ104" s="62">
        <f t="shared" si="96"/>
        <v>248.47107558211923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4.7</v>
      </c>
      <c r="N105" s="14">
        <f>IF('Données projet'!$A$36&gt;35,N104+M105-V104,IF(A105&lt;'Données projet'!$A$36,$K$205^A105,IF(A105='Données projet'!$A$36,'Données projet'!$B$36,N104+M105-V104)))</f>
        <v>290.89999999999975</v>
      </c>
      <c r="O105" s="14">
        <f>N105*VLOOKUP('Données projet'!$B$9,Paramètres!$A$1:$I$89,3,0)*VLOOKUP('Données projet'!$B$9,Paramètres!$A$1:$I$89,5,0)</f>
        <v>263.20631999999978</v>
      </c>
      <c r="P105" s="14">
        <f t="shared" si="87"/>
        <v>63.405347513378558</v>
      </c>
      <c r="Q105" s="22">
        <f t="shared" si="107"/>
        <v>568.84865425246721</v>
      </c>
      <c r="R105" s="62">
        <f t="shared" si="55"/>
        <v>862.18198758580047</v>
      </c>
      <c r="S105" s="62">
        <f ca="1">AVERAGE(OFFSET($R$3,0,0,'Données projet'!$E$9+1,1))-AVERAGE(OFFSET($H$3,0,0,'Données projet'!$E$9+1,1))</f>
        <v>430.11660085503223</v>
      </c>
      <c r="T105" s="62">
        <f t="shared" si="88"/>
        <v>231.36959598460686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4.7</v>
      </c>
      <c r="AI105" s="14">
        <f>IF('Données projet'!$A$62&gt;35,AI104+AH105-AQ104,IF(A105&lt;'Données projet'!$A$62,$AF$205^A105,IF(A105='Données projet'!$A$62,'Données projet'!$B$62,AI104+AH105-AQ104)))</f>
        <v>290.89999999999975</v>
      </c>
      <c r="AJ105" s="14">
        <f>AI105*VLOOKUP('Données projet'!$B$10,Paramètres!$A$1:$I$89,3,0)*VLOOKUP('Données projet'!$B$10,Paramètres!$A$1:$I$89,5,0)</f>
        <v>281.35847999999976</v>
      </c>
      <c r="AK105" s="14">
        <f t="shared" si="89"/>
        <v>67.254013838398748</v>
      </c>
      <c r="AL105" s="22">
        <f t="shared" si="58"/>
        <v>607.16676010187734</v>
      </c>
      <c r="AM105" s="62">
        <f t="shared" si="59"/>
        <v>900.5000934352106</v>
      </c>
      <c r="AN105" s="62">
        <f ca="1">AVERAGE(OFFSET($AM$3,0,0,'Données projet'!$E$10+1,1))-AVERAGE(OFFSET($H$3,0,0,'Données projet'!$E$10+1,1))</f>
        <v>456.86147223520601</v>
      </c>
      <c r="AO105" s="62">
        <f t="shared" si="90"/>
        <v>244.45149244446094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-1.1368683772161603E-13</v>
      </c>
      <c r="BE105" s="14">
        <f>BD105*VLOOKUP('Données projet'!$B$11,Paramètres!$A$1:$I$89,3,0)*VLOOKUP('Données projet'!$B$11,Paramètres!$A$1:$I$89,5,0)</f>
        <v>-6.7984728957526396E-14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215.43756133069593</v>
      </c>
      <c r="BJ105" s="62">
        <f t="shared" si="92"/>
        <v>363.02009369315243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26.571106889747686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9.1572988316156627E-8</v>
      </c>
      <c r="BS105" s="24">
        <f t="shared" si="63"/>
        <v>26.571106981320675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-6.8212102632969618E-13</v>
      </c>
      <c r="BZ105" s="14">
        <f>BY105*VLOOKUP('Données projet'!$B$12,Paramètres!$A$1:$I$89,3,0)*VLOOKUP('Données projet'!$B$12,Paramètres!$A$1:$I$89,5,0)</f>
        <v>-3.0149749363772573E-13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461.75392711528474</v>
      </c>
      <c r="CE105" s="62">
        <f t="shared" si="94"/>
        <v>441.67157957428236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>
        <f>CT105*VLOOKUP('Données projet'!$B$13,Paramètres!$A$1:$I$89,3,0)*VLOOKUP('Données projet'!$B$13,Paramètres!$A$1:$I$89,5,0)</f>
        <v>0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338.72479490324491</v>
      </c>
      <c r="CZ105" s="62">
        <f t="shared" si="96"/>
        <v>248.47107558211923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4.7</v>
      </c>
      <c r="N106" s="14">
        <f>IF('Données projet'!$A$36&gt;35,N105+M106-V105,IF(A106&lt;'Données projet'!$A$36,$K$205^A106,IF(A106='Données projet'!$A$36,'Données projet'!$B$36,N105+M106-V105)))</f>
        <v>295.59999999999974</v>
      </c>
      <c r="O106" s="14">
        <f>N106*VLOOKUP('Données projet'!$B$9,Paramètres!$A$1:$I$89,3,0)*VLOOKUP('Données projet'!$B$9,Paramètres!$A$1:$I$89,5,0)</f>
        <v>267.45887999999974</v>
      </c>
      <c r="P106" s="14">
        <f t="shared" si="87"/>
        <v>64.309683053152384</v>
      </c>
      <c r="Q106" s="22">
        <f t="shared" si="107"/>
        <v>577.83024731757325</v>
      </c>
      <c r="R106" s="62">
        <f t="shared" si="55"/>
        <v>871.16358065090662</v>
      </c>
      <c r="S106" s="62">
        <f ca="1">AVERAGE(OFFSET($R$3,0,0,'Données projet'!$E$9+1,1))-AVERAGE(OFFSET($H$3,0,0,'Données projet'!$E$9+1,1))</f>
        <v>430.11660085503223</v>
      </c>
      <c r="T106" s="62">
        <f t="shared" si="88"/>
        <v>231.36959598460686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4.7</v>
      </c>
      <c r="AI106" s="14">
        <f>IF('Données projet'!$A$62&gt;35,AI105+AH106-AQ105,IF(A106&lt;'Données projet'!$A$62,$AF$205^A106,IF(A106='Données projet'!$A$62,'Données projet'!$B$62,AI105+AH106-AQ105)))</f>
        <v>295.59999999999974</v>
      </c>
      <c r="AJ106" s="14">
        <f>AI106*VLOOKUP('Données projet'!$B$10,Paramètres!$A$1:$I$89,3,0)*VLOOKUP('Données projet'!$B$10,Paramètres!$A$1:$I$89,5,0)</f>
        <v>285.90431999999976</v>
      </c>
      <c r="AK106" s="14">
        <f t="shared" si="89"/>
        <v>68.21324199961451</v>
      </c>
      <c r="AL106" s="22">
        <f t="shared" si="58"/>
        <v>616.75475381599483</v>
      </c>
      <c r="AM106" s="62">
        <f t="shared" si="59"/>
        <v>910.0880871493282</v>
      </c>
      <c r="AN106" s="62">
        <f ca="1">AVERAGE(OFFSET($AM$3,0,0,'Données projet'!$E$10+1,1))-AVERAGE(OFFSET($H$3,0,0,'Données projet'!$E$10+1,1))</f>
        <v>456.86147223520601</v>
      </c>
      <c r="AO106" s="62">
        <f t="shared" si="90"/>
        <v>244.45149244446094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-1.1368683772161603E-13</v>
      </c>
      <c r="BE106" s="14">
        <f>BD106*VLOOKUP('Données projet'!$B$11,Paramètres!$A$1:$I$89,3,0)*VLOOKUP('Données projet'!$B$11,Paramètres!$A$1:$I$89,5,0)</f>
        <v>-6.7984728957526396E-14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215.43756133069593</v>
      </c>
      <c r="BJ106" s="62">
        <f t="shared" si="92"/>
        <v>363.02009369315243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26.05006369041465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6.4751881011870837E-8</v>
      </c>
      <c r="BS106" s="24">
        <f t="shared" si="63"/>
        <v>26.05006375516653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-6.8212102632969618E-13</v>
      </c>
      <c r="BZ106" s="14">
        <f>BY106*VLOOKUP('Données projet'!$B$12,Paramètres!$A$1:$I$89,3,0)*VLOOKUP('Données projet'!$B$12,Paramètres!$A$1:$I$89,5,0)</f>
        <v>-3.0149749363772573E-13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461.75392711528474</v>
      </c>
      <c r="CE106" s="62">
        <f t="shared" si="94"/>
        <v>441.67157957428236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>
        <f>CT106*VLOOKUP('Données projet'!$B$13,Paramètres!$A$1:$I$89,3,0)*VLOOKUP('Données projet'!$B$13,Paramètres!$A$1:$I$89,5,0)</f>
        <v>0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338.72479490324491</v>
      </c>
      <c r="CZ106" s="62">
        <f t="shared" si="96"/>
        <v>248.47107558211923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4.7</v>
      </c>
      <c r="N107" s="14">
        <f>IF('Données projet'!$A$36&gt;35,N106+M107-V106,IF(A107&lt;'Données projet'!$A$36,$K$205^A107,IF(A107='Données projet'!$A$36,'Données projet'!$B$36,N106+M107-V106)))</f>
        <v>300.29999999999973</v>
      </c>
      <c r="O107" s="14">
        <f>N107*VLOOKUP('Données projet'!$B$9,Paramètres!$A$1:$I$89,3,0)*VLOOKUP('Données projet'!$B$9,Paramètres!$A$1:$I$89,5,0)</f>
        <v>271.71143999999975</v>
      </c>
      <c r="P107" s="14">
        <f t="shared" si="87"/>
        <v>65.212346372467266</v>
      </c>
      <c r="Q107" s="22">
        <f t="shared" si="107"/>
        <v>586.80892793204669</v>
      </c>
      <c r="R107" s="62">
        <f t="shared" si="55"/>
        <v>880.14226126538006</v>
      </c>
      <c r="S107" s="62">
        <f ca="1">AVERAGE(OFFSET($R$3,0,0,'Données projet'!$E$9+1,1))-AVERAGE(OFFSET($H$3,0,0,'Données projet'!$E$9+1,1))</f>
        <v>430.11660085503223</v>
      </c>
      <c r="T107" s="62">
        <f t="shared" si="88"/>
        <v>231.36959598460686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4.7</v>
      </c>
      <c r="AI107" s="14">
        <f>IF('Données projet'!$A$62&gt;35,AI106+AH107-AQ106,IF(A107&lt;'Données projet'!$A$62,$AF$205^A107,IF(A107='Données projet'!$A$62,'Données projet'!$B$62,AI106+AH107-AQ106)))</f>
        <v>300.29999999999973</v>
      </c>
      <c r="AJ107" s="14">
        <f>AI107*VLOOKUP('Données projet'!$B$10,Paramètres!$A$1:$I$89,3,0)*VLOOKUP('Données projet'!$B$10,Paramètres!$A$1:$I$89,5,0)</f>
        <v>290.45015999999976</v>
      </c>
      <c r="AK107" s="14">
        <f t="shared" si="89"/>
        <v>69.170696437598821</v>
      </c>
      <c r="AL107" s="22">
        <f t="shared" si="58"/>
        <v>626.33965829548413</v>
      </c>
      <c r="AM107" s="62">
        <f t="shared" si="59"/>
        <v>919.6729916288175</v>
      </c>
      <c r="AN107" s="62">
        <f ca="1">AVERAGE(OFFSET($AM$3,0,0,'Données projet'!$E$10+1,1))-AVERAGE(OFFSET($H$3,0,0,'Données projet'!$E$10+1,1))</f>
        <v>456.86147223520601</v>
      </c>
      <c r="AO107" s="62">
        <f t="shared" si="90"/>
        <v>244.45149244446094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-1.1368683772161603E-13</v>
      </c>
      <c r="BE107" s="14">
        <f>BD107*VLOOKUP('Données projet'!$B$11,Paramètres!$A$1:$I$89,3,0)*VLOOKUP('Données projet'!$B$11,Paramètres!$A$1:$I$89,5,0)</f>
        <v>-6.7984728957526396E-14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215.43756133069593</v>
      </c>
      <c r="BJ107" s="62">
        <f t="shared" si="92"/>
        <v>363.02009369315243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25.539237830415566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4.5786494158078314E-8</v>
      </c>
      <c r="BS107" s="24">
        <f t="shared" si="63"/>
        <v>25.539237876202058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-6.8212102632969618E-13</v>
      </c>
      <c r="BZ107" s="14">
        <f>BY107*VLOOKUP('Données projet'!$B$12,Paramètres!$A$1:$I$89,3,0)*VLOOKUP('Données projet'!$B$12,Paramètres!$A$1:$I$89,5,0)</f>
        <v>-3.0149749363772573E-13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461.75392711528474</v>
      </c>
      <c r="CE107" s="62">
        <f t="shared" si="94"/>
        <v>441.67157957428236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>
        <f>CT107*VLOOKUP('Données projet'!$B$13,Paramètres!$A$1:$I$89,3,0)*VLOOKUP('Données projet'!$B$13,Paramètres!$A$1:$I$89,5,0)</f>
        <v>0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338.72479490324491</v>
      </c>
      <c r="CZ107" s="62">
        <f t="shared" si="96"/>
        <v>248.47107558211923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305</v>
      </c>
      <c r="L108" s="13">
        <f>VLOOKUP(A108,'Données projet'!$A$35:$I$55,9,0)</f>
        <v>4.7</v>
      </c>
      <c r="M108" s="13">
        <f t="array" ref="M108">INDEX(L:L,MIN(IF(ISNUMBER(L108:L304),ROW(L108:L304),"")))</f>
        <v>4.7</v>
      </c>
      <c r="N108" s="14">
        <f>IF('Données projet'!$A$36&gt;35,N107+M108-V107,IF(A108&lt;'Données projet'!$A$36,$K$205^A108,IF(A108='Données projet'!$A$36,'Données projet'!$B$36,N107+M108-V107)))</f>
        <v>304.99999999999972</v>
      </c>
      <c r="O108" s="14">
        <f>N108*VLOOKUP('Données projet'!$B$9,Paramètres!$A$1:$I$89,3,0)*VLOOKUP('Données projet'!$B$9,Paramètres!$A$1:$I$89,5,0)</f>
        <v>275.96399999999977</v>
      </c>
      <c r="P108" s="14">
        <f t="shared" si="87"/>
        <v>66.113366665488854</v>
      </c>
      <c r="Q108" s="22">
        <f t="shared" si="107"/>
        <v>595.78474694239264</v>
      </c>
      <c r="R108" s="62">
        <f t="shared" si="55"/>
        <v>889.11808027572602</v>
      </c>
      <c r="S108" s="62">
        <f ca="1">AVERAGE(OFFSET($R$3,0,0,'Données projet'!$E$9+1,1))-AVERAGE(OFFSET($H$3,0,0,'Données projet'!$E$9+1,1))</f>
        <v>430.11660085503223</v>
      </c>
      <c r="T108" s="62">
        <f t="shared" si="88"/>
        <v>231.36959598460686</v>
      </c>
      <c r="U108" s="16">
        <f>IF(ISNA(VLOOKUP(A108,'Données projet'!$A$35:$I$55,3,0)),0,VLOOKUP(A108,'Données projet'!$A$35:$I$55,3,0))</f>
        <v>9</v>
      </c>
      <c r="V108" s="16">
        <f>IF(ISNA(VLOOKUP(A108,'Données projet'!$A$35:$I$55,4,0)),0,VLOOKUP(A108,'Données projet'!$A$35:$I$55,4,0))</f>
        <v>41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305</v>
      </c>
      <c r="AG108" s="13">
        <f>VLOOKUP(A108,'Données projet'!$A$61:$I$81,9,0)</f>
        <v>4.7</v>
      </c>
      <c r="AH108" s="13">
        <f t="array" ref="AH108">INDEX(AG:AG,MIN(IF(ISNUMBER(AG108:AG304),ROW(AG108:AG304),"")))</f>
        <v>4.7</v>
      </c>
      <c r="AI108" s="14">
        <f>IF('Données projet'!$A$62&gt;35,AI107+AH108-AQ107,IF(A108&lt;'Données projet'!$A$62,$AF$205^A108,IF(A108='Données projet'!$A$62,'Données projet'!$B$62,AI107+AH108-AQ107)))</f>
        <v>304.99999999999972</v>
      </c>
      <c r="AJ108" s="14">
        <f>AI108*VLOOKUP('Données projet'!$B$10,Paramètres!$A$1:$I$89,3,0)*VLOOKUP('Données projet'!$B$10,Paramètres!$A$1:$I$89,5,0)</f>
        <v>294.99599999999975</v>
      </c>
      <c r="AK108" s="14">
        <f t="shared" si="89"/>
        <v>70.126408118585388</v>
      </c>
      <c r="AL108" s="22">
        <f t="shared" si="58"/>
        <v>635.92152747320245</v>
      </c>
      <c r="AM108" s="62">
        <f t="shared" si="59"/>
        <v>929.25486080653582</v>
      </c>
      <c r="AN108" s="62">
        <f ca="1">AVERAGE(OFFSET($AM$3,0,0,'Données projet'!$E$10+1,1))-AVERAGE(OFFSET($H$3,0,0,'Données projet'!$E$10+1,1))</f>
        <v>456.86147223520601</v>
      </c>
      <c r="AO108" s="62">
        <f t="shared" si="90"/>
        <v>244.45149244446094</v>
      </c>
      <c r="AP108" s="16">
        <f>IF(ISNA(VLOOKUP(A108,'Données projet'!$A$61:$I$81,3,0)),0,VLOOKUP(A108,'Données projet'!$A$61:$I$81,3,0))</f>
        <v>9</v>
      </c>
      <c r="AQ108" s="16">
        <f>IF(ISNA(VLOOKUP(A108,'Données projet'!$A$61:$I$81,4,0)),0,VLOOKUP(A108,'Données projet'!$A$61:$I$81,4,0))</f>
        <v>41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-1.1368683772161603E-13</v>
      </c>
      <c r="BE108" s="14">
        <f>BD108*VLOOKUP('Données projet'!$B$11,Paramètres!$A$1:$I$89,3,0)*VLOOKUP('Données projet'!$B$11,Paramètres!$A$1:$I$89,5,0)</f>
        <v>-6.7984728957526396E-14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215.43756133069593</v>
      </c>
      <c r="BJ108" s="62">
        <f t="shared" si="92"/>
        <v>363.02009369315243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25.038428953958054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3.2375940505935419E-8</v>
      </c>
      <c r="BS108" s="24">
        <f t="shared" si="63"/>
        <v>25.038428986333994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-6.8212102632969618E-13</v>
      </c>
      <c r="BZ108" s="14">
        <f>BY108*VLOOKUP('Données projet'!$B$12,Paramètres!$A$1:$I$89,3,0)*VLOOKUP('Données projet'!$B$12,Paramètres!$A$1:$I$89,5,0)</f>
        <v>-3.0149749363772573E-13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461.75392711528474</v>
      </c>
      <c r="CE108" s="62">
        <f t="shared" si="94"/>
        <v>441.67157957428236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>
        <f>CT108*VLOOKUP('Données projet'!$B$13,Paramètres!$A$1:$I$89,3,0)*VLOOKUP('Données projet'!$B$13,Paramètres!$A$1:$I$89,5,0)</f>
        <v>0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338.72479490324491</v>
      </c>
      <c r="CZ108" s="62">
        <f t="shared" si="96"/>
        <v>248.47107558211923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</v>
      </c>
      <c r="N109" s="14">
        <f>IF('Données projet'!$A$36&gt;35,N108+M109-V108,IF(A109&lt;'Données projet'!$A$36,$K$205^A109,IF(A109='Données projet'!$A$36,'Données projet'!$B$36,N108+M109-V108)))</f>
        <v>267.99999999999972</v>
      </c>
      <c r="O109" s="14">
        <f>N109*VLOOKUP('Données projet'!$B$9,Paramètres!$A$1:$I$89,3,0)*VLOOKUP('Données projet'!$B$9,Paramètres!$A$1:$I$89,5,0)</f>
        <v>242.48639999999975</v>
      </c>
      <c r="P109" s="14">
        <f t="shared" si="87"/>
        <v>58.97417023537237</v>
      </c>
      <c r="Q109" s="22">
        <f t="shared" si="107"/>
        <v>525.04382649327317</v>
      </c>
      <c r="R109" s="62">
        <f t="shared" si="55"/>
        <v>818.37715982660643</v>
      </c>
      <c r="S109" s="62">
        <f ca="1">AVERAGE(OFFSET($R$3,0,0,'Données projet'!$E$9+1,1))-AVERAGE(OFFSET($H$3,0,0,'Données projet'!$E$9+1,1))</f>
        <v>430.11660085503223</v>
      </c>
      <c r="T109" s="62">
        <f t="shared" si="88"/>
        <v>231.36959598460686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</v>
      </c>
      <c r="AI109" s="14">
        <f>IF('Données projet'!$A$62&gt;35,AI108+AH109-AQ108,IF(A109&lt;'Données projet'!$A$62,$AF$205^A109,IF(A109='Données projet'!$A$62,'Données projet'!$B$62,AI108+AH109-AQ108)))</f>
        <v>267.99999999999972</v>
      </c>
      <c r="AJ109" s="14">
        <f>AI109*VLOOKUP('Données projet'!$B$10,Paramètres!$A$1:$I$89,3,0)*VLOOKUP('Données projet'!$B$10,Paramètres!$A$1:$I$89,5,0)</f>
        <v>259.20959999999974</v>
      </c>
      <c r="AK109" s="14">
        <f t="shared" si="89"/>
        <v>62.553866774106652</v>
      </c>
      <c r="AL109" s="22">
        <f t="shared" si="58"/>
        <v>560.40470463156862</v>
      </c>
      <c r="AM109" s="62">
        <f t="shared" si="59"/>
        <v>853.73803796490188</v>
      </c>
      <c r="AN109" s="62">
        <f ca="1">AVERAGE(OFFSET($AM$3,0,0,'Données projet'!$E$10+1,1))-AVERAGE(OFFSET($H$3,0,0,'Données projet'!$E$10+1,1))</f>
        <v>456.86147223520601</v>
      </c>
      <c r="AO109" s="62">
        <f t="shared" si="90"/>
        <v>244.45149244446094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-1.1368683772161603E-13</v>
      </c>
      <c r="BE109" s="14">
        <f>BD109*VLOOKUP('Données projet'!$B$11,Paramètres!$A$1:$I$89,3,0)*VLOOKUP('Données projet'!$B$11,Paramètres!$A$1:$I$89,5,0)</f>
        <v>-6.7984728957526396E-14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215.43756133069593</v>
      </c>
      <c r="BJ109" s="62">
        <f t="shared" si="92"/>
        <v>363.02009369315243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24.547440634104621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2.2893247079039157E-8</v>
      </c>
      <c r="BS109" s="24">
        <f t="shared" si="63"/>
        <v>24.547440656997868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-6.8212102632969618E-13</v>
      </c>
      <c r="BZ109" s="14">
        <f>BY109*VLOOKUP('Données projet'!$B$12,Paramètres!$A$1:$I$89,3,0)*VLOOKUP('Données projet'!$B$12,Paramètres!$A$1:$I$89,5,0)</f>
        <v>-3.0149749363772573E-13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461.75392711528474</v>
      </c>
      <c r="CE109" s="62">
        <f t="shared" si="94"/>
        <v>441.67157957428236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>
        <f>CT109*VLOOKUP('Données projet'!$B$13,Paramètres!$A$1:$I$89,3,0)*VLOOKUP('Données projet'!$B$13,Paramètres!$A$1:$I$89,5,0)</f>
        <v>0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338.72479490324491</v>
      </c>
      <c r="CZ109" s="62">
        <f t="shared" si="96"/>
        <v>248.47107558211923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</v>
      </c>
      <c r="N110" s="14">
        <f>IF('Données projet'!$A$36&gt;35,N109+M110-V109,IF(A110&lt;'Données projet'!$A$36,$K$205^A110,IF(A110='Données projet'!$A$36,'Données projet'!$B$36,N109+M110-V109)))</f>
        <v>271.99999999999972</v>
      </c>
      <c r="O110" s="14">
        <f>N110*VLOOKUP('Données projet'!$B$9,Paramètres!$A$1:$I$89,3,0)*VLOOKUP('Données projet'!$B$9,Paramètres!$A$1:$I$89,5,0)</f>
        <v>246.10559999999973</v>
      </c>
      <c r="P110" s="14">
        <f t="shared" si="87"/>
        <v>59.751253234371873</v>
      </c>
      <c r="Q110" s="22">
        <f t="shared" si="107"/>
        <v>532.70068604986398</v>
      </c>
      <c r="R110" s="62">
        <f t="shared" si="55"/>
        <v>826.03401938319735</v>
      </c>
      <c r="S110" s="62">
        <f ca="1">AVERAGE(OFFSET($R$3,0,0,'Données projet'!$E$9+1,1))-AVERAGE(OFFSET($H$3,0,0,'Données projet'!$E$9+1,1))</f>
        <v>430.11660085503223</v>
      </c>
      <c r="T110" s="62">
        <f t="shared" si="88"/>
        <v>231.36959598460686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</v>
      </c>
      <c r="AI110" s="14">
        <f>IF('Données projet'!$A$62&gt;35,AI109+AH110-AQ109,IF(A110&lt;'Données projet'!$A$62,$AF$205^A110,IF(A110='Données projet'!$A$62,'Données projet'!$B$62,AI109+AH110-AQ109)))</f>
        <v>271.99999999999972</v>
      </c>
      <c r="AJ110" s="14">
        <f>AI110*VLOOKUP('Données projet'!$B$10,Paramètres!$A$1:$I$89,3,0)*VLOOKUP('Données projet'!$B$10,Paramètres!$A$1:$I$89,5,0)</f>
        <v>263.0783999999997</v>
      </c>
      <c r="AK110" s="14">
        <f t="shared" si="89"/>
        <v>63.378118242127854</v>
      </c>
      <c r="AL110" s="22">
        <f t="shared" si="58"/>
        <v>568.57843593837208</v>
      </c>
      <c r="AM110" s="62">
        <f t="shared" si="59"/>
        <v>861.91176927170545</v>
      </c>
      <c r="AN110" s="62">
        <f ca="1">AVERAGE(OFFSET($AM$3,0,0,'Données projet'!$E$10+1,1))-AVERAGE(OFFSET($H$3,0,0,'Données projet'!$E$10+1,1))</f>
        <v>456.86147223520601</v>
      </c>
      <c r="AO110" s="62">
        <f t="shared" si="90"/>
        <v>244.45149244446094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-1.1368683772161603E-13</v>
      </c>
      <c r="BE110" s="14">
        <f>BD110*VLOOKUP('Données projet'!$B$11,Paramètres!$A$1:$I$89,3,0)*VLOOKUP('Données projet'!$B$11,Paramètres!$A$1:$I$89,5,0)</f>
        <v>-6.7984728957526396E-14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215.43756133069593</v>
      </c>
      <c r="BJ110" s="62">
        <f t="shared" si="92"/>
        <v>363.02009369315243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24.06608029573021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1.6187970252967709E-8</v>
      </c>
      <c r="BS110" s="24">
        <f t="shared" si="63"/>
        <v>24.066080311918181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-6.8212102632969618E-13</v>
      </c>
      <c r="BZ110" s="14">
        <f>BY110*VLOOKUP('Données projet'!$B$12,Paramètres!$A$1:$I$89,3,0)*VLOOKUP('Données projet'!$B$12,Paramètres!$A$1:$I$89,5,0)</f>
        <v>-3.0149749363772573E-13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461.75392711528474</v>
      </c>
      <c r="CE110" s="62">
        <f t="shared" si="94"/>
        <v>441.67157957428236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>
        <f>CT110*VLOOKUP('Données projet'!$B$13,Paramètres!$A$1:$I$89,3,0)*VLOOKUP('Données projet'!$B$13,Paramètres!$A$1:$I$89,5,0)</f>
        <v>0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338.72479490324491</v>
      </c>
      <c r="CZ110" s="62">
        <f t="shared" si="96"/>
        <v>248.47107558211923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</v>
      </c>
      <c r="N111" s="14">
        <f>IF('Données projet'!$A$36&gt;35,N110+M111-V110,IF(A111&lt;'Données projet'!$A$36,$K$205^A111,IF(A111='Données projet'!$A$36,'Données projet'!$B$36,N110+M111-V110)))</f>
        <v>275.99999999999972</v>
      </c>
      <c r="O111" s="14">
        <f>N111*VLOOKUP('Données projet'!$B$9,Paramètres!$A$1:$I$89,3,0)*VLOOKUP('Données projet'!$B$9,Paramètres!$A$1:$I$89,5,0)</f>
        <v>249.72479999999973</v>
      </c>
      <c r="P111" s="14">
        <f t="shared" si="87"/>
        <v>60.527007137298092</v>
      </c>
      <c r="Q111" s="22">
        <f t="shared" si="107"/>
        <v>540.35523076412699</v>
      </c>
      <c r="R111" s="62">
        <f t="shared" si="55"/>
        <v>833.68856409746036</v>
      </c>
      <c r="S111" s="62">
        <f ca="1">AVERAGE(OFFSET($R$3,0,0,'Données projet'!$E$9+1,1))-AVERAGE(OFFSET($H$3,0,0,'Données projet'!$E$9+1,1))</f>
        <v>430.11660085503223</v>
      </c>
      <c r="T111" s="62">
        <f t="shared" si="88"/>
        <v>231.36959598460686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</v>
      </c>
      <c r="AI111" s="14">
        <f>IF('Données projet'!$A$62&gt;35,AI110+AH111-AQ110,IF(A111&lt;'Données projet'!$A$62,$AF$205^A111,IF(A111='Données projet'!$A$62,'Données projet'!$B$62,AI110+AH111-AQ110)))</f>
        <v>275.99999999999972</v>
      </c>
      <c r="AJ111" s="14">
        <f>AI111*VLOOKUP('Données projet'!$B$10,Paramètres!$A$1:$I$89,3,0)*VLOOKUP('Données projet'!$B$10,Paramètres!$A$1:$I$89,5,0)</f>
        <v>266.94719999999973</v>
      </c>
      <c r="AK111" s="14">
        <f t="shared" si="89"/>
        <v>64.200959938746323</v>
      </c>
      <c r="AL111" s="22">
        <f t="shared" si="58"/>
        <v>576.74971189331598</v>
      </c>
      <c r="AM111" s="62">
        <f t="shared" si="59"/>
        <v>870.08304522664935</v>
      </c>
      <c r="AN111" s="62">
        <f ca="1">AVERAGE(OFFSET($AM$3,0,0,'Données projet'!$E$10+1,1))-AVERAGE(OFFSET($H$3,0,0,'Données projet'!$E$10+1,1))</f>
        <v>456.86147223520601</v>
      </c>
      <c r="AO111" s="62">
        <f t="shared" si="90"/>
        <v>244.45149244446094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-1.1368683772161603E-13</v>
      </c>
      <c r="BE111" s="14">
        <f>BD111*VLOOKUP('Données projet'!$B$11,Paramètres!$A$1:$I$89,3,0)*VLOOKUP('Données projet'!$B$11,Paramètres!$A$1:$I$89,5,0)</f>
        <v>-6.7984728957526396E-14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215.43756133069593</v>
      </c>
      <c r="BJ111" s="62">
        <f t="shared" si="92"/>
        <v>363.02009369315243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23.594159139990502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1.1446623539519578E-8</v>
      </c>
      <c r="BS111" s="24">
        <f t="shared" si="63"/>
        <v>23.594159151437125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-6.8212102632969618E-13</v>
      </c>
      <c r="BZ111" s="14">
        <f>BY111*VLOOKUP('Données projet'!$B$12,Paramètres!$A$1:$I$89,3,0)*VLOOKUP('Données projet'!$B$12,Paramètres!$A$1:$I$89,5,0)</f>
        <v>-3.0149749363772573E-13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461.75392711528474</v>
      </c>
      <c r="CE111" s="62">
        <f t="shared" si="94"/>
        <v>441.67157957428236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>
        <f>CT111*VLOOKUP('Données projet'!$B$13,Paramètres!$A$1:$I$89,3,0)*VLOOKUP('Données projet'!$B$13,Paramètres!$A$1:$I$89,5,0)</f>
        <v>0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338.72479490324491</v>
      </c>
      <c r="CZ111" s="62">
        <f t="shared" si="96"/>
        <v>248.47107558211923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</v>
      </c>
      <c r="N112" s="14">
        <f>IF('Données projet'!$A$36&gt;35,N111+M112-V111,IF(A112&lt;'Données projet'!$A$36,$K$205^A112,IF(A112='Données projet'!$A$36,'Données projet'!$B$36,N111+M112-V111)))</f>
        <v>279.99999999999972</v>
      </c>
      <c r="O112" s="14">
        <f>N112*VLOOKUP('Données projet'!$B$9,Paramètres!$A$1:$I$89,3,0)*VLOOKUP('Données projet'!$B$9,Paramètres!$A$1:$I$89,5,0)</f>
        <v>253.34399999999974</v>
      </c>
      <c r="P112" s="14">
        <f t="shared" si="87"/>
        <v>61.301453431926198</v>
      </c>
      <c r="Q112" s="22">
        <f t="shared" si="107"/>
        <v>548.00749806060423</v>
      </c>
      <c r="R112" s="62">
        <f t="shared" si="55"/>
        <v>841.34083139393761</v>
      </c>
      <c r="S112" s="62">
        <f ca="1">AVERAGE(OFFSET($R$3,0,0,'Données projet'!$E$9+1,1))-AVERAGE(OFFSET($H$3,0,0,'Données projet'!$E$9+1,1))</f>
        <v>430.11660085503223</v>
      </c>
      <c r="T112" s="62">
        <f t="shared" si="88"/>
        <v>231.36959598460686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</v>
      </c>
      <c r="AI112" s="14">
        <f>IF('Données projet'!$A$62&gt;35,AI111+AH112-AQ111,IF(A112&lt;'Données projet'!$A$62,$AF$205^A112,IF(A112='Données projet'!$A$62,'Données projet'!$B$62,AI111+AH112-AQ111)))</f>
        <v>279.99999999999972</v>
      </c>
      <c r="AJ112" s="14">
        <f>AI112*VLOOKUP('Données projet'!$B$10,Paramètres!$A$1:$I$89,3,0)*VLOOKUP('Données projet'!$B$10,Paramètres!$A$1:$I$89,5,0)</f>
        <v>270.81599999999975</v>
      </c>
      <c r="AK112" s="14">
        <f t="shared" si="89"/>
        <v>65.022414656032254</v>
      </c>
      <c r="AL112" s="22">
        <f t="shared" si="58"/>
        <v>584.91857219258907</v>
      </c>
      <c r="AM112" s="62">
        <f t="shared" si="59"/>
        <v>878.25190552592244</v>
      </c>
      <c r="AN112" s="62">
        <f ca="1">AVERAGE(OFFSET($AM$3,0,0,'Données projet'!$E$10+1,1))-AVERAGE(OFFSET($H$3,0,0,'Données projet'!$E$10+1,1))</f>
        <v>456.86147223520601</v>
      </c>
      <c r="AO112" s="62">
        <f t="shared" si="90"/>
        <v>244.45149244446094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-1.1368683772161603E-13</v>
      </c>
      <c r="BE112" s="14">
        <f>BD112*VLOOKUP('Données projet'!$B$11,Paramètres!$A$1:$I$89,3,0)*VLOOKUP('Données projet'!$B$11,Paramètres!$A$1:$I$89,5,0)</f>
        <v>-6.7984728957526396E-14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215.43756133069593</v>
      </c>
      <c r="BJ112" s="62">
        <f t="shared" si="92"/>
        <v>363.02009369315243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23.131492070271371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8.0939851264838547E-9</v>
      </c>
      <c r="BS112" s="24">
        <f t="shared" si="63"/>
        <v>23.131492078365355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-6.8212102632969618E-13</v>
      </c>
      <c r="BZ112" s="14">
        <f>BY112*VLOOKUP('Données projet'!$B$12,Paramètres!$A$1:$I$89,3,0)*VLOOKUP('Données projet'!$B$12,Paramètres!$A$1:$I$89,5,0)</f>
        <v>-3.0149749363772573E-13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461.75392711528474</v>
      </c>
      <c r="CE112" s="62">
        <f t="shared" si="94"/>
        <v>441.67157957428236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>
        <f>CT112*VLOOKUP('Données projet'!$B$13,Paramètres!$A$1:$I$89,3,0)*VLOOKUP('Données projet'!$B$13,Paramètres!$A$1:$I$89,5,0)</f>
        <v>0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338.72479490324491</v>
      </c>
      <c r="CZ112" s="62">
        <f t="shared" si="96"/>
        <v>248.47107558211923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4</v>
      </c>
      <c r="N113" s="14">
        <f>IF('Données projet'!$A$36&gt;35,N112+M113-V112,IF(A113&lt;'Données projet'!$A$36,$K$205^A113,IF(A113='Données projet'!$A$36,'Données projet'!$B$36,N112+M113-V112)))</f>
        <v>283.99999999999972</v>
      </c>
      <c r="O113" s="14">
        <f>N113*VLOOKUP('Données projet'!$B$9,Paramètres!$A$1:$I$89,3,0)*VLOOKUP('Données projet'!$B$9,Paramètres!$A$1:$I$89,5,0)</f>
        <v>256.96319999999974</v>
      </c>
      <c r="P113" s="14">
        <f t="shared" si="87"/>
        <v>62.074612956837967</v>
      </c>
      <c r="Q113" s="22">
        <f t="shared" si="107"/>
        <v>555.65752423315905</v>
      </c>
      <c r="R113" s="62">
        <f t="shared" si="55"/>
        <v>848.99085756649242</v>
      </c>
      <c r="S113" s="62">
        <f ca="1">AVERAGE(OFFSET($R$3,0,0,'Données projet'!$E$9+1,1))-AVERAGE(OFFSET($H$3,0,0,'Données projet'!$E$9+1,1))</f>
        <v>430.11660085503223</v>
      </c>
      <c r="T113" s="62">
        <f t="shared" si="88"/>
        <v>231.36959598460686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4</v>
      </c>
      <c r="AI113" s="14">
        <f>IF('Données projet'!$A$62&gt;35,AI112+AH113-AQ112,IF(A113&lt;'Données projet'!$A$62,$AF$205^A113,IF(A113='Données projet'!$A$62,'Données projet'!$B$62,AI112+AH113-AQ112)))</f>
        <v>283.99999999999972</v>
      </c>
      <c r="AJ113" s="14">
        <f>AI113*VLOOKUP('Données projet'!$B$10,Paramètres!$A$1:$I$89,3,0)*VLOOKUP('Données projet'!$B$10,Paramètres!$A$1:$I$89,5,0)</f>
        <v>274.68479999999971</v>
      </c>
      <c r="AK113" s="14">
        <f t="shared" si="89"/>
        <v>65.842504497456602</v>
      </c>
      <c r="AL113" s="22">
        <f t="shared" si="58"/>
        <v>593.0850553330697</v>
      </c>
      <c r="AM113" s="62">
        <f t="shared" si="59"/>
        <v>886.41838866640296</v>
      </c>
      <c r="AN113" s="62">
        <f ca="1">AVERAGE(OFFSET($AM$3,0,0,'Données projet'!$E$10+1,1))-AVERAGE(OFFSET($H$3,0,0,'Données projet'!$E$10+1,1))</f>
        <v>456.86147223520601</v>
      </c>
      <c r="AO113" s="62">
        <f t="shared" si="90"/>
        <v>244.45149244446094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-1.1368683772161603E-13</v>
      </c>
      <c r="BE113" s="14">
        <f>BD113*VLOOKUP('Données projet'!$B$11,Paramètres!$A$1:$I$89,3,0)*VLOOKUP('Données projet'!$B$11,Paramètres!$A$1:$I$89,5,0)</f>
        <v>-6.7984728957526396E-14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215.43756133069593</v>
      </c>
      <c r="BJ113" s="62">
        <f t="shared" si="92"/>
        <v>363.02009369315243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22.677897619590382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5.7233117697597892E-9</v>
      </c>
      <c r="BS113" s="24">
        <f t="shared" si="63"/>
        <v>22.677897625313694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-6.8212102632969618E-13</v>
      </c>
      <c r="BZ113" s="14">
        <f>BY113*VLOOKUP('Données projet'!$B$12,Paramètres!$A$1:$I$89,3,0)*VLOOKUP('Données projet'!$B$12,Paramètres!$A$1:$I$89,5,0)</f>
        <v>-3.0149749363772573E-13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461.75392711528474</v>
      </c>
      <c r="CE113" s="62">
        <f t="shared" si="94"/>
        <v>441.67157957428236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>
        <f>CT113*VLOOKUP('Données projet'!$B$13,Paramètres!$A$1:$I$89,3,0)*VLOOKUP('Données projet'!$B$13,Paramètres!$A$1:$I$89,5,0)</f>
        <v>0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338.72479490324491</v>
      </c>
      <c r="CZ113" s="62">
        <f t="shared" si="96"/>
        <v>248.47107558211923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</v>
      </c>
      <c r="N114" s="14">
        <f>IF('Données projet'!$A$36&gt;35,N113+M114-V113,IF(A114&lt;'Données projet'!$A$36,$K$205^A114,IF(A114='Données projet'!$A$36,'Données projet'!$B$36,N113+M114-V113)))</f>
        <v>287.99999999999972</v>
      </c>
      <c r="O114" s="14">
        <f>N114*VLOOKUP('Données projet'!$B$9,Paramètres!$A$1:$I$89,3,0)*VLOOKUP('Données projet'!$B$9,Paramètres!$A$1:$I$89,5,0)</f>
        <v>260.58239999999972</v>
      </c>
      <c r="P114" s="14">
        <f t="shared" si="87"/>
        <v>62.84650592989685</v>
      </c>
      <c r="Q114" s="22">
        <f t="shared" si="107"/>
        <v>563.30534449456991</v>
      </c>
      <c r="R114" s="62">
        <f t="shared" si="55"/>
        <v>856.63867782790317</v>
      </c>
      <c r="S114" s="62">
        <f ca="1">AVERAGE(OFFSET($R$3,0,0,'Données projet'!$E$9+1,1))-AVERAGE(OFFSET($H$3,0,0,'Données projet'!$E$9+1,1))</f>
        <v>430.11660085503223</v>
      </c>
      <c r="T114" s="62">
        <f t="shared" si="88"/>
        <v>231.36959598460686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</v>
      </c>
      <c r="AI114" s="14">
        <f>IF('Données projet'!$A$62&gt;35,AI113+AH114-AQ113,IF(A114&lt;'Données projet'!$A$62,$AF$205^A114,IF(A114='Données projet'!$A$62,'Données projet'!$B$62,AI113+AH114-AQ113)))</f>
        <v>287.99999999999972</v>
      </c>
      <c r="AJ114" s="14">
        <f>AI114*VLOOKUP('Données projet'!$B$10,Paramètres!$A$1:$I$89,3,0)*VLOOKUP('Données projet'!$B$10,Paramètres!$A$1:$I$89,5,0)</f>
        <v>278.55359999999973</v>
      </c>
      <c r="AK114" s="14">
        <f t="shared" si="89"/>
        <v>66.661250908095099</v>
      </c>
      <c r="AL114" s="22">
        <f t="shared" si="58"/>
        <v>601.24919866493178</v>
      </c>
      <c r="AM114" s="62">
        <f t="shared" si="59"/>
        <v>894.58253199826504</v>
      </c>
      <c r="AN114" s="62">
        <f ca="1">AVERAGE(OFFSET($AM$3,0,0,'Données projet'!$E$10+1,1))-AVERAGE(OFFSET($H$3,0,0,'Données projet'!$E$10+1,1))</f>
        <v>456.86147223520601</v>
      </c>
      <c r="AO114" s="62">
        <f t="shared" si="90"/>
        <v>244.45149244446094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-1.1368683772161603E-13</v>
      </c>
      <c r="BE114" s="14">
        <f>BD114*VLOOKUP('Données projet'!$B$11,Paramètres!$A$1:$I$89,3,0)*VLOOKUP('Données projet'!$B$11,Paramètres!$A$1:$I$89,5,0)</f>
        <v>-6.7984728957526396E-14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215.43756133069593</v>
      </c>
      <c r="BJ114" s="62">
        <f t="shared" si="92"/>
        <v>363.02009369315243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22.233197879421951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4.0469925632419273E-9</v>
      </c>
      <c r="BS114" s="24">
        <f t="shared" si="63"/>
        <v>22.233197883468943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-6.8212102632969618E-13</v>
      </c>
      <c r="BZ114" s="14">
        <f>BY114*VLOOKUP('Données projet'!$B$12,Paramètres!$A$1:$I$89,3,0)*VLOOKUP('Données projet'!$B$12,Paramètres!$A$1:$I$89,5,0)</f>
        <v>-3.0149749363772573E-13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461.75392711528474</v>
      </c>
      <c r="CE114" s="62">
        <f t="shared" si="94"/>
        <v>441.67157957428236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>
        <f>CT114*VLOOKUP('Données projet'!$B$13,Paramètres!$A$1:$I$89,3,0)*VLOOKUP('Données projet'!$B$13,Paramètres!$A$1:$I$89,5,0)</f>
        <v>0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338.72479490324491</v>
      </c>
      <c r="CZ114" s="62">
        <f t="shared" si="96"/>
        <v>248.47107558211923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</v>
      </c>
      <c r="N115" s="14">
        <f>IF('Données projet'!$A$36&gt;35,N114+M115-V114,IF(A115&lt;'Données projet'!$A$36,$K$205^A115,IF(A115='Données projet'!$A$36,'Données projet'!$B$36,N114+M115-V114)))</f>
        <v>291.99999999999972</v>
      </c>
      <c r="O115" s="14">
        <f>N115*VLOOKUP('Données projet'!$B$9,Paramètres!$A$1:$I$89,3,0)*VLOOKUP('Données projet'!$B$9,Paramètres!$A$1:$I$89,5,0)</f>
        <v>264.2015999999997</v>
      </c>
      <c r="P115" s="14">
        <f t="shared" si="87"/>
        <v>63.617151975096711</v>
      </c>
      <c r="Q115" s="22">
        <f t="shared" si="107"/>
        <v>570.95099302329288</v>
      </c>
      <c r="R115" s="62">
        <f t="shared" si="55"/>
        <v>864.28432635662625</v>
      </c>
      <c r="S115" s="62">
        <f ca="1">AVERAGE(OFFSET($R$3,0,0,'Données projet'!$E$9+1,1))-AVERAGE(OFFSET($H$3,0,0,'Données projet'!$E$9+1,1))</f>
        <v>430.11660085503223</v>
      </c>
      <c r="T115" s="62">
        <f t="shared" si="88"/>
        <v>231.36959598460686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</v>
      </c>
      <c r="AI115" s="14">
        <f>IF('Données projet'!$A$62&gt;35,AI114+AH115-AQ114,IF(A115&lt;'Données projet'!$A$62,$AF$205^A115,IF(A115='Données projet'!$A$62,'Données projet'!$B$62,AI114+AH115-AQ114)))</f>
        <v>291.99999999999972</v>
      </c>
      <c r="AJ115" s="14">
        <f>AI115*VLOOKUP('Données projet'!$B$10,Paramètres!$A$1:$I$89,3,0)*VLOOKUP('Données projet'!$B$10,Paramètres!$A$1:$I$89,5,0)</f>
        <v>282.42239999999975</v>
      </c>
      <c r="AK115" s="14">
        <f t="shared" si="89"/>
        <v>67.478674703106122</v>
      </c>
      <c r="AL115" s="22">
        <f t="shared" si="58"/>
        <v>609.41103844124279</v>
      </c>
      <c r="AM115" s="62">
        <f t="shared" si="59"/>
        <v>902.74437177457617</v>
      </c>
      <c r="AN115" s="62">
        <f ca="1">AVERAGE(OFFSET($AM$3,0,0,'Données projet'!$E$10+1,1))-AVERAGE(OFFSET($H$3,0,0,'Données projet'!$E$10+1,1))</f>
        <v>456.86147223520601</v>
      </c>
      <c r="AO115" s="62">
        <f t="shared" si="90"/>
        <v>244.45149244446094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-1.1368683772161603E-13</v>
      </c>
      <c r="BE115" s="14">
        <f>BD115*VLOOKUP('Données projet'!$B$11,Paramètres!$A$1:$I$89,3,0)*VLOOKUP('Données projet'!$B$11,Paramètres!$A$1:$I$89,5,0)</f>
        <v>-6.7984728957526396E-14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215.43756133069593</v>
      </c>
      <c r="BJ115" s="62">
        <f t="shared" si="92"/>
        <v>363.02009369315243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21.797218429918164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2.8616558848798946E-9</v>
      </c>
      <c r="BS115" s="24">
        <f t="shared" si="63"/>
        <v>21.797218432779822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-6.8212102632969618E-13</v>
      </c>
      <c r="BZ115" s="14">
        <f>BY115*VLOOKUP('Données projet'!$B$12,Paramètres!$A$1:$I$89,3,0)*VLOOKUP('Données projet'!$B$12,Paramètres!$A$1:$I$89,5,0)</f>
        <v>-3.0149749363772573E-13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461.75392711528474</v>
      </c>
      <c r="CE115" s="62">
        <f t="shared" si="94"/>
        <v>441.67157957428236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>
        <f>CT115*VLOOKUP('Données projet'!$B$13,Paramètres!$A$1:$I$89,3,0)*VLOOKUP('Données projet'!$B$13,Paramètres!$A$1:$I$89,5,0)</f>
        <v>0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338.72479490324491</v>
      </c>
      <c r="CZ115" s="62">
        <f t="shared" si="96"/>
        <v>248.47107558211923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</v>
      </c>
      <c r="N116" s="14">
        <f>IF('Données projet'!$A$36&gt;35,N115+M116-V115,IF(A116&lt;'Données projet'!$A$36,$K$205^A116,IF(A116='Données projet'!$A$36,'Données projet'!$B$36,N115+M116-V115)))</f>
        <v>295.99999999999972</v>
      </c>
      <c r="O116" s="14">
        <f>N116*VLOOKUP('Données projet'!$B$9,Paramètres!$A$1:$I$89,3,0)*VLOOKUP('Données projet'!$B$9,Paramètres!$A$1:$I$89,5,0)</f>
        <v>267.82079999999974</v>
      </c>
      <c r="P116" s="14">
        <f t="shared" si="87"/>
        <v>64.386570147897245</v>
      </c>
      <c r="Q116" s="22">
        <f t="shared" si="107"/>
        <v>578.59450300758726</v>
      </c>
      <c r="R116" s="62">
        <f t="shared" si="55"/>
        <v>871.92783634092052</v>
      </c>
      <c r="S116" s="62">
        <f ca="1">AVERAGE(OFFSET($R$3,0,0,'Données projet'!$E$9+1,1))-AVERAGE(OFFSET($H$3,0,0,'Données projet'!$E$9+1,1))</f>
        <v>430.11660085503223</v>
      </c>
      <c r="T116" s="62">
        <f t="shared" si="88"/>
        <v>231.36959598460686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</v>
      </c>
      <c r="AI116" s="14">
        <f>IF('Données projet'!$A$62&gt;35,AI115+AH116-AQ115,IF(A116&lt;'Données projet'!$A$62,$AF$205^A116,IF(A116='Données projet'!$A$62,'Données projet'!$B$62,AI115+AH116-AQ115)))</f>
        <v>295.99999999999972</v>
      </c>
      <c r="AJ116" s="14">
        <f>AI116*VLOOKUP('Données projet'!$B$10,Paramètres!$A$1:$I$89,3,0)*VLOOKUP('Données projet'!$B$10,Paramètres!$A$1:$I$89,5,0)</f>
        <v>286.29119999999972</v>
      </c>
      <c r="AK116" s="14">
        <f t="shared" si="89"/>
        <v>68.294796094604337</v>
      </c>
      <c r="AL116" s="22">
        <f t="shared" si="58"/>
        <v>617.5706098647687</v>
      </c>
      <c r="AM116" s="62">
        <f t="shared" si="59"/>
        <v>910.90394319810207</v>
      </c>
      <c r="AN116" s="62">
        <f ca="1">AVERAGE(OFFSET($AM$3,0,0,'Données projet'!$E$10+1,1))-AVERAGE(OFFSET($H$3,0,0,'Données projet'!$E$10+1,1))</f>
        <v>456.86147223520601</v>
      </c>
      <c r="AO116" s="62">
        <f t="shared" si="90"/>
        <v>244.45149244446094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-1.1368683772161603E-13</v>
      </c>
      <c r="BE116" s="14">
        <f>BD116*VLOOKUP('Données projet'!$B$11,Paramètres!$A$1:$I$89,3,0)*VLOOKUP('Données projet'!$B$11,Paramètres!$A$1:$I$89,5,0)</f>
        <v>-6.7984728957526396E-14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215.43756133069593</v>
      </c>
      <c r="BJ116" s="62">
        <f t="shared" si="92"/>
        <v>363.02009369315243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21.369788271497939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2.0234962816209637E-9</v>
      </c>
      <c r="BS116" s="24">
        <f t="shared" si="63"/>
        <v>21.369788273521436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-6.8212102632969618E-13</v>
      </c>
      <c r="BZ116" s="14">
        <f>BY116*VLOOKUP('Données projet'!$B$12,Paramètres!$A$1:$I$89,3,0)*VLOOKUP('Données projet'!$B$12,Paramètres!$A$1:$I$89,5,0)</f>
        <v>-3.0149749363772573E-13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461.75392711528474</v>
      </c>
      <c r="CE116" s="62">
        <f t="shared" si="94"/>
        <v>441.67157957428236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>
        <f>CT116*VLOOKUP('Données projet'!$B$13,Paramètres!$A$1:$I$89,3,0)*VLOOKUP('Données projet'!$B$13,Paramètres!$A$1:$I$89,5,0)</f>
        <v>0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338.72479490324491</v>
      </c>
      <c r="CZ116" s="62">
        <f t="shared" si="96"/>
        <v>248.47107558211923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</v>
      </c>
      <c r="N117" s="14">
        <f>IF('Données projet'!$A$36&gt;35,N116+M117-V116,IF(A117&lt;'Données projet'!$A$36,$K$205^A117,IF(A117='Données projet'!$A$36,'Données projet'!$B$36,N116+M117-V116)))</f>
        <v>299.99999999999972</v>
      </c>
      <c r="O117" s="14">
        <f>N117*VLOOKUP('Données projet'!$B$9,Paramètres!$A$1:$I$89,3,0)*VLOOKUP('Données projet'!$B$9,Paramètres!$A$1:$I$89,5,0)</f>
        <v>271.43999999999977</v>
      </c>
      <c r="P117" s="14">
        <f t="shared" si="87"/>
        <v>65.154778959151116</v>
      </c>
      <c r="Q117" s="22">
        <f t="shared" si="107"/>
        <v>586.23590668718782</v>
      </c>
      <c r="R117" s="62">
        <f t="shared" si="55"/>
        <v>879.56924002052119</v>
      </c>
      <c r="S117" s="62">
        <f ca="1">AVERAGE(OFFSET($R$3,0,0,'Données projet'!$E$9+1,1))-AVERAGE(OFFSET($H$3,0,0,'Données projet'!$E$9+1,1))</f>
        <v>430.11660085503223</v>
      </c>
      <c r="T117" s="62">
        <f t="shared" si="88"/>
        <v>231.36959598460686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</v>
      </c>
      <c r="AI117" s="14">
        <f>IF('Données projet'!$A$62&gt;35,AI116+AH117-AQ116,IF(A117&lt;'Données projet'!$A$62,$AF$205^A117,IF(A117='Données projet'!$A$62,'Données projet'!$B$62,AI116+AH117-AQ116)))</f>
        <v>299.99999999999972</v>
      </c>
      <c r="AJ117" s="14">
        <f>AI117*VLOOKUP('Données projet'!$B$10,Paramètres!$A$1:$I$89,3,0)*VLOOKUP('Données projet'!$B$10,Paramètres!$A$1:$I$89,5,0)</f>
        <v>290.15999999999974</v>
      </c>
      <c r="AK117" s="14">
        <f t="shared" si="89"/>
        <v>69.109634717039867</v>
      </c>
      <c r="AL117" s="22">
        <f t="shared" si="58"/>
        <v>625.72794713217729</v>
      </c>
      <c r="AM117" s="62">
        <f t="shared" si="59"/>
        <v>919.06128046551066</v>
      </c>
      <c r="AN117" s="62">
        <f ca="1">AVERAGE(OFFSET($AM$3,0,0,'Données projet'!$E$10+1,1))-AVERAGE(OFFSET($H$3,0,0,'Données projet'!$E$10+1,1))</f>
        <v>456.86147223520601</v>
      </c>
      <c r="AO117" s="62">
        <f t="shared" si="90"/>
        <v>244.45149244446094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-1.1368683772161603E-13</v>
      </c>
      <c r="BE117" s="14">
        <f>BD117*VLOOKUP('Données projet'!$B$11,Paramètres!$A$1:$I$89,3,0)*VLOOKUP('Données projet'!$B$11,Paramètres!$A$1:$I$89,5,0)</f>
        <v>-6.7984728957526396E-14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215.43756133069593</v>
      </c>
      <c r="BJ117" s="62">
        <f t="shared" si="92"/>
        <v>363.02009369315243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20.950739757777679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1.4308279424399473E-9</v>
      </c>
      <c r="BS117" s="24">
        <f t="shared" si="63"/>
        <v>20.950739759208506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-6.8212102632969618E-13</v>
      </c>
      <c r="BZ117" s="14">
        <f>BY117*VLOOKUP('Données projet'!$B$12,Paramètres!$A$1:$I$89,3,0)*VLOOKUP('Données projet'!$B$12,Paramètres!$A$1:$I$89,5,0)</f>
        <v>-3.0149749363772573E-13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461.75392711528474</v>
      </c>
      <c r="CE117" s="62">
        <f t="shared" si="94"/>
        <v>441.67157957428236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>
        <f>CT117*VLOOKUP('Données projet'!$B$13,Paramètres!$A$1:$I$89,3,0)*VLOOKUP('Données projet'!$B$13,Paramètres!$A$1:$I$89,5,0)</f>
        <v>0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338.72479490324491</v>
      </c>
      <c r="CZ117" s="62">
        <f t="shared" si="96"/>
        <v>248.47107558211923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304</v>
      </c>
      <c r="L118" s="13">
        <f>VLOOKUP(A118,'Données projet'!$A$35:$I$55,9,0)</f>
        <v>4</v>
      </c>
      <c r="M118" s="13">
        <f t="array" ref="M118">INDEX(L:L,MIN(IF(ISNUMBER(L118:L314),ROW(L118:L314),"")))</f>
        <v>4</v>
      </c>
      <c r="N118" s="14">
        <f>IF('Données projet'!$A$36&gt;35,N117+M118-V117,IF(A118&lt;'Données projet'!$A$36,$K$205^A118,IF(A118='Données projet'!$A$36,'Données projet'!$B$36,N117+M118-V117)))</f>
        <v>303.99999999999972</v>
      </c>
      <c r="O118" s="14">
        <f>N118*VLOOKUP('Données projet'!$B$9,Paramètres!$A$1:$I$89,3,0)*VLOOKUP('Données projet'!$B$9,Paramètres!$A$1:$I$89,5,0)</f>
        <v>275.05919999999975</v>
      </c>
      <c r="P118" s="14">
        <f t="shared" si="87"/>
        <v>65.921796397718325</v>
      </c>
      <c r="Q118" s="22">
        <f t="shared" si="107"/>
        <v>593.87523539269228</v>
      </c>
      <c r="R118" s="62">
        <f t="shared" si="55"/>
        <v>887.20856872602553</v>
      </c>
      <c r="S118" s="62">
        <f ca="1">AVERAGE(OFFSET($R$3,0,0,'Données projet'!$E$9+1,1))-AVERAGE(OFFSET($H$3,0,0,'Données projet'!$E$9+1,1))</f>
        <v>430.11660085503223</v>
      </c>
      <c r="T118" s="62">
        <f t="shared" si="88"/>
        <v>231.36959598460686</v>
      </c>
      <c r="U118" s="16">
        <f>IF(ISNA(VLOOKUP(A118,'Données projet'!$A$35:$I$55,3,0)),0,VLOOKUP(A118,'Données projet'!$A$35:$I$55,3,0))</f>
        <v>10</v>
      </c>
      <c r="V118" s="16">
        <f>IF(ISNA(VLOOKUP(A118,'Données projet'!$A$35:$I$55,4,0)),0,VLOOKUP(A118,'Données projet'!$A$35:$I$55,4,0))</f>
        <v>37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304</v>
      </c>
      <c r="AG118" s="13">
        <f>VLOOKUP(A118,'Données projet'!$A$61:$I$81,9,0)</f>
        <v>4</v>
      </c>
      <c r="AH118" s="13">
        <f t="array" ref="AH118">INDEX(AG:AG,MIN(IF(ISNUMBER(AG118:AG314),ROW(AG118:AG314),"")))</f>
        <v>4</v>
      </c>
      <c r="AI118" s="14">
        <f>IF('Données projet'!$A$62&gt;35,AI117+AH118-AQ117,IF(A118&lt;'Données projet'!$A$62,$AF$205^A118,IF(A118='Données projet'!$A$62,'Données projet'!$B$62,AI117+AH118-AQ117)))</f>
        <v>303.99999999999972</v>
      </c>
      <c r="AJ118" s="14">
        <f>AI118*VLOOKUP('Données projet'!$B$10,Paramètres!$A$1:$I$89,3,0)*VLOOKUP('Données projet'!$B$10,Paramètres!$A$1:$I$89,5,0)</f>
        <v>294.02879999999971</v>
      </c>
      <c r="AK118" s="14">
        <f t="shared" si="89"/>
        <v>69.923209651185601</v>
      </c>
      <c r="AL118" s="22">
        <f t="shared" si="58"/>
        <v>633.88308347581449</v>
      </c>
      <c r="AM118" s="62">
        <f t="shared" si="59"/>
        <v>927.21641680914786</v>
      </c>
      <c r="AN118" s="62">
        <f ca="1">AVERAGE(OFFSET($AM$3,0,0,'Données projet'!$E$10+1,1))-AVERAGE(OFFSET($H$3,0,0,'Données projet'!$E$10+1,1))</f>
        <v>456.86147223520601</v>
      </c>
      <c r="AO118" s="62">
        <f t="shared" si="90"/>
        <v>244.45149244446094</v>
      </c>
      <c r="AP118" s="16">
        <f>IF(ISNA(VLOOKUP(A118,'Données projet'!$A$61:$I$81,3,0)),0,VLOOKUP(A118,'Données projet'!$A$61:$I$81,3,0))</f>
        <v>10</v>
      </c>
      <c r="AQ118" s="16">
        <f>IF(ISNA(VLOOKUP(A118,'Données projet'!$A$61:$I$81,4,0)),0,VLOOKUP(A118,'Données projet'!$A$61:$I$81,4,0))</f>
        <v>37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-1.1368683772161603E-13</v>
      </c>
      <c r="BE118" s="14">
        <f>BD118*VLOOKUP('Données projet'!$B$11,Paramètres!$A$1:$I$89,3,0)*VLOOKUP('Données projet'!$B$11,Paramètres!$A$1:$I$89,5,0)</f>
        <v>-6.7984728957526396E-14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215.43756133069593</v>
      </c>
      <c r="BJ118" s="62">
        <f t="shared" si="92"/>
        <v>363.02009369315243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20.539908529817119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1.0117481408104818E-9</v>
      </c>
      <c r="BS118" s="24">
        <f t="shared" si="63"/>
        <v>20.539908530828868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-6.8212102632969618E-13</v>
      </c>
      <c r="BZ118" s="14">
        <f>BY118*VLOOKUP('Données projet'!$B$12,Paramètres!$A$1:$I$89,3,0)*VLOOKUP('Données projet'!$B$12,Paramètres!$A$1:$I$89,5,0)</f>
        <v>-3.0149749363772573E-13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461.75392711528474</v>
      </c>
      <c r="CE118" s="62">
        <f t="shared" si="94"/>
        <v>441.67157957428236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>
        <f>CT118*VLOOKUP('Données projet'!$B$13,Paramètres!$A$1:$I$89,3,0)*VLOOKUP('Données projet'!$B$13,Paramètres!$A$1:$I$89,5,0)</f>
        <v>0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338.72479490324491</v>
      </c>
      <c r="CZ118" s="62">
        <f t="shared" si="96"/>
        <v>248.47107558211923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3.4</v>
      </c>
      <c r="N119" s="14">
        <f>IF('Données projet'!$A$36&gt;35,N118+M119-V118,IF(A119&lt;'Données projet'!$A$36,$K$205^A119,IF(A119='Données projet'!$A$36,'Données projet'!$B$36,N118+M119-V118)))</f>
        <v>270.39999999999969</v>
      </c>
      <c r="O119" s="14">
        <f>N119*VLOOKUP('Données projet'!$B$9,Paramètres!$A$1:$I$89,3,0)*VLOOKUP('Données projet'!$B$9,Paramètres!$A$1:$I$89,5,0)</f>
        <v>244.65791999999973</v>
      </c>
      <c r="P119" s="14">
        <f t="shared" si="87"/>
        <v>59.44058075210863</v>
      </c>
      <c r="Q119" s="22">
        <f t="shared" si="107"/>
        <v>529.63822214325535</v>
      </c>
      <c r="R119" s="62">
        <f t="shared" si="55"/>
        <v>822.97155547658872</v>
      </c>
      <c r="S119" s="62">
        <f ca="1">AVERAGE(OFFSET($R$3,0,0,'Données projet'!$E$9+1,1))-AVERAGE(OFFSET($H$3,0,0,'Données projet'!$E$9+1,1))</f>
        <v>430.11660085503223</v>
      </c>
      <c r="T119" s="62">
        <f t="shared" si="88"/>
        <v>231.36959598460686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3.4</v>
      </c>
      <c r="AI119" s="14">
        <f>IF('Données projet'!$A$62&gt;35,AI118+AH119-AQ118,IF(A119&lt;'Données projet'!$A$62,$AF$205^A119,IF(A119='Données projet'!$A$62,'Données projet'!$B$62,AI118+AH119-AQ118)))</f>
        <v>270.39999999999969</v>
      </c>
      <c r="AJ119" s="14">
        <f>AI119*VLOOKUP('Données projet'!$B$10,Paramètres!$A$1:$I$89,3,0)*VLOOKUP('Données projet'!$B$10,Paramètres!$A$1:$I$89,5,0)</f>
        <v>261.53087999999968</v>
      </c>
      <c r="AK119" s="14">
        <f t="shared" si="89"/>
        <v>63.048588127701258</v>
      </c>
      <c r="AL119" s="22">
        <f t="shared" si="58"/>
        <v>565.30924032241239</v>
      </c>
      <c r="AM119" s="62">
        <f t="shared" si="59"/>
        <v>858.64257365574576</v>
      </c>
      <c r="AN119" s="62">
        <f ca="1">AVERAGE(OFFSET($AM$3,0,0,'Données projet'!$E$10+1,1))-AVERAGE(OFFSET($H$3,0,0,'Données projet'!$E$10+1,1))</f>
        <v>456.86147223520601</v>
      </c>
      <c r="AO119" s="62">
        <f t="shared" si="90"/>
        <v>244.45149244446094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-1.1368683772161603E-13</v>
      </c>
      <c r="BE119" s="14">
        <f>BD119*VLOOKUP('Données projet'!$B$11,Paramètres!$A$1:$I$89,3,0)*VLOOKUP('Données projet'!$B$11,Paramètres!$A$1:$I$89,5,0)</f>
        <v>-6.7984728957526396E-14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215.43756133069593</v>
      </c>
      <c r="BJ119" s="62">
        <f t="shared" si="92"/>
        <v>363.02009369315243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20.137133451654559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7.1541397121997365E-10</v>
      </c>
      <c r="BS119" s="24">
        <f t="shared" si="63"/>
        <v>20.137133452369973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-6.8212102632969618E-13</v>
      </c>
      <c r="BZ119" s="14">
        <f>BY119*VLOOKUP('Données projet'!$B$12,Paramètres!$A$1:$I$89,3,0)*VLOOKUP('Données projet'!$B$12,Paramètres!$A$1:$I$89,5,0)</f>
        <v>-3.0149749363772573E-13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461.75392711528474</v>
      </c>
      <c r="CE119" s="62">
        <f t="shared" si="94"/>
        <v>441.67157957428236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>
        <f>CT119*VLOOKUP('Données projet'!$B$13,Paramètres!$A$1:$I$89,3,0)*VLOOKUP('Données projet'!$B$13,Paramètres!$A$1:$I$89,5,0)</f>
        <v>0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338.72479490324491</v>
      </c>
      <c r="CZ119" s="62">
        <f t="shared" si="96"/>
        <v>248.47107558211923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3.4</v>
      </c>
      <c r="N120" s="14">
        <f>IF('Données projet'!$A$36&gt;35,N119+M120-V119,IF(A120&lt;'Données projet'!$A$36,$K$205^A120,IF(A120='Données projet'!$A$36,'Données projet'!$B$36,N119+M120-V119)))</f>
        <v>273.79999999999967</v>
      </c>
      <c r="O120" s="14">
        <f>N120*VLOOKUP('Données projet'!$B$9,Paramètres!$A$1:$I$89,3,0)*VLOOKUP('Données projet'!$B$9,Paramètres!$A$1:$I$89,5,0)</f>
        <v>247.73423999999969</v>
      </c>
      <c r="P120" s="14">
        <f t="shared" si="87"/>
        <v>60.10050566569506</v>
      </c>
      <c r="Q120" s="22">
        <f t="shared" si="107"/>
        <v>536.14551536775173</v>
      </c>
      <c r="R120" s="62">
        <f t="shared" si="55"/>
        <v>829.4788487010851</v>
      </c>
      <c r="S120" s="62">
        <f ca="1">AVERAGE(OFFSET($R$3,0,0,'Données projet'!$E$9+1,1))-AVERAGE(OFFSET($H$3,0,0,'Données projet'!$E$9+1,1))</f>
        <v>430.11660085503223</v>
      </c>
      <c r="T120" s="62">
        <f t="shared" si="88"/>
        <v>231.36959598460686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3.4</v>
      </c>
      <c r="AI120" s="14">
        <f>IF('Données projet'!$A$62&gt;35,AI119+AH120-AQ119,IF(A120&lt;'Données projet'!$A$62,$AF$205^A120,IF(A120='Données projet'!$A$62,'Données projet'!$B$62,AI119+AH120-AQ119)))</f>
        <v>273.79999999999967</v>
      </c>
      <c r="AJ120" s="14">
        <f>AI120*VLOOKUP('Données projet'!$B$10,Paramètres!$A$1:$I$89,3,0)*VLOOKUP('Données projet'!$B$10,Paramètres!$A$1:$I$89,5,0)</f>
        <v>264.81935999999968</v>
      </c>
      <c r="AK120" s="14">
        <f t="shared" si="89"/>
        <v>63.748570085237006</v>
      </c>
      <c r="AL120" s="22">
        <f t="shared" si="58"/>
        <v>572.25581156512055</v>
      </c>
      <c r="AM120" s="62">
        <f t="shared" si="59"/>
        <v>865.58914489845392</v>
      </c>
      <c r="AN120" s="62">
        <f ca="1">AVERAGE(OFFSET($AM$3,0,0,'Données projet'!$E$10+1,1))-AVERAGE(OFFSET($H$3,0,0,'Données projet'!$E$10+1,1))</f>
        <v>456.86147223520601</v>
      </c>
      <c r="AO120" s="62">
        <f t="shared" si="90"/>
        <v>244.45149244446094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-1.1368683772161603E-13</v>
      </c>
      <c r="BE120" s="14">
        <f>BD120*VLOOKUP('Données projet'!$B$11,Paramètres!$A$1:$I$89,3,0)*VLOOKUP('Données projet'!$B$11,Paramètres!$A$1:$I$89,5,0)</f>
        <v>-6.7984728957526396E-14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215.43756133069593</v>
      </c>
      <c r="BJ120" s="62">
        <f t="shared" si="92"/>
        <v>363.02009369315243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19.74225654710623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5.0587407040524092E-10</v>
      </c>
      <c r="BS120" s="24">
        <f t="shared" si="63"/>
        <v>19.742256547612104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-6.8212102632969618E-13</v>
      </c>
      <c r="BZ120" s="14">
        <f>BY120*VLOOKUP('Données projet'!$B$12,Paramètres!$A$1:$I$89,3,0)*VLOOKUP('Données projet'!$B$12,Paramètres!$A$1:$I$89,5,0)</f>
        <v>-3.0149749363772573E-13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461.75392711528474</v>
      </c>
      <c r="CE120" s="62">
        <f t="shared" si="94"/>
        <v>441.67157957428236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>
        <f>CT120*VLOOKUP('Données projet'!$B$13,Paramètres!$A$1:$I$89,3,0)*VLOOKUP('Données projet'!$B$13,Paramètres!$A$1:$I$89,5,0)</f>
        <v>0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338.72479490324491</v>
      </c>
      <c r="CZ120" s="62">
        <f t="shared" si="96"/>
        <v>248.47107558211923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3.4</v>
      </c>
      <c r="N121" s="14">
        <f>IF('Données projet'!$A$36&gt;35,N120+M121-V120,IF(A121&lt;'Données projet'!$A$36,$K$205^A121,IF(A121='Données projet'!$A$36,'Données projet'!$B$36,N120+M121-V120)))</f>
        <v>277.19999999999965</v>
      </c>
      <c r="O121" s="14">
        <f>N121*VLOOKUP('Données projet'!$B$9,Paramètres!$A$1:$I$89,3,0)*VLOOKUP('Données projet'!$B$9,Paramètres!$A$1:$I$89,5,0)</f>
        <v>250.81055999999967</v>
      </c>
      <c r="P121" s="14">
        <f t="shared" si="87"/>
        <v>60.759477364108633</v>
      </c>
      <c r="Q121" s="22">
        <f t="shared" si="107"/>
        <v>542.65114840915533</v>
      </c>
      <c r="R121" s="62">
        <f t="shared" si="55"/>
        <v>835.9844817424887</v>
      </c>
      <c r="S121" s="62">
        <f ca="1">AVERAGE(OFFSET($R$3,0,0,'Données projet'!$E$9+1,1))-AVERAGE(OFFSET($H$3,0,0,'Données projet'!$E$9+1,1))</f>
        <v>430.11660085503223</v>
      </c>
      <c r="T121" s="62">
        <f t="shared" si="88"/>
        <v>231.36959598460686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3.4</v>
      </c>
      <c r="AI121" s="14">
        <f>IF('Données projet'!$A$62&gt;35,AI120+AH121-AQ120,IF(A121&lt;'Données projet'!$A$62,$AF$205^A121,IF(A121='Données projet'!$A$62,'Données projet'!$B$62,AI120+AH121-AQ120)))</f>
        <v>277.19999999999965</v>
      </c>
      <c r="AJ121" s="14">
        <f>AI121*VLOOKUP('Données projet'!$B$10,Paramètres!$A$1:$I$89,3,0)*VLOOKUP('Données projet'!$B$10,Paramètres!$A$1:$I$89,5,0)</f>
        <v>268.10783999999967</v>
      </c>
      <c r="AK121" s="14">
        <f t="shared" si="89"/>
        <v>64.447540968014124</v>
      </c>
      <c r="AL121" s="22">
        <f t="shared" si="58"/>
        <v>579.20062185262395</v>
      </c>
      <c r="AM121" s="62">
        <f t="shared" si="59"/>
        <v>872.53395518595721</v>
      </c>
      <c r="AN121" s="62">
        <f ca="1">AVERAGE(OFFSET($AM$3,0,0,'Données projet'!$E$10+1,1))-AVERAGE(OFFSET($H$3,0,0,'Données projet'!$E$10+1,1))</f>
        <v>456.86147223520601</v>
      </c>
      <c r="AO121" s="62">
        <f t="shared" si="90"/>
        <v>244.45149244446094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-1.1368683772161603E-13</v>
      </c>
      <c r="BE121" s="14">
        <f>BD121*VLOOKUP('Données projet'!$B$11,Paramètres!$A$1:$I$89,3,0)*VLOOKUP('Données projet'!$B$11,Paramètres!$A$1:$I$89,5,0)</f>
        <v>-6.7984728957526396E-14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215.43756133069593</v>
      </c>
      <c r="BJ121" s="62">
        <f t="shared" si="92"/>
        <v>363.02009369315243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19.355122937804964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3.5770698560998683E-10</v>
      </c>
      <c r="BS121" s="24">
        <f t="shared" si="63"/>
        <v>19.355122938162673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-6.8212102632969618E-13</v>
      </c>
      <c r="BZ121" s="14">
        <f>BY121*VLOOKUP('Données projet'!$B$12,Paramètres!$A$1:$I$89,3,0)*VLOOKUP('Données projet'!$B$12,Paramètres!$A$1:$I$89,5,0)</f>
        <v>-3.0149749363772573E-13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461.75392711528474</v>
      </c>
      <c r="CE121" s="62">
        <f t="shared" si="94"/>
        <v>441.67157957428236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>
        <f>CT121*VLOOKUP('Données projet'!$B$13,Paramètres!$A$1:$I$89,3,0)*VLOOKUP('Données projet'!$B$13,Paramètres!$A$1:$I$89,5,0)</f>
        <v>0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338.72479490324491</v>
      </c>
      <c r="CZ121" s="62">
        <f t="shared" si="96"/>
        <v>248.47107558211923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3.4</v>
      </c>
      <c r="N122" s="14">
        <f>IF('Données projet'!$A$36&gt;35,N121+M122-V121,IF(A122&lt;'Données projet'!$A$36,$K$205^A122,IF(A122='Données projet'!$A$36,'Données projet'!$B$36,N121+M122-V121)))</f>
        <v>280.59999999999962</v>
      </c>
      <c r="O122" s="14">
        <f>N122*VLOOKUP('Données projet'!$B$9,Paramètres!$A$1:$I$89,3,0)*VLOOKUP('Données projet'!$B$9,Paramètres!$A$1:$I$89,5,0)</f>
        <v>253.88687999999965</v>
      </c>
      <c r="P122" s="14">
        <f t="shared" si="87"/>
        <v>61.417508891276917</v>
      </c>
      <c r="Q122" s="22">
        <f t="shared" si="107"/>
        <v>549.15514398563994</v>
      </c>
      <c r="R122" s="62">
        <f t="shared" si="55"/>
        <v>842.48847731897331</v>
      </c>
      <c r="S122" s="62">
        <f ca="1">AVERAGE(OFFSET($R$3,0,0,'Données projet'!$E$9+1,1))-AVERAGE(OFFSET($H$3,0,0,'Données projet'!$E$9+1,1))</f>
        <v>430.11660085503223</v>
      </c>
      <c r="T122" s="62">
        <f t="shared" si="88"/>
        <v>231.36959598460686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3.4</v>
      </c>
      <c r="AI122" s="14">
        <f>IF('Données projet'!$A$62&gt;35,AI121+AH122-AQ121,IF(A122&lt;'Données projet'!$A$62,$AF$205^A122,IF(A122='Données projet'!$A$62,'Données projet'!$B$62,AI121+AH122-AQ121)))</f>
        <v>280.59999999999962</v>
      </c>
      <c r="AJ122" s="14">
        <f>AI122*VLOOKUP('Données projet'!$B$10,Paramètres!$A$1:$I$89,3,0)*VLOOKUP('Données projet'!$B$10,Paramètres!$A$1:$I$89,5,0)</f>
        <v>271.3963199999996</v>
      </c>
      <c r="AK122" s="14">
        <f t="shared" si="89"/>
        <v>65.145514611718866</v>
      </c>
      <c r="AL122" s="22">
        <f t="shared" si="58"/>
        <v>586.14369528207624</v>
      </c>
      <c r="AM122" s="62">
        <f t="shared" si="59"/>
        <v>879.47702861540961</v>
      </c>
      <c r="AN122" s="62">
        <f ca="1">AVERAGE(OFFSET($AM$3,0,0,'Données projet'!$E$10+1,1))-AVERAGE(OFFSET($H$3,0,0,'Données projet'!$E$10+1,1))</f>
        <v>456.86147223520601</v>
      </c>
      <c r="AO122" s="62">
        <f t="shared" si="90"/>
        <v>244.45149244446094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-1.1368683772161603E-13</v>
      </c>
      <c r="BE122" s="14">
        <f>BD122*VLOOKUP('Données projet'!$B$11,Paramètres!$A$1:$I$89,3,0)*VLOOKUP('Données projet'!$B$11,Paramètres!$A$1:$I$89,5,0)</f>
        <v>-6.7984728957526396E-14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215.43756133069593</v>
      </c>
      <c r="BJ122" s="62">
        <f t="shared" si="92"/>
        <v>363.02009369315243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18.975580782453907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2.5293703520262046E-10</v>
      </c>
      <c r="BS122" s="24">
        <f t="shared" si="63"/>
        <v>18.975580782706842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-6.8212102632969618E-13</v>
      </c>
      <c r="BZ122" s="14">
        <f>BY122*VLOOKUP('Données projet'!$B$12,Paramètres!$A$1:$I$89,3,0)*VLOOKUP('Données projet'!$B$12,Paramètres!$A$1:$I$89,5,0)</f>
        <v>-3.0149749363772573E-13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461.75392711528474</v>
      </c>
      <c r="CE122" s="62">
        <f t="shared" si="94"/>
        <v>441.67157957428236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>
        <f>CT122*VLOOKUP('Données projet'!$B$13,Paramètres!$A$1:$I$89,3,0)*VLOOKUP('Données projet'!$B$13,Paramètres!$A$1:$I$89,5,0)</f>
        <v>0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338.72479490324491</v>
      </c>
      <c r="CZ122" s="62">
        <f t="shared" si="96"/>
        <v>248.47107558211923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3.4</v>
      </c>
      <c r="N123" s="14">
        <f>IF('Données projet'!$A$36&gt;35,N122+M123-V122,IF(A123&lt;'Données projet'!$A$36,$K$205^A123,IF(A123='Données projet'!$A$36,'Données projet'!$B$36,N122+M123-V122)))</f>
        <v>283.9999999999996</v>
      </c>
      <c r="O123" s="14">
        <f>N123*VLOOKUP('Données projet'!$B$9,Paramètres!$A$1:$I$89,3,0)*VLOOKUP('Données projet'!$B$9,Paramètres!$A$1:$I$89,5,0)</f>
        <v>256.96319999999963</v>
      </c>
      <c r="P123" s="14">
        <f t="shared" si="87"/>
        <v>62.07461295683791</v>
      </c>
      <c r="Q123" s="22">
        <f t="shared" si="107"/>
        <v>555.65752423315882</v>
      </c>
      <c r="R123" s="62">
        <f t="shared" si="55"/>
        <v>848.9908575664922</v>
      </c>
      <c r="S123" s="62">
        <f ca="1">AVERAGE(OFFSET($R$3,0,0,'Données projet'!$E$9+1,1))-AVERAGE(OFFSET($H$3,0,0,'Données projet'!$E$9+1,1))</f>
        <v>430.11660085503223</v>
      </c>
      <c r="T123" s="62">
        <f t="shared" si="88"/>
        <v>231.36959598460686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3.4</v>
      </c>
      <c r="AI123" s="14">
        <f>IF('Données projet'!$A$62&gt;35,AI122+AH123-AQ122,IF(A123&lt;'Données projet'!$A$62,$AF$205^A123,IF(A123='Données projet'!$A$62,'Données projet'!$B$62,AI122+AH123-AQ122)))</f>
        <v>283.9999999999996</v>
      </c>
      <c r="AJ123" s="14">
        <f>AI123*VLOOKUP('Données projet'!$B$10,Paramètres!$A$1:$I$89,3,0)*VLOOKUP('Données projet'!$B$10,Paramètres!$A$1:$I$89,5,0)</f>
        <v>274.68479999999965</v>
      </c>
      <c r="AK123" s="14">
        <f t="shared" si="89"/>
        <v>65.842504497456602</v>
      </c>
      <c r="AL123" s="22">
        <f t="shared" si="58"/>
        <v>593.08505533306959</v>
      </c>
      <c r="AM123" s="62">
        <f t="shared" si="59"/>
        <v>886.41838866640296</v>
      </c>
      <c r="AN123" s="62">
        <f ca="1">AVERAGE(OFFSET($AM$3,0,0,'Données projet'!$E$10+1,1))-AVERAGE(OFFSET($H$3,0,0,'Données projet'!$E$10+1,1))</f>
        <v>456.86147223520601</v>
      </c>
      <c r="AO123" s="62">
        <f t="shared" si="90"/>
        <v>244.45149244446094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-1.1368683772161603E-13</v>
      </c>
      <c r="BE123" s="14">
        <f>BD123*VLOOKUP('Données projet'!$B$11,Paramètres!$A$1:$I$89,3,0)*VLOOKUP('Données projet'!$B$11,Paramètres!$A$1:$I$89,5,0)</f>
        <v>-6.7984728957526396E-14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215.43756133069593</v>
      </c>
      <c r="BJ123" s="62">
        <f t="shared" si="92"/>
        <v>363.02009369315243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18.60348121727143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1.7885349280499341E-10</v>
      </c>
      <c r="BS123" s="24">
        <f t="shared" si="63"/>
        <v>18.603481217450284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-6.8212102632969618E-13</v>
      </c>
      <c r="BZ123" s="14">
        <f>BY123*VLOOKUP('Données projet'!$B$12,Paramètres!$A$1:$I$89,3,0)*VLOOKUP('Données projet'!$B$12,Paramètres!$A$1:$I$89,5,0)</f>
        <v>-3.0149749363772573E-13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461.75392711528474</v>
      </c>
      <c r="CE123" s="62">
        <f t="shared" si="94"/>
        <v>441.67157957428236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>
        <f>CT123*VLOOKUP('Données projet'!$B$13,Paramètres!$A$1:$I$89,3,0)*VLOOKUP('Données projet'!$B$13,Paramètres!$A$1:$I$89,5,0)</f>
        <v>0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338.72479490324491</v>
      </c>
      <c r="CZ123" s="62">
        <f t="shared" si="96"/>
        <v>248.47107558211923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3.4</v>
      </c>
      <c r="N124" s="14">
        <f>IF('Données projet'!$A$36&gt;35,N123+M124-V123,IF(A124&lt;'Données projet'!$A$36,$K$205^A124,IF(A124='Données projet'!$A$36,'Données projet'!$B$36,N123+M124-V123)))</f>
        <v>287.39999999999958</v>
      </c>
      <c r="O124" s="14">
        <f>N124*VLOOKUP('Données projet'!$B$9,Paramètres!$A$1:$I$89,3,0)*VLOOKUP('Données projet'!$B$9,Paramètres!$A$1:$I$89,5,0)</f>
        <v>260.03951999999964</v>
      </c>
      <c r="P124" s="14">
        <f t="shared" si="87"/>
        <v>62.730801948604821</v>
      </c>
      <c r="Q124" s="22">
        <f t="shared" si="107"/>
        <v>562.15831072715275</v>
      </c>
      <c r="R124" s="62">
        <f t="shared" si="55"/>
        <v>855.49164406048612</v>
      </c>
      <c r="S124" s="62">
        <f ca="1">AVERAGE(OFFSET($R$3,0,0,'Données projet'!$E$9+1,1))-AVERAGE(OFFSET($H$3,0,0,'Données projet'!$E$9+1,1))</f>
        <v>430.11660085503223</v>
      </c>
      <c r="T124" s="62">
        <f t="shared" si="88"/>
        <v>231.36959598460686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3.4</v>
      </c>
      <c r="AI124" s="14">
        <f>IF('Données projet'!$A$62&gt;35,AI123+AH124-AQ123,IF(A124&lt;'Données projet'!$A$62,$AF$205^A124,IF(A124='Données projet'!$A$62,'Données projet'!$B$62,AI123+AH124-AQ123)))</f>
        <v>287.39999999999958</v>
      </c>
      <c r="AJ124" s="14">
        <f>AI124*VLOOKUP('Données projet'!$B$10,Paramètres!$A$1:$I$89,3,0)*VLOOKUP('Données projet'!$B$10,Paramètres!$A$1:$I$89,5,0)</f>
        <v>277.97327999999959</v>
      </c>
      <c r="AK124" s="14">
        <f t="shared" si="89"/>
        <v>66.538523764973078</v>
      </c>
      <c r="AL124" s="22">
        <f t="shared" si="58"/>
        <v>600.02472489066076</v>
      </c>
      <c r="AM124" s="62">
        <f t="shared" si="59"/>
        <v>893.35805822399402</v>
      </c>
      <c r="AN124" s="62">
        <f ca="1">AVERAGE(OFFSET($AM$3,0,0,'Données projet'!$E$10+1,1))-AVERAGE(OFFSET($H$3,0,0,'Données projet'!$E$10+1,1))</f>
        <v>456.86147223520601</v>
      </c>
      <c r="AO124" s="62">
        <f t="shared" si="90"/>
        <v>244.45149244446094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-1.1368683772161603E-13</v>
      </c>
      <c r="BE124" s="14">
        <f>BD124*VLOOKUP('Données projet'!$B$11,Paramètres!$A$1:$I$89,3,0)*VLOOKUP('Données projet'!$B$11,Paramètres!$A$1:$I$89,5,0)</f>
        <v>-6.7984728957526396E-14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215.43756133069593</v>
      </c>
      <c r="BJ124" s="62">
        <f t="shared" si="92"/>
        <v>363.02009369315243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18.238678297603855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1.2646851760131023E-10</v>
      </c>
      <c r="BS124" s="24">
        <f t="shared" si="63"/>
        <v>18.238678297730324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-6.8212102632969618E-13</v>
      </c>
      <c r="BZ124" s="14">
        <f>BY124*VLOOKUP('Données projet'!$B$12,Paramètres!$A$1:$I$89,3,0)*VLOOKUP('Données projet'!$B$12,Paramètres!$A$1:$I$89,5,0)</f>
        <v>-3.0149749363772573E-13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461.75392711528474</v>
      </c>
      <c r="CE124" s="62">
        <f t="shared" si="94"/>
        <v>441.67157957428236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>
        <f>CT124*VLOOKUP('Données projet'!$B$13,Paramètres!$A$1:$I$89,3,0)*VLOOKUP('Données projet'!$B$13,Paramètres!$A$1:$I$89,5,0)</f>
        <v>0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338.72479490324491</v>
      </c>
      <c r="CZ124" s="62">
        <f t="shared" si="96"/>
        <v>248.47107558211923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3.4</v>
      </c>
      <c r="N125" s="14">
        <f>IF('Données projet'!$A$36&gt;35,N124+M125-V124,IF(A125&lt;'Données projet'!$A$36,$K$205^A125,IF(A125='Données projet'!$A$36,'Données projet'!$B$36,N124+M125-V124)))</f>
        <v>290.79999999999956</v>
      </c>
      <c r="O125" s="14">
        <f>N125*VLOOKUP('Données projet'!$B$9,Paramètres!$A$1:$I$89,3,0)*VLOOKUP('Données projet'!$B$9,Paramètres!$A$1:$I$89,5,0)</f>
        <v>263.11583999999959</v>
      </c>
      <c r="P125" s="14">
        <f t="shared" si="87"/>
        <v>63.38608794442333</v>
      </c>
      <c r="Q125" s="22">
        <f t="shared" si="107"/>
        <v>568.65752450320326</v>
      </c>
      <c r="R125" s="62">
        <f t="shared" si="55"/>
        <v>861.99085783653663</v>
      </c>
      <c r="S125" s="62">
        <f ca="1">AVERAGE(OFFSET($R$3,0,0,'Données projet'!$E$9+1,1))-AVERAGE(OFFSET($H$3,0,0,'Données projet'!$E$9+1,1))</f>
        <v>430.11660085503223</v>
      </c>
      <c r="T125" s="62">
        <f t="shared" si="88"/>
        <v>231.36959598460686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3.4</v>
      </c>
      <c r="AI125" s="14">
        <f>IF('Données projet'!$A$62&gt;35,AI124+AH125-AQ124,IF(A125&lt;'Données projet'!$A$62,$AF$205^A125,IF(A125='Données projet'!$A$62,'Données projet'!$B$62,AI124+AH125-AQ124)))</f>
        <v>290.79999999999956</v>
      </c>
      <c r="AJ125" s="14">
        <f>AI125*VLOOKUP('Données projet'!$B$10,Paramètres!$A$1:$I$89,3,0)*VLOOKUP('Données projet'!$B$10,Paramètres!$A$1:$I$89,5,0)</f>
        <v>281.26175999999958</v>
      </c>
      <c r="AK125" s="14">
        <f t="shared" si="89"/>
        <v>67.233585225232218</v>
      </c>
      <c r="AL125" s="22">
        <f t="shared" si="58"/>
        <v>606.96272626727875</v>
      </c>
      <c r="AM125" s="62">
        <f t="shared" si="59"/>
        <v>900.29605960061212</v>
      </c>
      <c r="AN125" s="62">
        <f ca="1">AVERAGE(OFFSET($AM$3,0,0,'Données projet'!$E$10+1,1))-AVERAGE(OFFSET($H$3,0,0,'Données projet'!$E$10+1,1))</f>
        <v>456.86147223520601</v>
      </c>
      <c r="AO125" s="62">
        <f t="shared" si="90"/>
        <v>244.45149244446094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-1.1368683772161603E-13</v>
      </c>
      <c r="BE125" s="14">
        <f>BD125*VLOOKUP('Données projet'!$B$11,Paramètres!$A$1:$I$89,3,0)*VLOOKUP('Données projet'!$B$11,Paramètres!$A$1:$I$89,5,0)</f>
        <v>-6.7984728957526396E-14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215.43756133069593</v>
      </c>
      <c r="BJ125" s="62">
        <f t="shared" si="92"/>
        <v>363.02009369315243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17.881028940683152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8.9426746402496706E-11</v>
      </c>
      <c r="BS125" s="24">
        <f t="shared" si="63"/>
        <v>17.881028940772577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-6.8212102632969618E-13</v>
      </c>
      <c r="BZ125" s="14">
        <f>BY125*VLOOKUP('Données projet'!$B$12,Paramètres!$A$1:$I$89,3,0)*VLOOKUP('Données projet'!$B$12,Paramètres!$A$1:$I$89,5,0)</f>
        <v>-3.0149749363772573E-13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461.75392711528474</v>
      </c>
      <c r="CE125" s="62">
        <f t="shared" si="94"/>
        <v>441.67157957428236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>
        <f>CT125*VLOOKUP('Données projet'!$B$13,Paramètres!$A$1:$I$89,3,0)*VLOOKUP('Données projet'!$B$13,Paramètres!$A$1:$I$89,5,0)</f>
        <v>0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338.72479490324491</v>
      </c>
      <c r="CZ125" s="62">
        <f t="shared" si="96"/>
        <v>248.47107558211923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3.4</v>
      </c>
      <c r="N126" s="14">
        <f>IF('Données projet'!$A$36&gt;35,N125+M126-V125,IF(A126&lt;'Données projet'!$A$36,$K$205^A126,IF(A126='Données projet'!$A$36,'Données projet'!$B$36,N125+M126-V125)))</f>
        <v>294.19999999999953</v>
      </c>
      <c r="O126" s="14">
        <f>N126*VLOOKUP('Données projet'!$B$9,Paramètres!$A$1:$I$89,3,0)*VLOOKUP('Données projet'!$B$9,Paramètres!$A$1:$I$89,5,0)</f>
        <v>266.19215999999955</v>
      </c>
      <c r="P126" s="14">
        <f t="shared" si="87"/>
        <v>64.040482723459647</v>
      </c>
      <c r="Q126" s="22">
        <f t="shared" si="107"/>
        <v>575.15518607669139</v>
      </c>
      <c r="R126" s="62">
        <f t="shared" si="55"/>
        <v>868.48851941002476</v>
      </c>
      <c r="S126" s="62">
        <f ca="1">AVERAGE(OFFSET($R$3,0,0,'Données projet'!$E$9+1,1))-AVERAGE(OFFSET($H$3,0,0,'Données projet'!$E$9+1,1))</f>
        <v>430.11660085503223</v>
      </c>
      <c r="T126" s="62">
        <f t="shared" si="88"/>
        <v>231.36959598460686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3.4</v>
      </c>
      <c r="AI126" s="14">
        <f>IF('Données projet'!$A$62&gt;35,AI125+AH126-AQ125,IF(A126&lt;'Données projet'!$A$62,$AF$205^A126,IF(A126='Données projet'!$A$62,'Données projet'!$B$62,AI125+AH126-AQ125)))</f>
        <v>294.19999999999953</v>
      </c>
      <c r="AJ126" s="14">
        <f>AI126*VLOOKUP('Données projet'!$B$10,Paramètres!$A$1:$I$89,3,0)*VLOOKUP('Données projet'!$B$10,Paramètres!$A$1:$I$89,5,0)</f>
        <v>284.55023999999958</v>
      </c>
      <c r="AK126" s="14">
        <f t="shared" si="89"/>
        <v>67.927701372388498</v>
      </c>
      <c r="AL126" s="22">
        <f t="shared" si="58"/>
        <v>613.89908122357576</v>
      </c>
      <c r="AM126" s="62">
        <f t="shared" si="59"/>
        <v>907.23241455690913</v>
      </c>
      <c r="AN126" s="62">
        <f ca="1">AVERAGE(OFFSET($AM$3,0,0,'Données projet'!$E$10+1,1))-AVERAGE(OFFSET($H$3,0,0,'Données projet'!$E$10+1,1))</f>
        <v>456.86147223520601</v>
      </c>
      <c r="AO126" s="62">
        <f t="shared" si="90"/>
        <v>244.45149244446094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-1.1368683772161603E-13</v>
      </c>
      <c r="BE126" s="14">
        <f>BD126*VLOOKUP('Données projet'!$B$11,Paramètres!$A$1:$I$89,3,0)*VLOOKUP('Données projet'!$B$11,Paramètres!$A$1:$I$89,5,0)</f>
        <v>-6.7984728957526396E-14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215.43756133069593</v>
      </c>
      <c r="BJ126" s="62">
        <f t="shared" si="92"/>
        <v>363.02009369315243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17.530392869507097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6.3234258800655115E-11</v>
      </c>
      <c r="BS126" s="24">
        <f t="shared" si="63"/>
        <v>17.530392869570331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-6.8212102632969618E-13</v>
      </c>
      <c r="BZ126" s="14">
        <f>BY126*VLOOKUP('Données projet'!$B$12,Paramètres!$A$1:$I$89,3,0)*VLOOKUP('Données projet'!$B$12,Paramètres!$A$1:$I$89,5,0)</f>
        <v>-3.0149749363772573E-13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461.75392711528474</v>
      </c>
      <c r="CE126" s="62">
        <f t="shared" si="94"/>
        <v>441.67157957428236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>
        <f>CT126*VLOOKUP('Données projet'!$B$13,Paramètres!$A$1:$I$89,3,0)*VLOOKUP('Données projet'!$B$13,Paramètres!$A$1:$I$89,5,0)</f>
        <v>0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338.72479490324491</v>
      </c>
      <c r="CZ126" s="62">
        <f t="shared" si="96"/>
        <v>248.47107558211923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3.4</v>
      </c>
      <c r="N127" s="14">
        <f>IF('Données projet'!$A$36&gt;35,N126+M127-V126,IF(A127&lt;'Données projet'!$A$36,$K$205^A127,IF(A127='Données projet'!$A$36,'Données projet'!$B$36,N126+M127-V126)))</f>
        <v>297.59999999999951</v>
      </c>
      <c r="O127" s="14">
        <f>N127*VLOOKUP('Données projet'!$B$9,Paramètres!$A$1:$I$89,3,0)*VLOOKUP('Données projet'!$B$9,Paramètres!$A$1:$I$89,5,0)</f>
        <v>269.26847999999956</v>
      </c>
      <c r="P127" s="14">
        <f t="shared" si="87"/>
        <v>64.693997776951122</v>
      </c>
      <c r="Q127" s="22">
        <f t="shared" si="107"/>
        <v>581.65131546152236</v>
      </c>
      <c r="R127" s="62">
        <f t="shared" si="55"/>
        <v>874.98464879485573</v>
      </c>
      <c r="S127" s="62">
        <f ca="1">AVERAGE(OFFSET($R$3,0,0,'Données projet'!$E$9+1,1))-AVERAGE(OFFSET($H$3,0,0,'Données projet'!$E$9+1,1))</f>
        <v>430.11660085503223</v>
      </c>
      <c r="T127" s="62">
        <f t="shared" si="88"/>
        <v>231.36959598460686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3.4</v>
      </c>
      <c r="AI127" s="14">
        <f>IF('Données projet'!$A$62&gt;35,AI126+AH127-AQ126,IF(A127&lt;'Données projet'!$A$62,$AF$205^A127,IF(A127='Données projet'!$A$62,'Données projet'!$B$62,AI126+AH127-AQ126)))</f>
        <v>297.59999999999951</v>
      </c>
      <c r="AJ127" s="14">
        <f>AI127*VLOOKUP('Données projet'!$B$10,Paramètres!$A$1:$I$89,3,0)*VLOOKUP('Données projet'!$B$10,Paramètres!$A$1:$I$89,5,0)</f>
        <v>287.83871999999951</v>
      </c>
      <c r="AK127" s="14">
        <f t="shared" si="89"/>
        <v>68.620884395190174</v>
      </c>
      <c r="AL127" s="22">
        <f t="shared" si="58"/>
        <v>620.83381098828875</v>
      </c>
      <c r="AM127" s="62">
        <f t="shared" si="59"/>
        <v>914.16714432162212</v>
      </c>
      <c r="AN127" s="62">
        <f ca="1">AVERAGE(OFFSET($AM$3,0,0,'Données projet'!$E$10+1,1))-AVERAGE(OFFSET($H$3,0,0,'Données projet'!$E$10+1,1))</f>
        <v>456.86147223520601</v>
      </c>
      <c r="AO127" s="62">
        <f t="shared" si="90"/>
        <v>244.45149244446094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-1.1368683772161603E-13</v>
      </c>
      <c r="BE127" s="14">
        <f>BD127*VLOOKUP('Données projet'!$B$11,Paramètres!$A$1:$I$89,3,0)*VLOOKUP('Données projet'!$B$11,Paramètres!$A$1:$I$89,5,0)</f>
        <v>-6.7984728957526396E-14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215.43756133069593</v>
      </c>
      <c r="BJ127" s="62">
        <f t="shared" si="92"/>
        <v>363.02009369315243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17.186632557819916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4.4713373201248353E-11</v>
      </c>
      <c r="BS127" s="24">
        <f t="shared" si="63"/>
        <v>17.18663255786463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-6.8212102632969618E-13</v>
      </c>
      <c r="BZ127" s="14">
        <f>BY127*VLOOKUP('Données projet'!$B$12,Paramètres!$A$1:$I$89,3,0)*VLOOKUP('Données projet'!$B$12,Paramètres!$A$1:$I$89,5,0)</f>
        <v>-3.0149749363772573E-13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461.75392711528474</v>
      </c>
      <c r="CE127" s="62">
        <f t="shared" si="94"/>
        <v>441.67157957428236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>
        <f>CT127*VLOOKUP('Données projet'!$B$13,Paramètres!$A$1:$I$89,3,0)*VLOOKUP('Données projet'!$B$13,Paramètres!$A$1:$I$89,5,0)</f>
        <v>0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338.72479490324491</v>
      </c>
      <c r="CZ127" s="62">
        <f t="shared" si="96"/>
        <v>248.47107558211923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>
        <f>VLOOKUP(A128,'Données projet'!$A$35:$I$55,2,0)</f>
        <v>301</v>
      </c>
      <c r="L128" s="13">
        <f>VLOOKUP(A128,'Données projet'!$A$35:$I$55,9,0)</f>
        <v>3.4</v>
      </c>
      <c r="M128" s="13">
        <f t="array" ref="M128">INDEX(L:L,MIN(IF(ISNUMBER(L128:L324),ROW(L128:L324),"")))</f>
        <v>3.4</v>
      </c>
      <c r="N128" s="14">
        <f>IF('Données projet'!$A$36&gt;35,N127+M128-V127,IF(A128&lt;'Données projet'!$A$36,$K$205^A128,IF(A128='Données projet'!$A$36,'Données projet'!$B$36,N127+M128-V127)))</f>
        <v>300.99999999999949</v>
      </c>
      <c r="O128" s="14">
        <f>N128*VLOOKUP('Données projet'!$B$9,Paramètres!$A$1:$I$89,3,0)*VLOOKUP('Données projet'!$B$9,Paramètres!$A$1:$I$89,5,0)</f>
        <v>272.34479999999957</v>
      </c>
      <c r="P128" s="14">
        <f t="shared" si="87"/>
        <v>65.346644318451652</v>
      </c>
      <c r="Q128" s="22">
        <f t="shared" si="107"/>
        <v>588.14593218796915</v>
      </c>
      <c r="R128" s="62">
        <f t="shared" si="55"/>
        <v>881.47926552130252</v>
      </c>
      <c r="S128" s="62">
        <f ca="1">AVERAGE(OFFSET($R$3,0,0,'Données projet'!$E$9+1,1))-AVERAGE(OFFSET($H$3,0,0,'Données projet'!$E$9+1,1))</f>
        <v>430.11660085503223</v>
      </c>
      <c r="T128" s="62">
        <f t="shared" si="88"/>
        <v>231.36959598460686</v>
      </c>
      <c r="U128" s="16">
        <f>IF(ISNA(VLOOKUP(A128,'Données projet'!$A$35:$I$55,3,0)),0,VLOOKUP(A128,'Données projet'!$A$35:$I$55,3,0))</f>
        <v>11</v>
      </c>
      <c r="V128" s="16">
        <f>IF(ISNA(VLOOKUP(A128,'Données projet'!$A$35:$I$55,4,0)),0,VLOOKUP(A128,'Données projet'!$A$35:$I$55,4,0))</f>
        <v>33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>
        <f>VLOOKUP(A128,'Données projet'!$A$61:$I$81,2,0)</f>
        <v>301</v>
      </c>
      <c r="AG128" s="13">
        <f>VLOOKUP(A128,'Données projet'!$A$61:$I$81,9,0)</f>
        <v>3.4</v>
      </c>
      <c r="AH128" s="13">
        <f t="array" ref="AH128">INDEX(AG:AG,MIN(IF(ISNUMBER(AG128:AG324),ROW(AG128:AG324),"")))</f>
        <v>3.4</v>
      </c>
      <c r="AI128" s="14">
        <f>IF('Données projet'!$A$62&gt;35,AI127+AH128-AQ127,IF(A128&lt;'Données projet'!$A$62,$AF$205^A128,IF(A128='Données projet'!$A$62,'Données projet'!$B$62,AI127+AH128-AQ127)))</f>
        <v>300.99999999999949</v>
      </c>
      <c r="AJ128" s="14">
        <f>AI128*VLOOKUP('Données projet'!$B$10,Paramètres!$A$1:$I$89,3,0)*VLOOKUP('Données projet'!$B$10,Paramètres!$A$1:$I$89,5,0)</f>
        <v>291.1271999999995</v>
      </c>
      <c r="AK128" s="14">
        <f t="shared" si="89"/>
        <v>69.313146187847238</v>
      </c>
      <c r="AL128" s="22">
        <f t="shared" si="58"/>
        <v>627.76693627716634</v>
      </c>
      <c r="AM128" s="62">
        <f t="shared" si="59"/>
        <v>921.10026961049971</v>
      </c>
      <c r="AN128" s="62">
        <f ca="1">AVERAGE(OFFSET($AM$3,0,0,'Données projet'!$E$10+1,1))-AVERAGE(OFFSET($H$3,0,0,'Données projet'!$E$10+1,1))</f>
        <v>456.86147223520601</v>
      </c>
      <c r="AO128" s="62">
        <f t="shared" si="90"/>
        <v>244.45149244446094</v>
      </c>
      <c r="AP128" s="16">
        <f>IF(ISNA(VLOOKUP(A128,'Données projet'!$A$61:$I$81,3,0)),0,VLOOKUP(A128,'Données projet'!$A$61:$I$81,3,0))</f>
        <v>11</v>
      </c>
      <c r="AQ128" s="16">
        <f>IF(ISNA(VLOOKUP(A128,'Données projet'!$A$61:$I$81,4,0)),0,VLOOKUP(A128,'Données projet'!$A$61:$I$81,4,0))</f>
        <v>33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-1.1368683772161603E-13</v>
      </c>
      <c r="BE128" s="14">
        <f>BD128*VLOOKUP('Données projet'!$B$11,Paramètres!$A$1:$I$89,3,0)*VLOOKUP('Données projet'!$B$11,Paramètres!$A$1:$I$89,5,0)</f>
        <v>-6.7984728957526396E-14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215.43756133069593</v>
      </c>
      <c r="BJ128" s="62">
        <f t="shared" si="92"/>
        <v>363.02009369315243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16.849613176171836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3.1617129400327557E-11</v>
      </c>
      <c r="BS128" s="24">
        <f t="shared" si="63"/>
        <v>16.849613176203452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-6.8212102632969618E-13</v>
      </c>
      <c r="BZ128" s="14">
        <f>BY128*VLOOKUP('Données projet'!$B$12,Paramètres!$A$1:$I$89,3,0)*VLOOKUP('Données projet'!$B$12,Paramètres!$A$1:$I$89,5,0)</f>
        <v>-3.0149749363772573E-13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461.75392711528474</v>
      </c>
      <c r="CE128" s="62">
        <f t="shared" si="94"/>
        <v>441.67157957428236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>
        <f>CT128*VLOOKUP('Données projet'!$B$13,Paramètres!$A$1:$I$89,3,0)*VLOOKUP('Données projet'!$B$13,Paramètres!$A$1:$I$89,5,0)</f>
        <v>0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338.72479490324491</v>
      </c>
      <c r="CZ128" s="62">
        <f t="shared" si="96"/>
        <v>248.47107558211923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</v>
      </c>
      <c r="N129" s="14">
        <f>IF('Données projet'!$A$36&gt;35,N128+M129-V128,IF(A129&lt;'Données projet'!$A$36,$K$205^A129,IF(A129='Données projet'!$A$36,'Données projet'!$B$36,N128+M129-V128)))</f>
        <v>270.99999999999949</v>
      </c>
      <c r="O129" s="14">
        <f>N129*VLOOKUP('Données projet'!$B$9,Paramètres!$A$1:$I$89,3,0)*VLOOKUP('Données projet'!$B$9,Paramètres!$A$1:$I$89,5,0)</f>
        <v>245.20079999999953</v>
      </c>
      <c r="P129" s="14">
        <f t="shared" si="87"/>
        <v>59.557107941433628</v>
      </c>
      <c r="Q129" s="22">
        <f t="shared" si="107"/>
        <v>530.78668966466273</v>
      </c>
      <c r="R129" s="62">
        <f t="shared" si="55"/>
        <v>824.1200229979961</v>
      </c>
      <c r="S129" s="62">
        <f ca="1">AVERAGE(OFFSET($R$3,0,0,'Données projet'!$E$9+1,1))-AVERAGE(OFFSET($H$3,0,0,'Données projet'!$E$9+1,1))</f>
        <v>430.11660085503223</v>
      </c>
      <c r="T129" s="62">
        <f t="shared" si="88"/>
        <v>231.36959598460686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3</v>
      </c>
      <c r="AI129" s="14">
        <f>IF('Données projet'!$A$62&gt;35,AI128+AH129-AQ128,IF(A129&lt;'Données projet'!$A$62,$AF$205^A129,IF(A129='Données projet'!$A$62,'Données projet'!$B$62,AI128+AH129-AQ128)))</f>
        <v>270.99999999999949</v>
      </c>
      <c r="AJ129" s="14">
        <f>AI129*VLOOKUP('Données projet'!$B$10,Paramètres!$A$1:$I$89,3,0)*VLOOKUP('Données projet'!$B$10,Paramètres!$A$1:$I$89,5,0)</f>
        <v>262.11119999999949</v>
      </c>
      <c r="AK129" s="14">
        <f t="shared" si="89"/>
        <v>63.172188447086931</v>
      </c>
      <c r="AL129" s="22">
        <f t="shared" si="58"/>
        <v>566.53523487867551</v>
      </c>
      <c r="AM129" s="62">
        <f t="shared" si="59"/>
        <v>859.86856821200877</v>
      </c>
      <c r="AN129" s="62">
        <f ca="1">AVERAGE(OFFSET($AM$3,0,0,'Données projet'!$E$10+1,1))-AVERAGE(OFFSET($H$3,0,0,'Données projet'!$E$10+1,1))</f>
        <v>456.86147223520601</v>
      </c>
      <c r="AO129" s="62">
        <f t="shared" si="90"/>
        <v>244.45149244446094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-1.1368683772161603E-13</v>
      </c>
      <c r="BE129" s="14">
        <f>BD129*VLOOKUP('Données projet'!$B$11,Paramètres!$A$1:$I$89,3,0)*VLOOKUP('Données projet'!$B$11,Paramètres!$A$1:$I$89,5,0)</f>
        <v>-6.7984728957526396E-14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215.43756133069593</v>
      </c>
      <c r="BJ129" s="62">
        <f t="shared" si="92"/>
        <v>363.02009369315243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16.51920253903635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2.2356686600624177E-11</v>
      </c>
      <c r="BS129" s="24">
        <f t="shared" si="63"/>
        <v>16.519202539058707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-6.8212102632969618E-13</v>
      </c>
      <c r="BZ129" s="14">
        <f>BY129*VLOOKUP('Données projet'!$B$12,Paramètres!$A$1:$I$89,3,0)*VLOOKUP('Données projet'!$B$12,Paramètres!$A$1:$I$89,5,0)</f>
        <v>-3.0149749363772573E-13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461.75392711528474</v>
      </c>
      <c r="CE129" s="62">
        <f t="shared" si="94"/>
        <v>441.67157957428236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>
        <f>CT129*VLOOKUP('Données projet'!$B$13,Paramètres!$A$1:$I$89,3,0)*VLOOKUP('Données projet'!$B$13,Paramètres!$A$1:$I$89,5,0)</f>
        <v>0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338.72479490324491</v>
      </c>
      <c r="CZ129" s="62">
        <f t="shared" si="96"/>
        <v>248.47107558211923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</v>
      </c>
      <c r="N130" s="14">
        <f>IF('Données projet'!$A$36&gt;35,N129+M130-V129,IF(A130&lt;'Données projet'!$A$36,$K$205^A130,IF(A130='Données projet'!$A$36,'Données projet'!$B$36,N129+M130-V129)))</f>
        <v>273.99999999999949</v>
      </c>
      <c r="O130" s="14">
        <f>N130*VLOOKUP('Données projet'!$B$9,Paramètres!$A$1:$I$89,3,0)*VLOOKUP('Données projet'!$B$9,Paramètres!$A$1:$I$89,5,0)</f>
        <v>247.91519999999954</v>
      </c>
      <c r="P130" s="14">
        <f t="shared" si="87"/>
        <v>60.139294964297356</v>
      </c>
      <c r="Q130" s="22">
        <f t="shared" si="107"/>
        <v>536.52824539615051</v>
      </c>
      <c r="R130" s="62">
        <f t="shared" si="55"/>
        <v>829.86157872948388</v>
      </c>
      <c r="S130" s="62">
        <f ca="1">AVERAGE(OFFSET($R$3,0,0,'Données projet'!$E$9+1,1))-AVERAGE(OFFSET($H$3,0,0,'Données projet'!$E$9+1,1))</f>
        <v>430.11660085503223</v>
      </c>
      <c r="T130" s="62">
        <f t="shared" si="88"/>
        <v>231.36959598460686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3</v>
      </c>
      <c r="AI130" s="14">
        <f>IF('Données projet'!$A$62&gt;35,AI129+AH130-AQ129,IF(A130&lt;'Données projet'!$A$62,$AF$205^A130,IF(A130='Données projet'!$A$62,'Données projet'!$B$62,AI129+AH130-AQ129)))</f>
        <v>273.99999999999949</v>
      </c>
      <c r="AJ130" s="14">
        <f>AI130*VLOOKUP('Données projet'!$B$10,Paramètres!$A$1:$I$89,3,0)*VLOOKUP('Données projet'!$B$10,Paramètres!$A$1:$I$89,5,0)</f>
        <v>265.01279999999952</v>
      </c>
      <c r="AK130" s="14">
        <f t="shared" si="89"/>
        <v>63.789713870852616</v>
      </c>
      <c r="AL130" s="22">
        <f t="shared" si="58"/>
        <v>572.66437832506745</v>
      </c>
      <c r="AM130" s="62">
        <f t="shared" si="59"/>
        <v>865.9977116584007</v>
      </c>
      <c r="AN130" s="62">
        <f ca="1">AVERAGE(OFFSET($AM$3,0,0,'Données projet'!$E$10+1,1))-AVERAGE(OFFSET($H$3,0,0,'Données projet'!$E$10+1,1))</f>
        <v>456.86147223520601</v>
      </c>
      <c r="AO130" s="62">
        <f t="shared" si="90"/>
        <v>244.45149244446094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-1.1368683772161603E-13</v>
      </c>
      <c r="BE130" s="14">
        <f>BD130*VLOOKUP('Données projet'!$B$11,Paramètres!$A$1:$I$89,3,0)*VLOOKUP('Données projet'!$B$11,Paramètres!$A$1:$I$89,5,0)</f>
        <v>-6.7984728957526396E-14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215.43756133069593</v>
      </c>
      <c r="BJ130" s="62">
        <f t="shared" si="92"/>
        <v>363.02009369315243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16.1952710529645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1.5808564700163779E-11</v>
      </c>
      <c r="BS130" s="24">
        <f t="shared" si="63"/>
        <v>16.19527105298031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-6.8212102632969618E-13</v>
      </c>
      <c r="BZ130" s="14">
        <f>BY130*VLOOKUP('Données projet'!$B$12,Paramètres!$A$1:$I$89,3,0)*VLOOKUP('Données projet'!$B$12,Paramètres!$A$1:$I$89,5,0)</f>
        <v>-3.0149749363772573E-13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461.75392711528474</v>
      </c>
      <c r="CE130" s="62">
        <f t="shared" si="94"/>
        <v>441.67157957428236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>
        <f>CT130*VLOOKUP('Données projet'!$B$13,Paramètres!$A$1:$I$89,3,0)*VLOOKUP('Données projet'!$B$13,Paramètres!$A$1:$I$89,5,0)</f>
        <v>0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338.72479490324491</v>
      </c>
      <c r="CZ130" s="62">
        <f t="shared" si="96"/>
        <v>248.47107558211923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</v>
      </c>
      <c r="N131" s="14">
        <f>IF('Données projet'!$A$36&gt;35,N130+M131-V130,IF(A131&lt;'Données projet'!$A$36,$K$205^A131,IF(A131='Données projet'!$A$36,'Données projet'!$B$36,N130+M131-V130)))</f>
        <v>276.99999999999949</v>
      </c>
      <c r="O131" s="14">
        <f>N131*VLOOKUP('Données projet'!$B$9,Paramètres!$A$1:$I$89,3,0)*VLOOKUP('Données projet'!$B$9,Paramètres!$A$1:$I$89,5,0)</f>
        <v>250.62959999999953</v>
      </c>
      <c r="P131" s="14">
        <f t="shared" si="87"/>
        <v>60.720740474356262</v>
      </c>
      <c r="Q131" s="22">
        <f t="shared" ref="Q131:Q153" si="108">(O131+P131)*0.475*44/12</f>
        <v>542.26850965950291</v>
      </c>
      <c r="R131" s="62">
        <f t="shared" ref="R131:R194" si="109">Q131+(I131+J131)*44/12</f>
        <v>835.60184299283628</v>
      </c>
      <c r="S131" s="62">
        <f ca="1">AVERAGE(OFFSET($R$3,0,0,'Données projet'!$E$9+1,1))-AVERAGE(OFFSET($H$3,0,0,'Données projet'!$E$9+1,1))</f>
        <v>430.11660085503223</v>
      </c>
      <c r="T131" s="62">
        <f t="shared" si="88"/>
        <v>231.36959598460686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3</v>
      </c>
      <c r="AI131" s="14">
        <f>IF('Données projet'!$A$62&gt;35,AI130+AH131-AQ130,IF(A131&lt;'Données projet'!$A$62,$AF$205^A131,IF(A131='Données projet'!$A$62,'Données projet'!$B$62,AI130+AH131-AQ130)))</f>
        <v>276.99999999999949</v>
      </c>
      <c r="AJ131" s="14">
        <f>AI131*VLOOKUP('Données projet'!$B$10,Paramètres!$A$1:$I$89,3,0)*VLOOKUP('Données projet'!$B$10,Paramètres!$A$1:$I$89,5,0)</f>
        <v>267.91439999999949</v>
      </c>
      <c r="AK131" s="14">
        <f t="shared" si="89"/>
        <v>64.406452772433894</v>
      </c>
      <c r="AL131" s="22">
        <f t="shared" si="58"/>
        <v>578.79215191198807</v>
      </c>
      <c r="AM131" s="62">
        <f t="shared" si="59"/>
        <v>872.12548524532144</v>
      </c>
      <c r="AN131" s="62">
        <f ca="1">AVERAGE(OFFSET($AM$3,0,0,'Données projet'!$E$10+1,1))-AVERAGE(OFFSET($H$3,0,0,'Données projet'!$E$10+1,1))</f>
        <v>456.86147223520601</v>
      </c>
      <c r="AO131" s="62">
        <f t="shared" si="90"/>
        <v>244.45149244446094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-1.1368683772161603E-13</v>
      </c>
      <c r="BE131" s="14">
        <f>BD131*VLOOKUP('Données projet'!$B$11,Paramètres!$A$1:$I$89,3,0)*VLOOKUP('Données projet'!$B$11,Paramètres!$A$1:$I$89,5,0)</f>
        <v>-6.7984728957526396E-14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215.43756133069593</v>
      </c>
      <c r="BJ131" s="62">
        <f t="shared" si="92"/>
        <v>363.02009369315243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15.877691665755824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1.1178343300312088E-11</v>
      </c>
      <c r="BS131" s="24">
        <f t="shared" si="63"/>
        <v>15.877691665767003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-6.8212102632969618E-13</v>
      </c>
      <c r="BZ131" s="14">
        <f>BY131*VLOOKUP('Données projet'!$B$12,Paramètres!$A$1:$I$89,3,0)*VLOOKUP('Données projet'!$B$12,Paramètres!$A$1:$I$89,5,0)</f>
        <v>-3.0149749363772573E-13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461.75392711528474</v>
      </c>
      <c r="CE131" s="62">
        <f t="shared" si="94"/>
        <v>441.67157957428236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>
        <f>CT131*VLOOKUP('Données projet'!$B$13,Paramètres!$A$1:$I$89,3,0)*VLOOKUP('Données projet'!$B$13,Paramètres!$A$1:$I$89,5,0)</f>
        <v>0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338.72479490324491</v>
      </c>
      <c r="CZ131" s="62">
        <f t="shared" si="96"/>
        <v>248.47107558211923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</v>
      </c>
      <c r="N132" s="14">
        <f>IF('Données projet'!$A$36&gt;35,N131+M132-V131,IF(A132&lt;'Données projet'!$A$36,$K$205^A132,IF(A132='Données projet'!$A$36,'Données projet'!$B$36,N131+M132-V131)))</f>
        <v>279.99999999999949</v>
      </c>
      <c r="O132" s="14">
        <f>N132*VLOOKUP('Données projet'!$B$9,Paramètres!$A$1:$I$89,3,0)*VLOOKUP('Données projet'!$B$9,Paramètres!$A$1:$I$89,5,0)</f>
        <v>253.34399999999954</v>
      </c>
      <c r="P132" s="14">
        <f t="shared" si="87"/>
        <v>61.301453431926198</v>
      </c>
      <c r="Q132" s="22">
        <f t="shared" si="108"/>
        <v>548.00749806060389</v>
      </c>
      <c r="R132" s="62">
        <f t="shared" si="109"/>
        <v>841.34083139393715</v>
      </c>
      <c r="S132" s="62">
        <f ca="1">AVERAGE(OFFSET($R$3,0,0,'Données projet'!$E$9+1,1))-AVERAGE(OFFSET($H$3,0,0,'Données projet'!$E$9+1,1))</f>
        <v>430.11660085503223</v>
      </c>
      <c r="T132" s="62">
        <f t="shared" si="88"/>
        <v>231.36959598460686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3</v>
      </c>
      <c r="AI132" s="14">
        <f>IF('Données projet'!$A$62&gt;35,AI131+AH132-AQ131,IF(A132&lt;'Données projet'!$A$62,$AF$205^A132,IF(A132='Données projet'!$A$62,'Données projet'!$B$62,AI131+AH132-AQ131)))</f>
        <v>279.99999999999949</v>
      </c>
      <c r="AJ132" s="14">
        <f>AI132*VLOOKUP('Données projet'!$B$10,Paramètres!$A$1:$I$89,3,0)*VLOOKUP('Données projet'!$B$10,Paramètres!$A$1:$I$89,5,0)</f>
        <v>270.81599999999952</v>
      </c>
      <c r="AK132" s="14">
        <f t="shared" si="89"/>
        <v>65.022414656032197</v>
      </c>
      <c r="AL132" s="22">
        <f t="shared" ref="AL132:AL153" si="112">(AJ132+AK132)*0.475*44/12</f>
        <v>584.91857219258861</v>
      </c>
      <c r="AM132" s="62">
        <f t="shared" ref="AM132:AM195" si="113">AL132+(AD132+AE132)*44/12</f>
        <v>878.25190552592198</v>
      </c>
      <c r="AN132" s="62">
        <f ca="1">AVERAGE(OFFSET($AM$3,0,0,'Données projet'!$E$10+1,1))-AVERAGE(OFFSET($H$3,0,0,'Données projet'!$E$10+1,1))</f>
        <v>456.86147223520601</v>
      </c>
      <c r="AO132" s="62">
        <f t="shared" si="90"/>
        <v>244.45149244446094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-1.1368683772161603E-13</v>
      </c>
      <c r="BE132" s="14">
        <f>BD132*VLOOKUP('Données projet'!$B$11,Paramètres!$A$1:$I$89,3,0)*VLOOKUP('Données projet'!$B$11,Paramètres!$A$1:$I$89,5,0)</f>
        <v>-6.7984728957526396E-14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215.43756133069593</v>
      </c>
      <c r="BJ132" s="62">
        <f t="shared" si="92"/>
        <v>363.02009369315243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15.566339816626011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7.9042823500818893E-12</v>
      </c>
      <c r="BS132" s="24">
        <f t="shared" ref="BS132:BS153" si="117">SUM(BP132:BR132)</f>
        <v>15.566339816633915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-6.8212102632969618E-13</v>
      </c>
      <c r="BZ132" s="14">
        <f>BY132*VLOOKUP('Données projet'!$B$12,Paramètres!$A$1:$I$89,3,0)*VLOOKUP('Données projet'!$B$12,Paramètres!$A$1:$I$89,5,0)</f>
        <v>-3.0149749363772573E-13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461.75392711528474</v>
      </c>
      <c r="CE132" s="62">
        <f t="shared" si="94"/>
        <v>441.67157957428236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>
        <f>CT132*VLOOKUP('Données projet'!$B$13,Paramètres!$A$1:$I$89,3,0)*VLOOKUP('Données projet'!$B$13,Paramètres!$A$1:$I$89,5,0)</f>
        <v>0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338.72479490324491</v>
      </c>
      <c r="CZ132" s="62">
        <f t="shared" si="96"/>
        <v>248.47107558211923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3</v>
      </c>
      <c r="N133" s="14">
        <f>IF('Données projet'!$A$36&gt;35,N132+M133-V132,IF(A133&lt;'Données projet'!$A$36,$K$205^A133,IF(A133='Données projet'!$A$36,'Données projet'!$B$36,N132+M133-V132)))</f>
        <v>282.99999999999949</v>
      </c>
      <c r="O133" s="14">
        <f>N133*VLOOKUP('Données projet'!$B$9,Paramètres!$A$1:$I$89,3,0)*VLOOKUP('Données projet'!$B$9,Paramètres!$A$1:$I$89,5,0)</f>
        <v>256.05839999999955</v>
      </c>
      <c r="P133" s="14">
        <f t="shared" ref="P133:P196" si="141">EXP(-1.0587+0.8836*LN(O133)+0.284)</f>
        <v>61.881442594256377</v>
      </c>
      <c r="Q133" s="22">
        <f t="shared" si="108"/>
        <v>553.74522585166233</v>
      </c>
      <c r="R133" s="62">
        <f t="shared" si="109"/>
        <v>847.07855918499558</v>
      </c>
      <c r="S133" s="62">
        <f ca="1">AVERAGE(OFFSET($R$3,0,0,'Données projet'!$E$9+1,1))-AVERAGE(OFFSET($H$3,0,0,'Données projet'!$E$9+1,1))</f>
        <v>430.11660085503223</v>
      </c>
      <c r="T133" s="62">
        <f t="shared" ref="T133:T196" si="142">$T$3</f>
        <v>231.36959598460686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3</v>
      </c>
      <c r="AI133" s="14">
        <f>IF('Données projet'!$A$62&gt;35,AI132+AH133-AQ132,IF(A133&lt;'Données projet'!$A$62,$AF$205^A133,IF(A133='Données projet'!$A$62,'Données projet'!$B$62,AI132+AH133-AQ132)))</f>
        <v>282.99999999999949</v>
      </c>
      <c r="AJ133" s="14">
        <f>AI133*VLOOKUP('Données projet'!$B$10,Paramètres!$A$1:$I$89,3,0)*VLOOKUP('Données projet'!$B$10,Paramètres!$A$1:$I$89,5,0)</f>
        <v>273.71759999999955</v>
      </c>
      <c r="AK133" s="14">
        <f t="shared" ref="AK133:AK153" si="143">EXP(-1.0587+0.8836*LN(AJ133)+0.284)</f>
        <v>65.637608810456612</v>
      </c>
      <c r="AL133" s="22">
        <f t="shared" si="112"/>
        <v>591.04365534487772</v>
      </c>
      <c r="AM133" s="62">
        <f t="shared" si="113"/>
        <v>884.37698867821109</v>
      </c>
      <c r="AN133" s="62">
        <f ca="1">AVERAGE(OFFSET($AM$3,0,0,'Données projet'!$E$10+1,1))-AVERAGE(OFFSET($H$3,0,0,'Données projet'!$E$10+1,1))</f>
        <v>456.86147223520601</v>
      </c>
      <c r="AO133" s="62">
        <f t="shared" ref="AO133:AO196" si="144">$AO$3</f>
        <v>244.45149244446094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-1.1368683772161603E-13</v>
      </c>
      <c r="BE133" s="14">
        <f>BD133*VLOOKUP('Données projet'!$B$11,Paramètres!$A$1:$I$89,3,0)*VLOOKUP('Données projet'!$B$11,Paramètres!$A$1:$I$89,5,0)</f>
        <v>-6.7984728957526396E-14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215.43756133069593</v>
      </c>
      <c r="BJ133" s="62">
        <f t="shared" ref="BJ133:BJ196" si="146">$BJ$3</f>
        <v>363.02009369315243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15.261093387351755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5.5891716501560442E-12</v>
      </c>
      <c r="BS133" s="24">
        <f t="shared" si="117"/>
        <v>15.261093387357343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-6.8212102632969618E-13</v>
      </c>
      <c r="BZ133" s="14">
        <f>BY133*VLOOKUP('Données projet'!$B$12,Paramètres!$A$1:$I$89,3,0)*VLOOKUP('Données projet'!$B$12,Paramètres!$A$1:$I$89,5,0)</f>
        <v>-3.0149749363772573E-13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461.75392711528474</v>
      </c>
      <c r="CE133" s="62">
        <f t="shared" ref="CE133:CE196" si="148">$CE$3</f>
        <v>441.67157957428236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>
        <f>CT133*VLOOKUP('Données projet'!$B$13,Paramètres!$A$1:$I$89,3,0)*VLOOKUP('Données projet'!$B$13,Paramètres!$A$1:$I$89,5,0)</f>
        <v>0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338.72479490324491</v>
      </c>
      <c r="CZ133" s="62">
        <f t="shared" ref="CZ133:CZ196" si="150">$CZ$3</f>
        <v>248.47107558211923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3</v>
      </c>
      <c r="N134" s="14">
        <f>IF('Données projet'!$A$36&gt;35,N133+M134-V133,IF(A134&lt;'Données projet'!$A$36,$K$205^A134,IF(A134='Données projet'!$A$36,'Données projet'!$B$36,N133+M134-V133)))</f>
        <v>285.99999999999949</v>
      </c>
      <c r="O134" s="14">
        <f>N134*VLOOKUP('Données projet'!$B$9,Paramètres!$A$1:$I$89,3,0)*VLOOKUP('Données projet'!$B$9,Paramètres!$A$1:$I$89,5,0)</f>
        <v>258.77279999999951</v>
      </c>
      <c r="P134" s="14">
        <f t="shared" si="141"/>
        <v>62.460716522234527</v>
      </c>
      <c r="Q134" s="22">
        <f t="shared" si="108"/>
        <v>559.48170794289092</v>
      </c>
      <c r="R134" s="62">
        <f t="shared" si="109"/>
        <v>852.81504127622429</v>
      </c>
      <c r="S134" s="62">
        <f ca="1">AVERAGE(OFFSET($R$3,0,0,'Données projet'!$E$9+1,1))-AVERAGE(OFFSET($H$3,0,0,'Données projet'!$E$9+1,1))</f>
        <v>430.11660085503223</v>
      </c>
      <c r="T134" s="62">
        <f t="shared" si="142"/>
        <v>231.36959598460686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3</v>
      </c>
      <c r="AI134" s="14">
        <f>IF('Données projet'!$A$62&gt;35,AI133+AH134-AQ133,IF(A134&lt;'Données projet'!$A$62,$AF$205^A134,IF(A134='Données projet'!$A$62,'Données projet'!$B$62,AI133+AH134-AQ133)))</f>
        <v>285.99999999999949</v>
      </c>
      <c r="AJ134" s="14">
        <f>AI134*VLOOKUP('Données projet'!$B$10,Paramètres!$A$1:$I$89,3,0)*VLOOKUP('Données projet'!$B$10,Paramètres!$A$1:$I$89,5,0)</f>
        <v>276.61919999999952</v>
      </c>
      <c r="AK134" s="14">
        <f t="shared" si="143"/>
        <v>66.252044316235398</v>
      </c>
      <c r="AL134" s="22">
        <f t="shared" si="112"/>
        <v>597.16741718410913</v>
      </c>
      <c r="AM134" s="62">
        <f t="shared" si="113"/>
        <v>890.50075051744238</v>
      </c>
      <c r="AN134" s="62">
        <f ca="1">AVERAGE(OFFSET($AM$3,0,0,'Données projet'!$E$10+1,1))-AVERAGE(OFFSET($H$3,0,0,'Données projet'!$E$10+1,1))</f>
        <v>456.86147223520601</v>
      </c>
      <c r="AO134" s="62">
        <f t="shared" si="144"/>
        <v>244.45149244446094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-1.1368683772161603E-13</v>
      </c>
      <c r="BE134" s="14">
        <f>BD134*VLOOKUP('Données projet'!$B$11,Paramètres!$A$1:$I$89,3,0)*VLOOKUP('Données projet'!$B$11,Paramètres!$A$1:$I$89,5,0)</f>
        <v>-6.7984728957526396E-14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215.43756133069593</v>
      </c>
      <c r="BJ134" s="62">
        <f t="shared" si="146"/>
        <v>363.02009369315243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14.96183265437363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3.9521411750409447E-12</v>
      </c>
      <c r="BS134" s="24">
        <f t="shared" si="117"/>
        <v>14.961832654377583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-6.8212102632969618E-13</v>
      </c>
      <c r="BZ134" s="14">
        <f>BY134*VLOOKUP('Données projet'!$B$12,Paramètres!$A$1:$I$89,3,0)*VLOOKUP('Données projet'!$B$12,Paramètres!$A$1:$I$89,5,0)</f>
        <v>-3.0149749363772573E-13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461.75392711528474</v>
      </c>
      <c r="CE134" s="62">
        <f t="shared" si="148"/>
        <v>441.67157957428236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>
        <f>CT134*VLOOKUP('Données projet'!$B$13,Paramètres!$A$1:$I$89,3,0)*VLOOKUP('Données projet'!$B$13,Paramètres!$A$1:$I$89,5,0)</f>
        <v>0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338.72479490324491</v>
      </c>
      <c r="CZ134" s="62">
        <f t="shared" si="150"/>
        <v>248.47107558211923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3</v>
      </c>
      <c r="N135" s="14">
        <f>IF('Données projet'!$A$36&gt;35,N134+M135-V134,IF(A135&lt;'Données projet'!$A$36,$K$205^A135,IF(A135='Données projet'!$A$36,'Données projet'!$B$36,N134+M135-V134)))</f>
        <v>288.99999999999949</v>
      </c>
      <c r="O135" s="14">
        <f>N135*VLOOKUP('Données projet'!$B$9,Paramètres!$A$1:$I$89,3,0)*VLOOKUP('Données projet'!$B$9,Paramètres!$A$1:$I$89,5,0)</f>
        <v>261.48719999999952</v>
      </c>
      <c r="P135" s="14">
        <f t="shared" si="141"/>
        <v>63.039283586802277</v>
      </c>
      <c r="Q135" s="22">
        <f t="shared" si="108"/>
        <v>565.21695891367983</v>
      </c>
      <c r="R135" s="62">
        <f t="shared" si="109"/>
        <v>858.5502922470132</v>
      </c>
      <c r="S135" s="62">
        <f ca="1">AVERAGE(OFFSET($R$3,0,0,'Données projet'!$E$9+1,1))-AVERAGE(OFFSET($H$3,0,0,'Données projet'!$E$9+1,1))</f>
        <v>430.11660085503223</v>
      </c>
      <c r="T135" s="62">
        <f t="shared" si="142"/>
        <v>231.36959598460686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3</v>
      </c>
      <c r="AI135" s="14">
        <f>IF('Données projet'!$A$62&gt;35,AI134+AH135-AQ134,IF(A135&lt;'Données projet'!$A$62,$AF$205^A135,IF(A135='Données projet'!$A$62,'Données projet'!$B$62,AI134+AH135-AQ134)))</f>
        <v>288.99999999999949</v>
      </c>
      <c r="AJ135" s="14">
        <f>AI135*VLOOKUP('Données projet'!$B$10,Paramètres!$A$1:$I$89,3,0)*VLOOKUP('Données projet'!$B$10,Paramètres!$A$1:$I$89,5,0)</f>
        <v>279.52079999999955</v>
      </c>
      <c r="AK135" s="14">
        <f t="shared" si="143"/>
        <v>66.865730052421526</v>
      </c>
      <c r="AL135" s="22">
        <f t="shared" si="112"/>
        <v>603.28987317463339</v>
      </c>
      <c r="AM135" s="62">
        <f t="shared" si="113"/>
        <v>896.62320650796664</v>
      </c>
      <c r="AN135" s="62">
        <f ca="1">AVERAGE(OFFSET($AM$3,0,0,'Données projet'!$E$10+1,1))-AVERAGE(OFFSET($H$3,0,0,'Données projet'!$E$10+1,1))</f>
        <v>456.86147223520601</v>
      </c>
      <c r="AO135" s="62">
        <f t="shared" si="144"/>
        <v>244.45149244446094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-1.1368683772161603E-13</v>
      </c>
      <c r="BE135" s="14">
        <f>BD135*VLOOKUP('Données projet'!$B$11,Paramètres!$A$1:$I$89,3,0)*VLOOKUP('Données projet'!$B$11,Paramètres!$A$1:$I$89,5,0)</f>
        <v>-6.7984728957526396E-14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215.43756133069593</v>
      </c>
      <c r="BJ135" s="62">
        <f t="shared" si="146"/>
        <v>363.02009369315243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14.668440241838184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2.7945858250780221E-12</v>
      </c>
      <c r="BS135" s="24">
        <f t="shared" si="117"/>
        <v>14.668440241840978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-6.8212102632969618E-13</v>
      </c>
      <c r="BZ135" s="14">
        <f>BY135*VLOOKUP('Données projet'!$B$12,Paramètres!$A$1:$I$89,3,0)*VLOOKUP('Données projet'!$B$12,Paramètres!$A$1:$I$89,5,0)</f>
        <v>-3.0149749363772573E-13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461.75392711528474</v>
      </c>
      <c r="CE135" s="62">
        <f t="shared" si="148"/>
        <v>441.67157957428236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>
        <f>CT135*VLOOKUP('Données projet'!$B$13,Paramètres!$A$1:$I$89,3,0)*VLOOKUP('Données projet'!$B$13,Paramètres!$A$1:$I$89,5,0)</f>
        <v>0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338.72479490324491</v>
      </c>
      <c r="CZ135" s="62">
        <f t="shared" si="150"/>
        <v>248.47107558211923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3</v>
      </c>
      <c r="N136" s="14">
        <f>IF('Données projet'!$A$36&gt;35,N135+M136-V135,IF(A136&lt;'Données projet'!$A$36,$K$205^A136,IF(A136='Données projet'!$A$36,'Données projet'!$B$36,N135+M136-V135)))</f>
        <v>291.99999999999949</v>
      </c>
      <c r="O136" s="14">
        <f>N136*VLOOKUP('Données projet'!$B$9,Paramètres!$A$1:$I$89,3,0)*VLOOKUP('Données projet'!$B$9,Paramètres!$A$1:$I$89,5,0)</f>
        <v>264.20159999999953</v>
      </c>
      <c r="P136" s="14">
        <f t="shared" si="141"/>
        <v>63.617151975096654</v>
      </c>
      <c r="Q136" s="22">
        <f t="shared" si="108"/>
        <v>570.95099302329243</v>
      </c>
      <c r="R136" s="62">
        <f t="shared" si="109"/>
        <v>864.2843263566258</v>
      </c>
      <c r="S136" s="62">
        <f ca="1">AVERAGE(OFFSET($R$3,0,0,'Données projet'!$E$9+1,1))-AVERAGE(OFFSET($H$3,0,0,'Données projet'!$E$9+1,1))</f>
        <v>430.11660085503223</v>
      </c>
      <c r="T136" s="62">
        <f t="shared" si="142"/>
        <v>231.36959598460686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3</v>
      </c>
      <c r="AI136" s="14">
        <f>IF('Données projet'!$A$62&gt;35,AI135+AH136-AQ135,IF(A136&lt;'Données projet'!$A$62,$AF$205^A136,IF(A136='Données projet'!$A$62,'Données projet'!$B$62,AI135+AH136-AQ135)))</f>
        <v>291.99999999999949</v>
      </c>
      <c r="AJ136" s="14">
        <f>AI136*VLOOKUP('Données projet'!$B$10,Paramètres!$A$1:$I$89,3,0)*VLOOKUP('Données projet'!$B$10,Paramètres!$A$1:$I$89,5,0)</f>
        <v>282.42239999999953</v>
      </c>
      <c r="AK136" s="14">
        <f t="shared" si="143"/>
        <v>67.478674703106122</v>
      </c>
      <c r="AL136" s="22">
        <f t="shared" si="112"/>
        <v>609.41103844124234</v>
      </c>
      <c r="AM136" s="62">
        <f t="shared" si="113"/>
        <v>902.74437177457571</v>
      </c>
      <c r="AN136" s="62">
        <f ca="1">AVERAGE(OFFSET($AM$3,0,0,'Données projet'!$E$10+1,1))-AVERAGE(OFFSET($H$3,0,0,'Données projet'!$E$10+1,1))</f>
        <v>456.86147223520601</v>
      </c>
      <c r="AO136" s="62">
        <f t="shared" si="144"/>
        <v>244.45149244446094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-1.1368683772161603E-13</v>
      </c>
      <c r="BE136" s="14">
        <f>BD136*VLOOKUP('Données projet'!$B$11,Paramètres!$A$1:$I$89,3,0)*VLOOKUP('Données projet'!$B$11,Paramètres!$A$1:$I$89,5,0)</f>
        <v>-6.7984728957526396E-14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215.43756133069593</v>
      </c>
      <c r="BJ136" s="62">
        <f t="shared" si="146"/>
        <v>363.02009369315243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14.380801075560855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1.9760705875204723E-12</v>
      </c>
      <c r="BS136" s="24">
        <f t="shared" si="117"/>
        <v>14.380801075562831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-6.8212102632969618E-13</v>
      </c>
      <c r="BZ136" s="14">
        <f>BY136*VLOOKUP('Données projet'!$B$12,Paramètres!$A$1:$I$89,3,0)*VLOOKUP('Données projet'!$B$12,Paramètres!$A$1:$I$89,5,0)</f>
        <v>-3.0149749363772573E-13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461.75392711528474</v>
      </c>
      <c r="CE136" s="62">
        <f t="shared" si="148"/>
        <v>441.67157957428236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>
        <f>CT136*VLOOKUP('Données projet'!$B$13,Paramètres!$A$1:$I$89,3,0)*VLOOKUP('Données projet'!$B$13,Paramètres!$A$1:$I$89,5,0)</f>
        <v>0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338.72479490324491</v>
      </c>
      <c r="CZ136" s="62">
        <f t="shared" si="150"/>
        <v>248.47107558211923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3</v>
      </c>
      <c r="N137" s="14">
        <f>IF('Données projet'!$A$36&gt;35,N136+M137-V136,IF(A137&lt;'Données projet'!$A$36,$K$205^A137,IF(A137='Données projet'!$A$36,'Données projet'!$B$36,N136+M137-V136)))</f>
        <v>294.99999999999949</v>
      </c>
      <c r="O137" s="14">
        <f>N137*VLOOKUP('Données projet'!$B$9,Paramètres!$A$1:$I$89,3,0)*VLOOKUP('Données projet'!$B$9,Paramètres!$A$1:$I$89,5,0)</f>
        <v>266.91599999999949</v>
      </c>
      <c r="P137" s="14">
        <f t="shared" si="141"/>
        <v>64.194329696332062</v>
      </c>
      <c r="Q137" s="22">
        <f t="shared" si="108"/>
        <v>576.68382422111074</v>
      </c>
      <c r="R137" s="62">
        <f t="shared" si="109"/>
        <v>870.01715755444411</v>
      </c>
      <c r="S137" s="62">
        <f ca="1">AVERAGE(OFFSET($R$3,0,0,'Données projet'!$E$9+1,1))-AVERAGE(OFFSET($H$3,0,0,'Données projet'!$E$9+1,1))</f>
        <v>430.11660085503223</v>
      </c>
      <c r="T137" s="62">
        <f t="shared" si="142"/>
        <v>231.36959598460686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3</v>
      </c>
      <c r="AI137" s="14">
        <f>IF('Données projet'!$A$62&gt;35,AI136+AH137-AQ136,IF(A137&lt;'Données projet'!$A$62,$AF$205^A137,IF(A137='Données projet'!$A$62,'Données projet'!$B$62,AI136+AH137-AQ136)))</f>
        <v>294.99999999999949</v>
      </c>
      <c r="AJ137" s="14">
        <f>AI137*VLOOKUP('Données projet'!$B$10,Paramètres!$A$1:$I$89,3,0)*VLOOKUP('Données projet'!$B$10,Paramètres!$A$1:$I$89,5,0)</f>
        <v>285.32399999999956</v>
      </c>
      <c r="AK137" s="14">
        <f t="shared" si="143"/>
        <v>68.090886763658133</v>
      </c>
      <c r="AL137" s="22">
        <f t="shared" si="112"/>
        <v>615.53092778003713</v>
      </c>
      <c r="AM137" s="62">
        <f t="shared" si="113"/>
        <v>908.8642611133705</v>
      </c>
      <c r="AN137" s="62">
        <f ca="1">AVERAGE(OFFSET($AM$3,0,0,'Données projet'!$E$10+1,1))-AVERAGE(OFFSET($H$3,0,0,'Données projet'!$E$10+1,1))</f>
        <v>456.86147223520601</v>
      </c>
      <c r="AO137" s="62">
        <f t="shared" si="144"/>
        <v>244.45149244446094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-1.1368683772161603E-13</v>
      </c>
      <c r="BE137" s="14">
        <f>BD137*VLOOKUP('Données projet'!$B$11,Paramètres!$A$1:$I$89,3,0)*VLOOKUP('Données projet'!$B$11,Paramètres!$A$1:$I$89,5,0)</f>
        <v>-6.7984728957526396E-14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215.43756133069593</v>
      </c>
      <c r="BJ137" s="62">
        <f t="shared" si="146"/>
        <v>363.02009369315243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14.098802337891657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1.397292912539011E-12</v>
      </c>
      <c r="BS137" s="24">
        <f t="shared" si="117"/>
        <v>14.098802337893055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-6.8212102632969618E-13</v>
      </c>
      <c r="BZ137" s="14">
        <f>BY137*VLOOKUP('Données projet'!$B$12,Paramètres!$A$1:$I$89,3,0)*VLOOKUP('Données projet'!$B$12,Paramètres!$A$1:$I$89,5,0)</f>
        <v>-3.0149749363772573E-13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461.75392711528474</v>
      </c>
      <c r="CE137" s="62">
        <f t="shared" si="148"/>
        <v>441.67157957428236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>
        <f>CT137*VLOOKUP('Données projet'!$B$13,Paramètres!$A$1:$I$89,3,0)*VLOOKUP('Données projet'!$B$13,Paramètres!$A$1:$I$89,5,0)</f>
        <v>0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338.72479490324491</v>
      </c>
      <c r="CZ137" s="62">
        <f t="shared" si="150"/>
        <v>248.47107558211923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>
        <f>VLOOKUP(A138,'Données projet'!$A$35:$I$55,2,0)</f>
        <v>298</v>
      </c>
      <c r="L138" s="13">
        <f>VLOOKUP(A138,'Données projet'!$A$35:$I$55,9,0)</f>
        <v>3</v>
      </c>
      <c r="M138" s="13">
        <f t="array" ref="M138">INDEX(L:L,MIN(IF(ISNUMBER(L138:L334),ROW(L138:L334),"")))</f>
        <v>3</v>
      </c>
      <c r="N138" s="14">
        <f>IF('Données projet'!$A$36&gt;35,N137+M138-V137,IF(A138&lt;'Données projet'!$A$36,$K$205^A138,IF(A138='Données projet'!$A$36,'Données projet'!$B$36,N137+M138-V137)))</f>
        <v>297.99999999999949</v>
      </c>
      <c r="O138" s="14">
        <f>N138*VLOOKUP('Données projet'!$B$9,Paramètres!$A$1:$I$89,3,0)*VLOOKUP('Données projet'!$B$9,Paramètres!$A$1:$I$89,5,0)</f>
        <v>269.63039999999955</v>
      </c>
      <c r="P138" s="14">
        <f t="shared" si="141"/>
        <v>64.770824587436024</v>
      </c>
      <c r="Q138" s="22">
        <f t="shared" si="108"/>
        <v>582.41546615645018</v>
      </c>
      <c r="R138" s="62">
        <f t="shared" si="109"/>
        <v>875.74879948978355</v>
      </c>
      <c r="S138" s="62">
        <f ca="1">AVERAGE(OFFSET($R$3,0,0,'Données projet'!$E$9+1,1))-AVERAGE(OFFSET($H$3,0,0,'Données projet'!$E$9+1,1))</f>
        <v>430.11660085503223</v>
      </c>
      <c r="T138" s="62">
        <f t="shared" si="142"/>
        <v>231.36959598460686</v>
      </c>
      <c r="U138" s="16">
        <f>IF(ISNA(VLOOKUP(A138,'Données projet'!$A$35:$I$55,3,0)),0,VLOOKUP(A138,'Données projet'!$A$35:$I$55,3,0))</f>
        <v>12</v>
      </c>
      <c r="V138" s="16">
        <f>IF(ISNA(VLOOKUP(A138,'Données projet'!$A$35:$I$55,4,0)),0,VLOOKUP(A138,'Données projet'!$A$35:$I$55,4,0))</f>
        <v>29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>
        <f>VLOOKUP(A138,'Données projet'!$A$61:$I$81,2,0)</f>
        <v>298</v>
      </c>
      <c r="AG138" s="13">
        <f>VLOOKUP(A138,'Données projet'!$A$61:$I$81,9,0)</f>
        <v>3</v>
      </c>
      <c r="AH138" s="13">
        <f t="array" ref="AH138">INDEX(AG:AG,MIN(IF(ISNUMBER(AG138:AG334),ROW(AG138:AG334),"")))</f>
        <v>3</v>
      </c>
      <c r="AI138" s="14">
        <f>IF('Données projet'!$A$62&gt;35,AI137+AH138-AQ137,IF(A138&lt;'Données projet'!$A$62,$AF$205^A138,IF(A138='Données projet'!$A$62,'Données projet'!$B$62,AI137+AH138-AQ137)))</f>
        <v>297.99999999999949</v>
      </c>
      <c r="AJ138" s="14">
        <f>AI138*VLOOKUP('Données projet'!$B$10,Paramètres!$A$1:$I$89,3,0)*VLOOKUP('Données projet'!$B$10,Paramètres!$A$1:$I$89,5,0)</f>
        <v>288.22559999999953</v>
      </c>
      <c r="AK138" s="14">
        <f t="shared" si="143"/>
        <v>68.702374546701776</v>
      </c>
      <c r="AL138" s="22">
        <f t="shared" si="112"/>
        <v>621.64955566883805</v>
      </c>
      <c r="AM138" s="62">
        <f t="shared" si="113"/>
        <v>914.98288900217131</v>
      </c>
      <c r="AN138" s="62">
        <f ca="1">AVERAGE(OFFSET($AM$3,0,0,'Données projet'!$E$10+1,1))-AVERAGE(OFFSET($H$3,0,0,'Données projet'!$E$10+1,1))</f>
        <v>456.86147223520601</v>
      </c>
      <c r="AO138" s="62">
        <f t="shared" si="144"/>
        <v>244.45149244446094</v>
      </c>
      <c r="AP138" s="16">
        <f>IF(ISNA(VLOOKUP(A138,'Données projet'!$A$61:$I$81,3,0)),0,VLOOKUP(A138,'Données projet'!$A$61:$I$81,3,0))</f>
        <v>12</v>
      </c>
      <c r="AQ138" s="16">
        <f>IF(ISNA(VLOOKUP(A138,'Données projet'!$A$61:$I$81,4,0)),0,VLOOKUP(A138,'Données projet'!$A$61:$I$81,4,0))</f>
        <v>29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-1.1368683772161603E-13</v>
      </c>
      <c r="BE138" s="14">
        <f>BD138*VLOOKUP('Données projet'!$B$11,Paramètres!$A$1:$I$89,3,0)*VLOOKUP('Données projet'!$B$11,Paramètres!$A$1:$I$89,5,0)</f>
        <v>-6.7984728957526396E-14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215.43756133069593</v>
      </c>
      <c r="BJ138" s="62">
        <f t="shared" si="146"/>
        <v>363.02009369315243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13.822333423465905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9.8803529376023617E-13</v>
      </c>
      <c r="BS138" s="24">
        <f t="shared" si="117"/>
        <v>13.822333423466892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-6.8212102632969618E-13</v>
      </c>
      <c r="BZ138" s="14">
        <f>BY138*VLOOKUP('Données projet'!$B$12,Paramètres!$A$1:$I$89,3,0)*VLOOKUP('Données projet'!$B$12,Paramètres!$A$1:$I$89,5,0)</f>
        <v>-3.0149749363772573E-13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461.75392711528474</v>
      </c>
      <c r="CE138" s="62">
        <f t="shared" si="148"/>
        <v>441.67157957428236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>
        <f>CT138*VLOOKUP('Données projet'!$B$13,Paramètres!$A$1:$I$89,3,0)*VLOOKUP('Données projet'!$B$13,Paramètres!$A$1:$I$89,5,0)</f>
        <v>0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338.72479490324491</v>
      </c>
      <c r="CZ138" s="62">
        <f t="shared" si="150"/>
        <v>248.47107558211923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2.4666666666666668</v>
      </c>
      <c r="N139" s="14">
        <f>IF('Données projet'!$A$36&gt;35,N138+M139-V138,IF(A139&lt;'Données projet'!$A$36,$K$205^A139,IF(A139='Données projet'!$A$36,'Données projet'!$B$36,N138+M139-V138)))</f>
        <v>271.46666666666613</v>
      </c>
      <c r="O139" s="14">
        <f>N139*VLOOKUP('Données projet'!$B$9,Paramètres!$A$1:$I$89,3,0)*VLOOKUP('Données projet'!$B$9,Paramètres!$A$1:$I$89,5,0)</f>
        <v>245.62303999999949</v>
      </c>
      <c r="P139" s="14">
        <f t="shared" si="141"/>
        <v>59.647719436846927</v>
      </c>
      <c r="Q139" s="22">
        <f t="shared" si="108"/>
        <v>531.67990601917427</v>
      </c>
      <c r="R139" s="62">
        <f t="shared" si="109"/>
        <v>825.01323935250753</v>
      </c>
      <c r="S139" s="62">
        <f ca="1">AVERAGE(OFFSET($R$3,0,0,'Données projet'!$E$9+1,1))-AVERAGE(OFFSET($H$3,0,0,'Données projet'!$E$9+1,1))</f>
        <v>430.11660085503223</v>
      </c>
      <c r="T139" s="62">
        <f t="shared" si="142"/>
        <v>231.36959598460686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2.4666666666666668</v>
      </c>
      <c r="AI139" s="14">
        <f>IF('Données projet'!$A$62&gt;35,AI138+AH139-AQ138,IF(A139&lt;'Données projet'!$A$62,$AF$205^A139,IF(A139='Données projet'!$A$62,'Données projet'!$B$62,AI138+AH139-AQ138)))</f>
        <v>271.46666666666613</v>
      </c>
      <c r="AJ139" s="14">
        <f>AI139*VLOOKUP('Données projet'!$B$10,Paramètres!$A$1:$I$89,3,0)*VLOOKUP('Données projet'!$B$10,Paramètres!$A$1:$I$89,5,0)</f>
        <v>262.56255999999951</v>
      </c>
      <c r="AK139" s="14">
        <f t="shared" si="143"/>
        <v>63.26830000558224</v>
      </c>
      <c r="AL139" s="22">
        <f t="shared" si="112"/>
        <v>567.48874784305497</v>
      </c>
      <c r="AM139" s="62">
        <f t="shared" si="113"/>
        <v>860.82208117638834</v>
      </c>
      <c r="AN139" s="62">
        <f ca="1">AVERAGE(OFFSET($AM$3,0,0,'Données projet'!$E$10+1,1))-AVERAGE(OFFSET($H$3,0,0,'Données projet'!$E$10+1,1))</f>
        <v>456.86147223520601</v>
      </c>
      <c r="AO139" s="62">
        <f t="shared" si="144"/>
        <v>244.45149244446094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-1.1368683772161603E-13</v>
      </c>
      <c r="BE139" s="14">
        <f>BD139*VLOOKUP('Données projet'!$B$11,Paramètres!$A$1:$I$89,3,0)*VLOOKUP('Données projet'!$B$11,Paramètres!$A$1:$I$89,5,0)</f>
        <v>-6.7984728957526396E-14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215.43756133069593</v>
      </c>
      <c r="BJ139" s="62">
        <f t="shared" si="146"/>
        <v>363.02009369315243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13.551285895822655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6.9864645626950552E-13</v>
      </c>
      <c r="BS139" s="24">
        <f t="shared" si="117"/>
        <v>13.551285895823353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-6.8212102632969618E-13</v>
      </c>
      <c r="BZ139" s="14">
        <f>BY139*VLOOKUP('Données projet'!$B$12,Paramètres!$A$1:$I$89,3,0)*VLOOKUP('Données projet'!$B$12,Paramètres!$A$1:$I$89,5,0)</f>
        <v>-3.0149749363772573E-13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461.75392711528474</v>
      </c>
      <c r="CE139" s="62">
        <f t="shared" si="148"/>
        <v>441.67157957428236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>
        <f>CT139*VLOOKUP('Données projet'!$B$13,Paramètres!$A$1:$I$89,3,0)*VLOOKUP('Données projet'!$B$13,Paramètres!$A$1:$I$89,5,0)</f>
        <v>0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338.72479490324491</v>
      </c>
      <c r="CZ139" s="62">
        <f t="shared" si="150"/>
        <v>248.47107558211923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2.4666666666666668</v>
      </c>
      <c r="N140" s="14">
        <f>IF('Données projet'!$A$36&gt;35,N139+M140-V139,IF(A140&lt;'Données projet'!$A$36,$K$205^A140,IF(A140='Données projet'!$A$36,'Données projet'!$B$36,N139+M140-V139)))</f>
        <v>273.93333333333277</v>
      </c>
      <c r="O140" s="14">
        <f>N140*VLOOKUP('Données projet'!$B$9,Paramètres!$A$1:$I$89,3,0)*VLOOKUP('Données projet'!$B$9,Paramètres!$A$1:$I$89,5,0)</f>
        <v>247.8548799999995</v>
      </c>
      <c r="P140" s="14">
        <f t="shared" si="141"/>
        <v>60.126365564399748</v>
      </c>
      <c r="Q140" s="22">
        <f t="shared" si="108"/>
        <v>536.40066935799541</v>
      </c>
      <c r="R140" s="62">
        <f t="shared" si="109"/>
        <v>829.73400269132867</v>
      </c>
      <c r="S140" s="62">
        <f ca="1">AVERAGE(OFFSET($R$3,0,0,'Données projet'!$E$9+1,1))-AVERAGE(OFFSET($H$3,0,0,'Données projet'!$E$9+1,1))</f>
        <v>430.11660085503223</v>
      </c>
      <c r="T140" s="62">
        <f t="shared" si="142"/>
        <v>231.36959598460686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2.4666666666666668</v>
      </c>
      <c r="AI140" s="14">
        <f>IF('Données projet'!$A$62&gt;35,AI139+AH140-AQ139,IF(A140&lt;'Données projet'!$A$62,$AF$205^A140,IF(A140='Données projet'!$A$62,'Données projet'!$B$62,AI139+AH140-AQ139)))</f>
        <v>273.93333333333277</v>
      </c>
      <c r="AJ140" s="14">
        <f>AI140*VLOOKUP('Données projet'!$B$10,Paramètres!$A$1:$I$89,3,0)*VLOOKUP('Données projet'!$B$10,Paramètres!$A$1:$I$89,5,0)</f>
        <v>264.94831999999946</v>
      </c>
      <c r="AK140" s="14">
        <f t="shared" si="143"/>
        <v>63.775999664184965</v>
      </c>
      <c r="AL140" s="22">
        <f t="shared" si="112"/>
        <v>572.52819008178778</v>
      </c>
      <c r="AM140" s="62">
        <f t="shared" si="113"/>
        <v>865.86152341512116</v>
      </c>
      <c r="AN140" s="62">
        <f ca="1">AVERAGE(OFFSET($AM$3,0,0,'Données projet'!$E$10+1,1))-AVERAGE(OFFSET($H$3,0,0,'Données projet'!$E$10+1,1))</f>
        <v>456.86147223520601</v>
      </c>
      <c r="AO140" s="62">
        <f t="shared" si="144"/>
        <v>244.45149244446094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-1.1368683772161603E-13</v>
      </c>
      <c r="BE140" s="14">
        <f>BD140*VLOOKUP('Données projet'!$B$11,Paramètres!$A$1:$I$89,3,0)*VLOOKUP('Données projet'!$B$11,Paramètres!$A$1:$I$89,5,0)</f>
        <v>-6.7984728957526396E-14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215.43756133069593</v>
      </c>
      <c r="BJ140" s="62">
        <f t="shared" si="146"/>
        <v>363.02009369315243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13.285553444873822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4.9401764688011808E-13</v>
      </c>
      <c r="BS140" s="24">
        <f t="shared" si="117"/>
        <v>13.285553444874315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-6.8212102632969618E-13</v>
      </c>
      <c r="BZ140" s="14">
        <f>BY140*VLOOKUP('Données projet'!$B$12,Paramètres!$A$1:$I$89,3,0)*VLOOKUP('Données projet'!$B$12,Paramètres!$A$1:$I$89,5,0)</f>
        <v>-3.0149749363772573E-13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461.75392711528474</v>
      </c>
      <c r="CE140" s="62">
        <f t="shared" si="148"/>
        <v>441.67157957428236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>
        <f>CT140*VLOOKUP('Données projet'!$B$13,Paramètres!$A$1:$I$89,3,0)*VLOOKUP('Données projet'!$B$13,Paramètres!$A$1:$I$89,5,0)</f>
        <v>0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338.72479490324491</v>
      </c>
      <c r="CZ140" s="62">
        <f t="shared" si="150"/>
        <v>248.47107558211923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2.4666666666666668</v>
      </c>
      <c r="N141" s="14">
        <f>IF('Données projet'!$A$36&gt;35,N140+M141-V140,IF(A141&lt;'Données projet'!$A$36,$K$205^A141,IF(A141='Données projet'!$A$36,'Données projet'!$B$36,N140+M141-V140)))</f>
        <v>276.39999999999941</v>
      </c>
      <c r="O141" s="14">
        <f>N141*VLOOKUP('Données projet'!$B$9,Paramètres!$A$1:$I$89,3,0)*VLOOKUP('Données projet'!$B$9,Paramètres!$A$1:$I$89,5,0)</f>
        <v>250.08671999999945</v>
      </c>
      <c r="P141" s="14">
        <f t="shared" si="141"/>
        <v>60.604510260305993</v>
      </c>
      <c r="Q141" s="22">
        <f t="shared" si="108"/>
        <v>541.12055937003197</v>
      </c>
      <c r="R141" s="62">
        <f t="shared" si="109"/>
        <v>834.45389270336523</v>
      </c>
      <c r="S141" s="62">
        <f ca="1">AVERAGE(OFFSET($R$3,0,0,'Données projet'!$E$9+1,1))-AVERAGE(OFFSET($H$3,0,0,'Données projet'!$E$9+1,1))</f>
        <v>430.11660085503223</v>
      </c>
      <c r="T141" s="62">
        <f t="shared" si="142"/>
        <v>231.36959598460686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2.4666666666666668</v>
      </c>
      <c r="AI141" s="14">
        <f>IF('Données projet'!$A$62&gt;35,AI140+AH141-AQ140,IF(A141&lt;'Données projet'!$A$62,$AF$205^A141,IF(A141='Données projet'!$A$62,'Données projet'!$B$62,AI140+AH141-AQ140)))</f>
        <v>276.39999999999941</v>
      </c>
      <c r="AJ141" s="14">
        <f>AI141*VLOOKUP('Données projet'!$B$10,Paramètres!$A$1:$I$89,3,0)*VLOOKUP('Données projet'!$B$10,Paramètres!$A$1:$I$89,5,0)</f>
        <v>267.3340799999994</v>
      </c>
      <c r="AK141" s="14">
        <f t="shared" si="143"/>
        <v>64.283167454542934</v>
      </c>
      <c r="AL141" s="22">
        <f t="shared" si="112"/>
        <v>577.56670598332778</v>
      </c>
      <c r="AM141" s="62">
        <f t="shared" si="113"/>
        <v>870.90003931666115</v>
      </c>
      <c r="AN141" s="62">
        <f ca="1">AVERAGE(OFFSET($AM$3,0,0,'Données projet'!$E$10+1,1))-AVERAGE(OFFSET($H$3,0,0,'Données projet'!$E$10+1,1))</f>
        <v>456.86147223520601</v>
      </c>
      <c r="AO141" s="62">
        <f t="shared" si="144"/>
        <v>244.45149244446094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-1.1368683772161603E-13</v>
      </c>
      <c r="BE141" s="14">
        <f>BD141*VLOOKUP('Données projet'!$B$11,Paramètres!$A$1:$I$89,3,0)*VLOOKUP('Données projet'!$B$11,Paramètres!$A$1:$I$89,5,0)</f>
        <v>-6.7984728957526396E-14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215.43756133069593</v>
      </c>
      <c r="BJ141" s="62">
        <f t="shared" si="146"/>
        <v>363.02009369315243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13.025031845207304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3.4932322813475276E-13</v>
      </c>
      <c r="BS141" s="24">
        <f t="shared" si="117"/>
        <v>13.025031845207653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-6.8212102632969618E-13</v>
      </c>
      <c r="BZ141" s="14">
        <f>BY141*VLOOKUP('Données projet'!$B$12,Paramètres!$A$1:$I$89,3,0)*VLOOKUP('Données projet'!$B$12,Paramètres!$A$1:$I$89,5,0)</f>
        <v>-3.0149749363772573E-13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461.75392711528474</v>
      </c>
      <c r="CE141" s="62">
        <f t="shared" si="148"/>
        <v>441.67157957428236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>
        <f>CT141*VLOOKUP('Données projet'!$B$13,Paramètres!$A$1:$I$89,3,0)*VLOOKUP('Données projet'!$B$13,Paramètres!$A$1:$I$89,5,0)</f>
        <v>0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338.72479490324491</v>
      </c>
      <c r="CZ141" s="62">
        <f t="shared" si="150"/>
        <v>248.47107558211923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2.4666666666666668</v>
      </c>
      <c r="N142" s="14">
        <f>IF('Données projet'!$A$36&gt;35,N141+M142-V141,IF(A142&lt;'Données projet'!$A$36,$K$205^A142,IF(A142='Données projet'!$A$36,'Données projet'!$B$36,N141+M142-V141)))</f>
        <v>278.86666666666605</v>
      </c>
      <c r="O142" s="14">
        <f>N142*VLOOKUP('Données projet'!$B$9,Paramètres!$A$1:$I$89,3,0)*VLOOKUP('Données projet'!$B$9,Paramètres!$A$1:$I$89,5,0)</f>
        <v>252.31855999999945</v>
      </c>
      <c r="P142" s="14">
        <f t="shared" si="141"/>
        <v>61.082158517893006</v>
      </c>
      <c r="Q142" s="22">
        <f t="shared" si="108"/>
        <v>545.83958475199609</v>
      </c>
      <c r="R142" s="62">
        <f t="shared" si="109"/>
        <v>839.17291808532946</v>
      </c>
      <c r="S142" s="62">
        <f ca="1">AVERAGE(OFFSET($R$3,0,0,'Données projet'!$E$9+1,1))-AVERAGE(OFFSET($H$3,0,0,'Données projet'!$E$9+1,1))</f>
        <v>430.11660085503223</v>
      </c>
      <c r="T142" s="62">
        <f t="shared" si="142"/>
        <v>231.36959598460686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2.4666666666666668</v>
      </c>
      <c r="AI142" s="14">
        <f>IF('Données projet'!$A$62&gt;35,AI141+AH142-AQ141,IF(A142&lt;'Données projet'!$A$62,$AF$205^A142,IF(A142='Données projet'!$A$62,'Données projet'!$B$62,AI141+AH142-AQ141)))</f>
        <v>278.86666666666605</v>
      </c>
      <c r="AJ142" s="14">
        <f>AI142*VLOOKUP('Données projet'!$B$10,Paramètres!$A$1:$I$89,3,0)*VLOOKUP('Données projet'!$B$10,Paramètres!$A$1:$I$89,5,0)</f>
        <v>269.71983999999941</v>
      </c>
      <c r="AK142" s="14">
        <f t="shared" si="143"/>
        <v>64.789808673075157</v>
      </c>
      <c r="AL142" s="22">
        <f t="shared" si="112"/>
        <v>582.60430477227158</v>
      </c>
      <c r="AM142" s="62">
        <f t="shared" si="113"/>
        <v>875.93763810560495</v>
      </c>
      <c r="AN142" s="62">
        <f ca="1">AVERAGE(OFFSET($AM$3,0,0,'Données projet'!$E$10+1,1))-AVERAGE(OFFSET($H$3,0,0,'Données projet'!$E$10+1,1))</f>
        <v>456.86147223520601</v>
      </c>
      <c r="AO142" s="62">
        <f t="shared" si="144"/>
        <v>244.45149244446094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-1.1368683772161603E-13</v>
      </c>
      <c r="BE142" s="14">
        <f>BD142*VLOOKUP('Données projet'!$B$11,Paramètres!$A$1:$I$89,3,0)*VLOOKUP('Données projet'!$B$11,Paramètres!$A$1:$I$89,5,0)</f>
        <v>-6.7984728957526396E-14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215.43756133069593</v>
      </c>
      <c r="BJ142" s="62">
        <f t="shared" si="146"/>
        <v>363.02009369315243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12.769618915207761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2.4700882344005904E-13</v>
      </c>
      <c r="BS142" s="24">
        <f t="shared" si="117"/>
        <v>12.769618915208008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-6.8212102632969618E-13</v>
      </c>
      <c r="BZ142" s="14">
        <f>BY142*VLOOKUP('Données projet'!$B$12,Paramètres!$A$1:$I$89,3,0)*VLOOKUP('Données projet'!$B$12,Paramètres!$A$1:$I$89,5,0)</f>
        <v>-3.0149749363772573E-13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461.75392711528474</v>
      </c>
      <c r="CE142" s="62">
        <f t="shared" si="148"/>
        <v>441.67157957428236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>
        <f>CT142*VLOOKUP('Données projet'!$B$13,Paramètres!$A$1:$I$89,3,0)*VLOOKUP('Données projet'!$B$13,Paramètres!$A$1:$I$89,5,0)</f>
        <v>0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338.72479490324491</v>
      </c>
      <c r="CZ142" s="62">
        <f t="shared" si="150"/>
        <v>248.47107558211923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2.4666666666666668</v>
      </c>
      <c r="N143" s="14">
        <f>IF('Données projet'!$A$36&gt;35,N142+M143-V142,IF(A143&lt;'Données projet'!$A$36,$K$205^A143,IF(A143='Données projet'!$A$36,'Données projet'!$B$36,N142+M143-V142)))</f>
        <v>281.33333333333269</v>
      </c>
      <c r="O143" s="14">
        <f>N143*VLOOKUP('Données projet'!$B$9,Paramètres!$A$1:$I$89,3,0)*VLOOKUP('Données projet'!$B$9,Paramètres!$A$1:$I$89,5,0)</f>
        <v>254.5503999999994</v>
      </c>
      <c r="P143" s="14">
        <f t="shared" si="141"/>
        <v>61.559315237055863</v>
      </c>
      <c r="Q143" s="22">
        <f t="shared" si="108"/>
        <v>550.55775403787118</v>
      </c>
      <c r="R143" s="62">
        <f t="shared" si="109"/>
        <v>843.89108737120455</v>
      </c>
      <c r="S143" s="62">
        <f ca="1">AVERAGE(OFFSET($R$3,0,0,'Données projet'!$E$9+1,1))-AVERAGE(OFFSET($H$3,0,0,'Données projet'!$E$9+1,1))</f>
        <v>430.11660085503223</v>
      </c>
      <c r="T143" s="62">
        <f t="shared" si="142"/>
        <v>231.36959598460686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2.4666666666666668</v>
      </c>
      <c r="AI143" s="14">
        <f>IF('Données projet'!$A$62&gt;35,AI142+AH143-AQ142,IF(A143&lt;'Données projet'!$A$62,$AF$205^A143,IF(A143='Données projet'!$A$62,'Données projet'!$B$62,AI142+AH143-AQ142)))</f>
        <v>281.33333333333269</v>
      </c>
      <c r="AJ143" s="14">
        <f>AI143*VLOOKUP('Données projet'!$B$10,Paramètres!$A$1:$I$89,3,0)*VLOOKUP('Données projet'!$B$10,Paramètres!$A$1:$I$89,5,0)</f>
        <v>272.10559999999941</v>
      </c>
      <c r="AK143" s="14">
        <f t="shared" si="143"/>
        <v>65.295928517097721</v>
      </c>
      <c r="AL143" s="22">
        <f t="shared" si="112"/>
        <v>587.64099550061076</v>
      </c>
      <c r="AM143" s="62">
        <f t="shared" si="113"/>
        <v>880.97432883394413</v>
      </c>
      <c r="AN143" s="62">
        <f ca="1">AVERAGE(OFFSET($AM$3,0,0,'Données projet'!$E$10+1,1))-AVERAGE(OFFSET($H$3,0,0,'Données projet'!$E$10+1,1))</f>
        <v>456.86147223520601</v>
      </c>
      <c r="AO143" s="62">
        <f t="shared" si="144"/>
        <v>244.45149244446094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-1.1368683772161603E-13</v>
      </c>
      <c r="BE143" s="14">
        <f>BD143*VLOOKUP('Données projet'!$B$11,Paramètres!$A$1:$I$89,3,0)*VLOOKUP('Données projet'!$B$11,Paramètres!$A$1:$I$89,5,0)</f>
        <v>-6.7984728957526396E-14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215.43756133069593</v>
      </c>
      <c r="BJ143" s="62">
        <f t="shared" si="146"/>
        <v>363.02009369315243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12.519214476979005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1.7466161406737638E-13</v>
      </c>
      <c r="BS143" s="24">
        <f t="shared" si="117"/>
        <v>12.51921447697918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-6.8212102632969618E-13</v>
      </c>
      <c r="BZ143" s="14">
        <f>BY143*VLOOKUP('Données projet'!$B$12,Paramètres!$A$1:$I$89,3,0)*VLOOKUP('Données projet'!$B$12,Paramètres!$A$1:$I$89,5,0)</f>
        <v>-3.0149749363772573E-13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461.75392711528474</v>
      </c>
      <c r="CE143" s="62">
        <f t="shared" si="148"/>
        <v>441.67157957428236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>
        <f>CT143*VLOOKUP('Données projet'!$B$13,Paramètres!$A$1:$I$89,3,0)*VLOOKUP('Données projet'!$B$13,Paramètres!$A$1:$I$89,5,0)</f>
        <v>0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338.72479490324491</v>
      </c>
      <c r="CZ143" s="62">
        <f t="shared" si="150"/>
        <v>248.47107558211923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2.4666666666666668</v>
      </c>
      <c r="N144" s="14">
        <f>IF('Données projet'!$A$36&gt;35,N143+M144-V143,IF(A144&lt;'Données projet'!$A$36,$K$205^A144,IF(A144='Données projet'!$A$36,'Données projet'!$B$36,N143+M144-V143)))</f>
        <v>283.79999999999933</v>
      </c>
      <c r="O144" s="14">
        <f>N144*VLOOKUP('Données projet'!$B$9,Paramètres!$A$1:$I$89,3,0)*VLOOKUP('Données projet'!$B$9,Paramètres!$A$1:$I$89,5,0)</f>
        <v>256.78223999999938</v>
      </c>
      <c r="P144" s="14">
        <f t="shared" si="141"/>
        <v>62.035985226809906</v>
      </c>
      <c r="Q144" s="22">
        <f t="shared" si="108"/>
        <v>555.27507560335937</v>
      </c>
      <c r="R144" s="62">
        <f t="shared" si="109"/>
        <v>848.60840893669274</v>
      </c>
      <c r="S144" s="62">
        <f ca="1">AVERAGE(OFFSET($R$3,0,0,'Données projet'!$E$9+1,1))-AVERAGE(OFFSET($H$3,0,0,'Données projet'!$E$9+1,1))</f>
        <v>430.11660085503223</v>
      </c>
      <c r="T144" s="62">
        <f t="shared" si="142"/>
        <v>231.36959598460686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2.4666666666666668</v>
      </c>
      <c r="AI144" s="14">
        <f>IF('Données projet'!$A$62&gt;35,AI143+AH144-AQ143,IF(A144&lt;'Données projet'!$A$62,$AF$205^A144,IF(A144='Données projet'!$A$62,'Données projet'!$B$62,AI143+AH144-AQ143)))</f>
        <v>283.79999999999933</v>
      </c>
      <c r="AJ144" s="14">
        <f>AI144*VLOOKUP('Données projet'!$B$10,Paramètres!$A$1:$I$89,3,0)*VLOOKUP('Données projet'!$B$10,Paramètres!$A$1:$I$89,5,0)</f>
        <v>274.49135999999936</v>
      </c>
      <c r="AK144" s="14">
        <f t="shared" si="143"/>
        <v>65.801532087530063</v>
      </c>
      <c r="AL144" s="22">
        <f t="shared" si="112"/>
        <v>592.67678705244703</v>
      </c>
      <c r="AM144" s="62">
        <f t="shared" si="113"/>
        <v>886.01012038578028</v>
      </c>
      <c r="AN144" s="62">
        <f ca="1">AVERAGE(OFFSET($AM$3,0,0,'Données projet'!$E$10+1,1))-AVERAGE(OFFSET($H$3,0,0,'Données projet'!$E$10+1,1))</f>
        <v>456.86147223520601</v>
      </c>
      <c r="AO144" s="62">
        <f t="shared" si="144"/>
        <v>244.45149244446094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-1.1368683772161603E-13</v>
      </c>
      <c r="BE144" s="14">
        <f>BD144*VLOOKUP('Données projet'!$B$11,Paramètres!$A$1:$I$89,3,0)*VLOOKUP('Données projet'!$B$11,Paramètres!$A$1:$I$89,5,0)</f>
        <v>-6.7984728957526396E-14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215.43756133069593</v>
      </c>
      <c r="BJ144" s="62">
        <f t="shared" si="146"/>
        <v>363.02009369315243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12.273720317052289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1.2350441172002952E-13</v>
      </c>
      <c r="BS144" s="24">
        <f t="shared" si="117"/>
        <v>12.273720317052414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-6.8212102632969618E-13</v>
      </c>
      <c r="BZ144" s="14">
        <f>BY144*VLOOKUP('Données projet'!$B$12,Paramètres!$A$1:$I$89,3,0)*VLOOKUP('Données projet'!$B$12,Paramètres!$A$1:$I$89,5,0)</f>
        <v>-3.0149749363772573E-13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461.75392711528474</v>
      </c>
      <c r="CE144" s="62">
        <f t="shared" si="148"/>
        <v>441.67157957428236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>
        <f>CT144*VLOOKUP('Données projet'!$B$13,Paramètres!$A$1:$I$89,3,0)*VLOOKUP('Données projet'!$B$13,Paramètres!$A$1:$I$89,5,0)</f>
        <v>0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338.72479490324491</v>
      </c>
      <c r="CZ144" s="62">
        <f t="shared" si="150"/>
        <v>248.47107558211923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2.4666666666666668</v>
      </c>
      <c r="N145" s="14">
        <f>IF('Données projet'!$A$36&gt;35,N144+M145-V144,IF(A145&lt;'Données projet'!$A$36,$K$205^A145,IF(A145='Données projet'!$A$36,'Données projet'!$B$36,N144+M145-V144)))</f>
        <v>286.26666666666597</v>
      </c>
      <c r="O145" s="14">
        <f>N145*VLOOKUP('Données projet'!$B$9,Paramètres!$A$1:$I$89,3,0)*VLOOKUP('Données projet'!$B$9,Paramètres!$A$1:$I$89,5,0)</f>
        <v>259.01407999999935</v>
      </c>
      <c r="P145" s="14">
        <f t="shared" si="141"/>
        <v>62.51217320775072</v>
      </c>
      <c r="Q145" s="22">
        <f t="shared" si="108"/>
        <v>559.99155767016464</v>
      </c>
      <c r="R145" s="62">
        <f t="shared" si="109"/>
        <v>853.3248910034979</v>
      </c>
      <c r="S145" s="62">
        <f ca="1">AVERAGE(OFFSET($R$3,0,0,'Données projet'!$E$9+1,1))-AVERAGE(OFFSET($H$3,0,0,'Données projet'!$E$9+1,1))</f>
        <v>430.11660085503223</v>
      </c>
      <c r="T145" s="62">
        <f t="shared" si="142"/>
        <v>231.36959598460686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2.4666666666666668</v>
      </c>
      <c r="AI145" s="14">
        <f>IF('Données projet'!$A$62&gt;35,AI144+AH145-AQ144,IF(A145&lt;'Données projet'!$A$62,$AF$205^A145,IF(A145='Données projet'!$A$62,'Données projet'!$B$62,AI144+AH145-AQ144)))</f>
        <v>286.26666666666597</v>
      </c>
      <c r="AJ145" s="14">
        <f>AI145*VLOOKUP('Données projet'!$B$10,Paramètres!$A$1:$I$89,3,0)*VLOOKUP('Données projet'!$B$10,Paramètres!$A$1:$I$89,5,0)</f>
        <v>276.87711999999937</v>
      </c>
      <c r="AK145" s="14">
        <f t="shared" si="143"/>
        <v>66.306624391505196</v>
      </c>
      <c r="AL145" s="22">
        <f t="shared" si="112"/>
        <v>597.71168814853706</v>
      </c>
      <c r="AM145" s="62">
        <f t="shared" si="113"/>
        <v>891.04502148187044</v>
      </c>
      <c r="AN145" s="62">
        <f ca="1">AVERAGE(OFFSET($AM$3,0,0,'Données projet'!$E$10+1,1))-AVERAGE(OFFSET($H$3,0,0,'Données projet'!$E$10+1,1))</f>
        <v>456.86147223520601</v>
      </c>
      <c r="AO145" s="62">
        <f t="shared" si="144"/>
        <v>244.45149244446094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-1.1368683772161603E-13</v>
      </c>
      <c r="BE145" s="14">
        <f>BD145*VLOOKUP('Données projet'!$B$11,Paramètres!$A$1:$I$89,3,0)*VLOOKUP('Données projet'!$B$11,Paramètres!$A$1:$I$89,5,0)</f>
        <v>-6.7984728957526396E-14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215.43756133069593</v>
      </c>
      <c r="BJ145" s="62">
        <f t="shared" si="146"/>
        <v>363.02009369315243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12.033040147865083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8.733080703368819E-14</v>
      </c>
      <c r="BS145" s="24">
        <f t="shared" si="117"/>
        <v>12.033040147865171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-6.8212102632969618E-13</v>
      </c>
      <c r="BZ145" s="14">
        <f>BY145*VLOOKUP('Données projet'!$B$12,Paramètres!$A$1:$I$89,3,0)*VLOOKUP('Données projet'!$B$12,Paramètres!$A$1:$I$89,5,0)</f>
        <v>-3.0149749363772573E-13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461.75392711528474</v>
      </c>
      <c r="CE145" s="62">
        <f t="shared" si="148"/>
        <v>441.67157957428236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>
        <f>CT145*VLOOKUP('Données projet'!$B$13,Paramètres!$A$1:$I$89,3,0)*VLOOKUP('Données projet'!$B$13,Paramètres!$A$1:$I$89,5,0)</f>
        <v>0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338.72479490324491</v>
      </c>
      <c r="CZ145" s="62">
        <f t="shared" si="150"/>
        <v>248.47107558211923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2.4666666666666668</v>
      </c>
      <c r="N146" s="14">
        <f>IF('Données projet'!$A$36&gt;35,N145+M146-V145,IF(A146&lt;'Données projet'!$A$36,$K$205^A146,IF(A146='Données projet'!$A$36,'Données projet'!$B$36,N145+M146-V145)))</f>
        <v>288.73333333333261</v>
      </c>
      <c r="O146" s="14">
        <f>N146*VLOOKUP('Données projet'!$B$9,Paramètres!$A$1:$I$89,3,0)*VLOOKUP('Données projet'!$B$9,Paramètres!$A$1:$I$89,5,0)</f>
        <v>261.24591999999933</v>
      </c>
      <c r="P146" s="14">
        <f t="shared" si="141"/>
        <v>62.987883814427661</v>
      </c>
      <c r="Q146" s="22">
        <f t="shared" si="108"/>
        <v>564.70720831012704</v>
      </c>
      <c r="R146" s="62">
        <f t="shared" si="109"/>
        <v>858.0405416434603</v>
      </c>
      <c r="S146" s="62">
        <f ca="1">AVERAGE(OFFSET($R$3,0,0,'Données projet'!$E$9+1,1))-AVERAGE(OFFSET($H$3,0,0,'Données projet'!$E$9+1,1))</f>
        <v>430.11660085503223</v>
      </c>
      <c r="T146" s="62">
        <f t="shared" si="142"/>
        <v>231.36959598460686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2.4666666666666668</v>
      </c>
      <c r="AI146" s="14">
        <f>IF('Données projet'!$A$62&gt;35,AI145+AH146-AQ145,IF(A146&lt;'Données projet'!$A$62,$AF$205^A146,IF(A146='Données projet'!$A$62,'Données projet'!$B$62,AI145+AH146-AQ145)))</f>
        <v>288.73333333333261</v>
      </c>
      <c r="AJ146" s="14">
        <f>AI146*VLOOKUP('Données projet'!$B$10,Paramètres!$A$1:$I$89,3,0)*VLOOKUP('Données projet'!$B$10,Paramètres!$A$1:$I$89,5,0)</f>
        <v>279.26287999999931</v>
      </c>
      <c r="AK146" s="14">
        <f t="shared" si="143"/>
        <v>66.811210344886589</v>
      </c>
      <c r="AL146" s="22">
        <f t="shared" si="112"/>
        <v>602.7457073506763</v>
      </c>
      <c r="AM146" s="62">
        <f t="shared" si="113"/>
        <v>896.07904068400967</v>
      </c>
      <c r="AN146" s="62">
        <f ca="1">AVERAGE(OFFSET($AM$3,0,0,'Données projet'!$E$10+1,1))-AVERAGE(OFFSET($H$3,0,0,'Données projet'!$E$10+1,1))</f>
        <v>456.86147223520601</v>
      </c>
      <c r="AO146" s="62">
        <f t="shared" si="144"/>
        <v>244.45149244446094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-1.1368683772161603E-13</v>
      </c>
      <c r="BE146" s="14">
        <f>BD146*VLOOKUP('Données projet'!$B$11,Paramètres!$A$1:$I$89,3,0)*VLOOKUP('Données projet'!$B$11,Paramètres!$A$1:$I$89,5,0)</f>
        <v>-6.7984728957526396E-14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215.43756133069593</v>
      </c>
      <c r="BJ146" s="62">
        <f t="shared" si="146"/>
        <v>363.02009369315243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11.797079569995232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6.175220586001476E-14</v>
      </c>
      <c r="BS146" s="24">
        <f t="shared" si="117"/>
        <v>11.797079569995294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-6.8212102632969618E-13</v>
      </c>
      <c r="BZ146" s="14">
        <f>BY146*VLOOKUP('Données projet'!$B$12,Paramètres!$A$1:$I$89,3,0)*VLOOKUP('Données projet'!$B$12,Paramètres!$A$1:$I$89,5,0)</f>
        <v>-3.0149749363772573E-13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461.75392711528474</v>
      </c>
      <c r="CE146" s="62">
        <f t="shared" si="148"/>
        <v>441.67157957428236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>
        <f>CT146*VLOOKUP('Données projet'!$B$13,Paramètres!$A$1:$I$89,3,0)*VLOOKUP('Données projet'!$B$13,Paramètres!$A$1:$I$89,5,0)</f>
        <v>0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338.72479490324491</v>
      </c>
      <c r="CZ146" s="62">
        <f t="shared" si="150"/>
        <v>248.47107558211923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2.4666666666666668</v>
      </c>
      <c r="N147" s="14">
        <f>IF('Données projet'!$A$36&gt;35,N146+M147-V146,IF(A147&lt;'Données projet'!$A$36,$K$205^A147,IF(A147='Données projet'!$A$36,'Données projet'!$B$36,N146+M147-V146)))</f>
        <v>291.19999999999925</v>
      </c>
      <c r="O147" s="14">
        <f>N147*VLOOKUP('Données projet'!$B$9,Paramètres!$A$1:$I$89,3,0)*VLOOKUP('Données projet'!$B$9,Paramètres!$A$1:$I$89,5,0)</f>
        <v>263.47775999999931</v>
      </c>
      <c r="P147" s="14">
        <f t="shared" si="141"/>
        <v>63.463121597633346</v>
      </c>
      <c r="Q147" s="22">
        <f t="shared" si="108"/>
        <v>569.42203544921017</v>
      </c>
      <c r="R147" s="62">
        <f t="shared" si="109"/>
        <v>862.75536878254343</v>
      </c>
      <c r="S147" s="62">
        <f ca="1">AVERAGE(OFFSET($R$3,0,0,'Données projet'!$E$9+1,1))-AVERAGE(OFFSET($H$3,0,0,'Données projet'!$E$9+1,1))</f>
        <v>430.11660085503223</v>
      </c>
      <c r="T147" s="62">
        <f t="shared" si="142"/>
        <v>231.36959598460686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2.4666666666666668</v>
      </c>
      <c r="AI147" s="14">
        <f>IF('Données projet'!$A$62&gt;35,AI146+AH147-AQ146,IF(A147&lt;'Données projet'!$A$62,$AF$205^A147,IF(A147='Données projet'!$A$62,'Données projet'!$B$62,AI146+AH147-AQ146)))</f>
        <v>291.19999999999925</v>
      </c>
      <c r="AJ147" s="14">
        <f>AI147*VLOOKUP('Données projet'!$B$10,Paramètres!$A$1:$I$89,3,0)*VLOOKUP('Données projet'!$B$10,Paramètres!$A$1:$I$89,5,0)</f>
        <v>281.64863999999926</v>
      </c>
      <c r="AK147" s="14">
        <f t="shared" si="143"/>
        <v>67.315294774697563</v>
      </c>
      <c r="AL147" s="22">
        <f t="shared" si="112"/>
        <v>607.77885306593032</v>
      </c>
      <c r="AM147" s="62">
        <f t="shared" si="113"/>
        <v>901.11218639926369</v>
      </c>
      <c r="AN147" s="62">
        <f ca="1">AVERAGE(OFFSET($AM$3,0,0,'Données projet'!$E$10+1,1))-AVERAGE(OFFSET($H$3,0,0,'Données projet'!$E$10+1,1))</f>
        <v>456.86147223520601</v>
      </c>
      <c r="AO147" s="62">
        <f t="shared" si="144"/>
        <v>244.45149244446094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-1.1368683772161603E-13</v>
      </c>
      <c r="BE147" s="14">
        <f>BD147*VLOOKUP('Données projet'!$B$11,Paramètres!$A$1:$I$89,3,0)*VLOOKUP('Données projet'!$B$11,Paramètres!$A$1:$I$89,5,0)</f>
        <v>-6.7984728957526396E-14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215.43756133069593</v>
      </c>
      <c r="BJ147" s="62">
        <f t="shared" si="146"/>
        <v>363.02009369315243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11.565746035135666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4.3665403516844095E-14</v>
      </c>
      <c r="BS147" s="24">
        <f t="shared" si="117"/>
        <v>11.56574603513571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-6.8212102632969618E-13</v>
      </c>
      <c r="BZ147" s="14">
        <f>BY147*VLOOKUP('Données projet'!$B$12,Paramètres!$A$1:$I$89,3,0)*VLOOKUP('Données projet'!$B$12,Paramètres!$A$1:$I$89,5,0)</f>
        <v>-3.0149749363772573E-13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461.75392711528474</v>
      </c>
      <c r="CE147" s="62">
        <f t="shared" si="148"/>
        <v>441.67157957428236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>
        <f>CT147*VLOOKUP('Données projet'!$B$13,Paramètres!$A$1:$I$89,3,0)*VLOOKUP('Données projet'!$B$13,Paramètres!$A$1:$I$89,5,0)</f>
        <v>0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338.72479490324491</v>
      </c>
      <c r="CZ147" s="62">
        <f t="shared" si="150"/>
        <v>248.47107558211923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2.4666666666666668</v>
      </c>
      <c r="N148" s="14">
        <f>IF('Données projet'!$A$36&gt;35,N147+M148-V147,IF(A148&lt;'Données projet'!$A$36,$K$205^A148,IF(A148='Données projet'!$A$36,'Données projet'!$B$36,N147+M148-V147)))</f>
        <v>293.66666666666589</v>
      </c>
      <c r="O148" s="14">
        <f>N148*VLOOKUP('Données projet'!$B$9,Paramètres!$A$1:$I$89,3,0)*VLOOKUP('Données projet'!$B$9,Paramètres!$A$1:$I$89,5,0)</f>
        <v>265.70959999999928</v>
      </c>
      <c r="P148" s="14">
        <f t="shared" si="141"/>
        <v>63.937891026614238</v>
      </c>
      <c r="Q148" s="22">
        <f t="shared" si="108"/>
        <v>574.13604687135182</v>
      </c>
      <c r="R148" s="62">
        <f t="shared" si="109"/>
        <v>867.46938020468519</v>
      </c>
      <c r="S148" s="62">
        <f ca="1">AVERAGE(OFFSET($R$3,0,0,'Données projet'!$E$9+1,1))-AVERAGE(OFFSET($H$3,0,0,'Données projet'!$E$9+1,1))</f>
        <v>430.11660085503223</v>
      </c>
      <c r="T148" s="62">
        <f t="shared" si="142"/>
        <v>231.36959598460686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2.4666666666666668</v>
      </c>
      <c r="AI148" s="14">
        <f>IF('Données projet'!$A$62&gt;35,AI147+AH148-AQ147,IF(A148&lt;'Données projet'!$A$62,$AF$205^A148,IF(A148='Données projet'!$A$62,'Données projet'!$B$62,AI147+AH148-AQ147)))</f>
        <v>293.66666666666589</v>
      </c>
      <c r="AJ148" s="14">
        <f>AI148*VLOOKUP('Données projet'!$B$10,Paramètres!$A$1:$I$89,3,0)*VLOOKUP('Données projet'!$B$10,Paramètres!$A$1:$I$89,5,0)</f>
        <v>284.03439999999927</v>
      </c>
      <c r="AK148" s="14">
        <f t="shared" si="143"/>
        <v>67.818882421464934</v>
      </c>
      <c r="AL148" s="22">
        <f t="shared" si="112"/>
        <v>612.81113355071682</v>
      </c>
      <c r="AM148" s="62">
        <f t="shared" si="113"/>
        <v>906.14446688405019</v>
      </c>
      <c r="AN148" s="62">
        <f ca="1">AVERAGE(OFFSET($AM$3,0,0,'Données projet'!$E$10+1,1))-AVERAGE(OFFSET($H$3,0,0,'Données projet'!$E$10+1,1))</f>
        <v>456.86147223520601</v>
      </c>
      <c r="AO148" s="62">
        <f t="shared" si="144"/>
        <v>244.45149244446094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-1.1368683772161603E-13</v>
      </c>
      <c r="BE148" s="14">
        <f>BD148*VLOOKUP('Données projet'!$B$11,Paramètres!$A$1:$I$89,3,0)*VLOOKUP('Données projet'!$B$11,Paramètres!$A$1:$I$89,5,0)</f>
        <v>-6.7984728957526396E-14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215.43756133069593</v>
      </c>
      <c r="BJ148" s="62">
        <f t="shared" si="146"/>
        <v>363.02009369315243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11.338948809795172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3.087610293000738E-14</v>
      </c>
      <c r="BS148" s="24">
        <f t="shared" si="117"/>
        <v>11.338948809795202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-6.8212102632969618E-13</v>
      </c>
      <c r="BZ148" s="14">
        <f>BY148*VLOOKUP('Données projet'!$B$12,Paramètres!$A$1:$I$89,3,0)*VLOOKUP('Données projet'!$B$12,Paramètres!$A$1:$I$89,5,0)</f>
        <v>-3.0149749363772573E-13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461.75392711528474</v>
      </c>
      <c r="CE148" s="62">
        <f t="shared" si="148"/>
        <v>441.67157957428236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>
        <f>CT148*VLOOKUP('Données projet'!$B$13,Paramètres!$A$1:$I$89,3,0)*VLOOKUP('Données projet'!$B$13,Paramètres!$A$1:$I$89,5,0)</f>
        <v>0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338.72479490324491</v>
      </c>
      <c r="CZ148" s="62">
        <f t="shared" si="150"/>
        <v>248.47107558211923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2.4666666666666668</v>
      </c>
      <c r="N149" s="14">
        <f>IF('Données projet'!$A$36&gt;35,N148+M149-V148,IF(A149&lt;'Données projet'!$A$36,$K$205^A149,IF(A149='Données projet'!$A$36,'Données projet'!$B$36,N148+M149-V148)))</f>
        <v>296.13333333333253</v>
      </c>
      <c r="O149" s="14">
        <f>N149*VLOOKUP('Données projet'!$B$9,Paramètres!$A$1:$I$89,3,0)*VLOOKUP('Données projet'!$B$9,Paramètres!$A$1:$I$89,5,0)</f>
        <v>267.94143999999926</v>
      </c>
      <c r="P149" s="14">
        <f t="shared" si="141"/>
        <v>64.412196491203645</v>
      </c>
      <c r="Q149" s="22">
        <f t="shared" si="108"/>
        <v>578.84925022217828</v>
      </c>
      <c r="R149" s="62">
        <f t="shared" si="109"/>
        <v>872.18258355551166</v>
      </c>
      <c r="S149" s="62">
        <f ca="1">AVERAGE(OFFSET($R$3,0,0,'Données projet'!$E$9+1,1))-AVERAGE(OFFSET($H$3,0,0,'Données projet'!$E$9+1,1))</f>
        <v>430.11660085503223</v>
      </c>
      <c r="T149" s="62">
        <f t="shared" si="142"/>
        <v>231.36959598460686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2.4666666666666668</v>
      </c>
      <c r="AI149" s="14">
        <f>IF('Données projet'!$A$62&gt;35,AI148+AH149-AQ148,IF(A149&lt;'Données projet'!$A$62,$AF$205^A149,IF(A149='Données projet'!$A$62,'Données projet'!$B$62,AI148+AH149-AQ148)))</f>
        <v>296.13333333333253</v>
      </c>
      <c r="AJ149" s="14">
        <f>AI149*VLOOKUP('Données projet'!$B$10,Paramètres!$A$1:$I$89,3,0)*VLOOKUP('Données projet'!$B$10,Paramètres!$A$1:$I$89,5,0)</f>
        <v>286.42015999999927</v>
      </c>
      <c r="AK149" s="14">
        <f t="shared" si="143"/>
        <v>68.321977941482302</v>
      </c>
      <c r="AL149" s="22">
        <f t="shared" si="112"/>
        <v>617.84255691474698</v>
      </c>
      <c r="AM149" s="62">
        <f t="shared" si="113"/>
        <v>911.17589024808035</v>
      </c>
      <c r="AN149" s="62">
        <f ca="1">AVERAGE(OFFSET($AM$3,0,0,'Données projet'!$E$10+1,1))-AVERAGE(OFFSET($H$3,0,0,'Données projet'!$E$10+1,1))</f>
        <v>456.86147223520601</v>
      </c>
      <c r="AO149" s="62">
        <f t="shared" si="144"/>
        <v>244.45149244446094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-1.1368683772161603E-13</v>
      </c>
      <c r="BE149" s="14">
        <f>BD149*VLOOKUP('Données projet'!$B$11,Paramètres!$A$1:$I$89,3,0)*VLOOKUP('Données projet'!$B$11,Paramètres!$A$1:$I$89,5,0)</f>
        <v>-6.7984728957526396E-14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215.43756133069593</v>
      </c>
      <c r="BJ149" s="62">
        <f t="shared" si="146"/>
        <v>363.02009369315243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11.116598939710956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2.1832701758422047E-14</v>
      </c>
      <c r="BS149" s="24">
        <f t="shared" si="117"/>
        <v>11.116598939710977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-6.8212102632969618E-13</v>
      </c>
      <c r="BZ149" s="14">
        <f>BY149*VLOOKUP('Données projet'!$B$12,Paramètres!$A$1:$I$89,3,0)*VLOOKUP('Données projet'!$B$12,Paramètres!$A$1:$I$89,5,0)</f>
        <v>-3.0149749363772573E-13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461.75392711528474</v>
      </c>
      <c r="CE149" s="62">
        <f t="shared" si="148"/>
        <v>441.67157957428236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>
        <f>CT149*VLOOKUP('Données projet'!$B$13,Paramètres!$A$1:$I$89,3,0)*VLOOKUP('Données projet'!$B$13,Paramètres!$A$1:$I$89,5,0)</f>
        <v>0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338.72479490324491</v>
      </c>
      <c r="CZ149" s="62">
        <f t="shared" si="150"/>
        <v>248.47107558211923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2.4666666666666668</v>
      </c>
      <c r="N150" s="14">
        <f>IF('Données projet'!$A$36&gt;35,N149+M150-V149,IF(A150&lt;'Données projet'!$A$36,$K$205^A150,IF(A150='Données projet'!$A$36,'Données projet'!$B$36,N149+M150-V149)))</f>
        <v>298.59999999999917</v>
      </c>
      <c r="O150" s="14">
        <f>N150*VLOOKUP('Données projet'!$B$9,Paramètres!$A$1:$I$89,3,0)*VLOOKUP('Données projet'!$B$9,Paramètres!$A$1:$I$89,5,0)</f>
        <v>270.17327999999924</v>
      </c>
      <c r="P150" s="14">
        <f t="shared" si="141"/>
        <v>64.886042303882803</v>
      </c>
      <c r="Q150" s="22">
        <f t="shared" si="108"/>
        <v>583.56165301259455</v>
      </c>
      <c r="R150" s="62">
        <f t="shared" si="109"/>
        <v>876.89498634592792</v>
      </c>
      <c r="S150" s="62">
        <f ca="1">AVERAGE(OFFSET($R$3,0,0,'Données projet'!$E$9+1,1))-AVERAGE(OFFSET($H$3,0,0,'Données projet'!$E$9+1,1))</f>
        <v>430.11660085503223</v>
      </c>
      <c r="T150" s="62">
        <f t="shared" si="142"/>
        <v>231.36959598460686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2.4666666666666668</v>
      </c>
      <c r="AI150" s="14">
        <f>IF('Données projet'!$A$62&gt;35,AI149+AH150-AQ149,IF(A150&lt;'Données projet'!$A$62,$AF$205^A150,IF(A150='Données projet'!$A$62,'Données projet'!$B$62,AI149+AH150-AQ149)))</f>
        <v>298.59999999999917</v>
      </c>
      <c r="AJ150" s="14">
        <f>AI150*VLOOKUP('Données projet'!$B$10,Paramètres!$A$1:$I$89,3,0)*VLOOKUP('Données projet'!$B$10,Paramètres!$A$1:$I$89,5,0)</f>
        <v>288.80591999999922</v>
      </c>
      <c r="AK150" s="14">
        <f t="shared" si="143"/>
        <v>68.824585908995942</v>
      </c>
      <c r="AL150" s="22">
        <f t="shared" si="112"/>
        <v>622.87313112483321</v>
      </c>
      <c r="AM150" s="62">
        <f t="shared" si="113"/>
        <v>916.20646445816647</v>
      </c>
      <c r="AN150" s="62">
        <f ca="1">AVERAGE(OFFSET($AM$3,0,0,'Données projet'!$E$10+1,1))-AVERAGE(OFFSET($H$3,0,0,'Données projet'!$E$10+1,1))</f>
        <v>456.86147223520601</v>
      </c>
      <c r="AO150" s="62">
        <f t="shared" si="144"/>
        <v>244.45149244446094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-1.1368683772161603E-13</v>
      </c>
      <c r="BE150" s="14">
        <f>BD150*VLOOKUP('Données projet'!$B$11,Paramètres!$A$1:$I$89,3,0)*VLOOKUP('Données projet'!$B$11,Paramètres!$A$1:$I$89,5,0)</f>
        <v>-6.7984728957526396E-14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215.43756133069593</v>
      </c>
      <c r="BJ150" s="62">
        <f t="shared" si="146"/>
        <v>363.02009369315243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10.898609214959063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1.543805146500369E-14</v>
      </c>
      <c r="BS150" s="24">
        <f t="shared" si="117"/>
        <v>10.898609214959079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-6.8212102632969618E-13</v>
      </c>
      <c r="BZ150" s="14">
        <f>BY150*VLOOKUP('Données projet'!$B$12,Paramètres!$A$1:$I$89,3,0)*VLOOKUP('Données projet'!$B$12,Paramètres!$A$1:$I$89,5,0)</f>
        <v>-3.0149749363772573E-13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461.75392711528474</v>
      </c>
      <c r="CE150" s="62">
        <f t="shared" si="148"/>
        <v>441.67157957428236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>
        <f>CT150*VLOOKUP('Données projet'!$B$13,Paramètres!$A$1:$I$89,3,0)*VLOOKUP('Données projet'!$B$13,Paramètres!$A$1:$I$89,5,0)</f>
        <v>0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338.72479490324491</v>
      </c>
      <c r="CZ150" s="62">
        <f t="shared" si="150"/>
        <v>248.47107558211923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2.4666666666666668</v>
      </c>
      <c r="N151" s="14">
        <f>IF('Données projet'!$A$36&gt;35,N150+M151-V150,IF(A151&lt;'Données projet'!$A$36,$K$205^A151,IF(A151='Données projet'!$A$36,'Données projet'!$B$36,N150+M151-V150)))</f>
        <v>301.06666666666581</v>
      </c>
      <c r="O151" s="14">
        <f>N151*VLOOKUP('Données projet'!$B$9,Paramètres!$A$1:$I$89,3,0)*VLOOKUP('Données projet'!$B$9,Paramètres!$A$1:$I$89,5,0)</f>
        <v>272.40511999999921</v>
      </c>
      <c r="P151" s="14">
        <f t="shared" si="141"/>
        <v>65.35943270177107</v>
      </c>
      <c r="Q151" s="22">
        <f t="shared" si="108"/>
        <v>588.27326262224994</v>
      </c>
      <c r="R151" s="62">
        <f t="shared" si="109"/>
        <v>881.60659595558332</v>
      </c>
      <c r="S151" s="62">
        <f ca="1">AVERAGE(OFFSET($R$3,0,0,'Données projet'!$E$9+1,1))-AVERAGE(OFFSET($H$3,0,0,'Données projet'!$E$9+1,1))</f>
        <v>430.11660085503223</v>
      </c>
      <c r="T151" s="62">
        <f t="shared" si="142"/>
        <v>231.36959598460686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2.4666666666666668</v>
      </c>
      <c r="AI151" s="14">
        <f>IF('Données projet'!$A$62&gt;35,AI150+AH151-AQ150,IF(A151&lt;'Données projet'!$A$62,$AF$205^A151,IF(A151='Données projet'!$A$62,'Données projet'!$B$62,AI150+AH151-AQ150)))</f>
        <v>301.06666666666581</v>
      </c>
      <c r="AJ151" s="14">
        <f>AI151*VLOOKUP('Données projet'!$B$10,Paramètres!$A$1:$I$89,3,0)*VLOOKUP('Données projet'!$B$10,Paramètres!$A$1:$I$89,5,0)</f>
        <v>291.19167999999917</v>
      </c>
      <c r="AK151" s="14">
        <f t="shared" si="143"/>
        <v>69.326710818315618</v>
      </c>
      <c r="AL151" s="22">
        <f t="shared" si="112"/>
        <v>627.90286400856496</v>
      </c>
      <c r="AM151" s="62">
        <f t="shared" si="113"/>
        <v>921.23619734189833</v>
      </c>
      <c r="AN151" s="62">
        <f ca="1">AVERAGE(OFFSET($AM$3,0,0,'Données projet'!$E$10+1,1))-AVERAGE(OFFSET($H$3,0,0,'Données projet'!$E$10+1,1))</f>
        <v>456.86147223520601</v>
      </c>
      <c r="AO151" s="62">
        <f t="shared" si="144"/>
        <v>244.45149244446094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-1.1368683772161603E-13</v>
      </c>
      <c r="BE151" s="14">
        <f>BD151*VLOOKUP('Données projet'!$B$11,Paramètres!$A$1:$I$89,3,0)*VLOOKUP('Données projet'!$B$11,Paramètres!$A$1:$I$89,5,0)</f>
        <v>-6.7984728957526396E-14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215.43756133069593</v>
      </c>
      <c r="BJ151" s="62">
        <f t="shared" si="146"/>
        <v>363.02009369315243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10.684894135748952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1.0916350879211024E-14</v>
      </c>
      <c r="BS151" s="24">
        <f t="shared" si="117"/>
        <v>10.684894135748962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-6.8212102632969618E-13</v>
      </c>
      <c r="BZ151" s="14">
        <f>BY151*VLOOKUP('Données projet'!$B$12,Paramètres!$A$1:$I$89,3,0)*VLOOKUP('Données projet'!$B$12,Paramètres!$A$1:$I$89,5,0)</f>
        <v>-3.0149749363772573E-13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461.75392711528474</v>
      </c>
      <c r="CE151" s="62">
        <f t="shared" si="148"/>
        <v>441.67157957428236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>
        <f>CT151*VLOOKUP('Données projet'!$B$13,Paramètres!$A$1:$I$89,3,0)*VLOOKUP('Données projet'!$B$13,Paramètres!$A$1:$I$89,5,0)</f>
        <v>0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338.72479490324491</v>
      </c>
      <c r="CZ151" s="62">
        <f t="shared" si="150"/>
        <v>248.47107558211923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2.4666666666666668</v>
      </c>
      <c r="N152" s="14">
        <f>IF('Données projet'!$A$36&gt;35,N151+M152-V151,IF(A152&lt;'Données projet'!$A$36,$K$205^A152,IF(A152='Données projet'!$A$36,'Données projet'!$B$36,N151+M152-V151)))</f>
        <v>303.53333333333245</v>
      </c>
      <c r="O152" s="14">
        <f>N152*VLOOKUP('Données projet'!$B$9,Paramètres!$A$1:$I$89,3,0)*VLOOKUP('Données projet'!$B$9,Paramètres!$A$1:$I$89,5,0)</f>
        <v>274.63695999999919</v>
      </c>
      <c r="P152" s="14">
        <f t="shared" si="141"/>
        <v>65.83237184854913</v>
      </c>
      <c r="Q152" s="22">
        <f t="shared" si="108"/>
        <v>592.98408630288839</v>
      </c>
      <c r="R152" s="62">
        <f t="shared" si="109"/>
        <v>886.31741963622176</v>
      </c>
      <c r="S152" s="62">
        <f ca="1">AVERAGE(OFFSET($R$3,0,0,'Données projet'!$E$9+1,1))-AVERAGE(OFFSET($H$3,0,0,'Données projet'!$E$9+1,1))</f>
        <v>430.11660085503223</v>
      </c>
      <c r="T152" s="62">
        <f t="shared" si="142"/>
        <v>231.36959598460686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2.4666666666666668</v>
      </c>
      <c r="AI152" s="14">
        <f>IF('Données projet'!$A$62&gt;35,AI151+AH152-AQ151,IF(A152&lt;'Données projet'!$A$62,$AF$205^A152,IF(A152='Données projet'!$A$62,'Données projet'!$B$62,AI151+AH152-AQ151)))</f>
        <v>303.53333333333245</v>
      </c>
      <c r="AJ152" s="14">
        <f>AI152*VLOOKUP('Données projet'!$B$10,Paramètres!$A$1:$I$89,3,0)*VLOOKUP('Données projet'!$B$10,Paramètres!$A$1:$I$89,5,0)</f>
        <v>293.57743999999917</v>
      </c>
      <c r="AK152" s="14">
        <f t="shared" si="143"/>
        <v>69.828357085855131</v>
      </c>
      <c r="AL152" s="22">
        <f t="shared" si="112"/>
        <v>632.93176325786294</v>
      </c>
      <c r="AM152" s="62">
        <f t="shared" si="113"/>
        <v>926.2650965911962</v>
      </c>
      <c r="AN152" s="62">
        <f ca="1">AVERAGE(OFFSET($AM$3,0,0,'Données projet'!$E$10+1,1))-AVERAGE(OFFSET($H$3,0,0,'Données projet'!$E$10+1,1))</f>
        <v>456.86147223520601</v>
      </c>
      <c r="AO152" s="62">
        <f t="shared" si="144"/>
        <v>244.45149244446094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-1.1368683772161603E-13</v>
      </c>
      <c r="BE152" s="14">
        <f>BD152*VLOOKUP('Données projet'!$B$11,Paramètres!$A$1:$I$89,3,0)*VLOOKUP('Données projet'!$B$11,Paramètres!$A$1:$I$89,5,0)</f>
        <v>-6.7984728957526396E-14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215.43756133069593</v>
      </c>
      <c r="BJ152" s="62">
        <f t="shared" si="146"/>
        <v>363.02009369315243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10.475369878888824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7.719025732501845E-15</v>
      </c>
      <c r="BS152" s="24">
        <f t="shared" si="117"/>
        <v>10.475369878888831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-6.8212102632969618E-13</v>
      </c>
      <c r="BZ152" s="14">
        <f>BY152*VLOOKUP('Données projet'!$B$12,Paramètres!$A$1:$I$89,3,0)*VLOOKUP('Données projet'!$B$12,Paramètres!$A$1:$I$89,5,0)</f>
        <v>-3.0149749363772573E-13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461.75392711528474</v>
      </c>
      <c r="CE152" s="62">
        <f t="shared" si="148"/>
        <v>441.67157957428236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>
        <f>CT152*VLOOKUP('Données projet'!$B$13,Paramètres!$A$1:$I$89,3,0)*VLOOKUP('Données projet'!$B$13,Paramètres!$A$1:$I$89,5,0)</f>
        <v>0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338.72479490324491</v>
      </c>
      <c r="CZ152" s="62">
        <f t="shared" si="150"/>
        <v>248.47107558211923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306</v>
      </c>
      <c r="L153" s="13">
        <f>VLOOKUP(A153,'Données projet'!$A$35:$I$55,9,0)</f>
        <v>2.4666666666666668</v>
      </c>
      <c r="M153" s="13">
        <f t="array" ref="M153">INDEX(L:L,MIN(IF(ISNUMBER(L153:L349),ROW(L153:L349),"")))</f>
        <v>2.4666666666666668</v>
      </c>
      <c r="N153" s="14">
        <f>IF('Données projet'!$A$36&gt;35,N152+M153-V152,IF(A153&lt;'Données projet'!$A$36,$K$205^A153,IF(A153='Données projet'!$A$36,'Données projet'!$B$36,N152+M153-V152)))</f>
        <v>305.99999999999909</v>
      </c>
      <c r="O153" s="14">
        <f>N153*VLOOKUP('Données projet'!$B$9,Paramètres!$A$1:$I$89,3,0)*VLOOKUP('Données projet'!$B$9,Paramètres!$A$1:$I$89,5,0)</f>
        <v>276.86879999999917</v>
      </c>
      <c r="P153" s="14">
        <f t="shared" si="141"/>
        <v>66.304863836318546</v>
      </c>
      <c r="Q153" s="22">
        <f t="shared" si="108"/>
        <v>597.69413118158661</v>
      </c>
      <c r="R153" s="62">
        <f t="shared" si="109"/>
        <v>891.02746451491998</v>
      </c>
      <c r="S153" s="62">
        <f ca="1">AVERAGE(OFFSET($R$3,0,0,'Données projet'!$E$9+1,1))-AVERAGE(OFFSET($H$3,0,0,'Données projet'!$E$9+1,1))</f>
        <v>430.11660085503223</v>
      </c>
      <c r="T153" s="62">
        <f t="shared" si="142"/>
        <v>231.36959598460686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306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306</v>
      </c>
      <c r="AG153" s="13">
        <f>VLOOKUP(A153,'Données projet'!$A$61:$I$81,9,0)</f>
        <v>2.4666666666666668</v>
      </c>
      <c r="AH153" s="13">
        <f t="array" ref="AH153">INDEX(AG:AG,MIN(IF(ISNUMBER(AG153:AG349),ROW(AG153:AG349),"")))</f>
        <v>2.4666666666666668</v>
      </c>
      <c r="AI153" s="14">
        <f>IF('Données projet'!$A$62&gt;35,AI152+AH153-AQ152,IF(A153&lt;'Données projet'!$A$62,$AF$205^A153,IF(A153='Données projet'!$A$62,'Données projet'!$B$62,AI152+AH153-AQ152)))</f>
        <v>305.99999999999909</v>
      </c>
      <c r="AJ153" s="14">
        <f>AI153*VLOOKUP('Données projet'!$B$10,Paramètres!$A$1:$I$89,3,0)*VLOOKUP('Données projet'!$B$10,Paramètres!$A$1:$I$89,5,0)</f>
        <v>295.96319999999912</v>
      </c>
      <c r="AK153" s="14">
        <f t="shared" si="143"/>
        <v>70.329529052104064</v>
      </c>
      <c r="AL153" s="22">
        <f t="shared" si="112"/>
        <v>637.959836432413</v>
      </c>
      <c r="AM153" s="62">
        <f t="shared" si="113"/>
        <v>931.29316976574637</v>
      </c>
      <c r="AN153" s="62">
        <f ca="1">AVERAGE(OFFSET($AM$3,0,0,'Données projet'!$E$10+1,1))-AVERAGE(OFFSET($H$3,0,0,'Données projet'!$E$10+1,1))</f>
        <v>456.86147223520601</v>
      </c>
      <c r="AO153" s="62">
        <f t="shared" si="144"/>
        <v>244.45149244446094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306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-1.1368683772161603E-13</v>
      </c>
      <c r="BE153" s="14">
        <f>BD153*VLOOKUP('Données projet'!$B$11,Paramètres!$A$1:$I$89,3,0)*VLOOKUP('Données projet'!$B$11,Paramètres!$A$1:$I$89,5,0)</f>
        <v>-6.7984728957526396E-14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215.43756133069593</v>
      </c>
      <c r="BJ153" s="62">
        <f t="shared" si="146"/>
        <v>363.02009369315243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10.269954264908545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5.4581754396055119E-15</v>
      </c>
      <c r="BS153" s="24">
        <f t="shared" si="117"/>
        <v>10.26995426490855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-6.8212102632969618E-13</v>
      </c>
      <c r="BZ153" s="14">
        <f>BY153*VLOOKUP('Données projet'!$B$12,Paramètres!$A$1:$I$89,3,0)*VLOOKUP('Données projet'!$B$12,Paramètres!$A$1:$I$89,5,0)</f>
        <v>-3.0149749363772573E-13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461.75392711528474</v>
      </c>
      <c r="CE153" s="62">
        <f t="shared" si="148"/>
        <v>441.67157957428236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>
        <f>CT153*VLOOKUP('Données projet'!$B$13,Paramètres!$A$1:$I$89,3,0)*VLOOKUP('Données projet'!$B$13,Paramètres!$A$1:$I$89,5,0)</f>
        <v>0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338.72479490324491</v>
      </c>
      <c r="CZ153" s="62">
        <f t="shared" si="150"/>
        <v>248.47107558211923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-9.0949470177292824E-13</v>
      </c>
      <c r="O154" s="14">
        <f>N154*VLOOKUP('Données projet'!$B$9,Paramètres!$A$1:$I$89,3,0)*VLOOKUP('Données projet'!$B$9,Paramètres!$A$1:$I$89,5,0)</f>
        <v>-8.2291080616414541E-13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430.11660085503223</v>
      </c>
      <c r="T154" s="62">
        <f t="shared" si="142"/>
        <v>231.36959598460686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-9.0949470177292824E-13</v>
      </c>
      <c r="AJ154" s="14">
        <f>AI154*VLOOKUP('Données projet'!$B$10,Paramètres!$A$1:$I$89,3,0)*VLOOKUP('Données projet'!$B$10,Paramètres!$A$1:$I$89,5,0)</f>
        <v>-8.7966327555477625E-13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456.86147223520601</v>
      </c>
      <c r="AO154" s="62">
        <f t="shared" si="144"/>
        <v>244.45149244446094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-1.1368683772161603E-13</v>
      </c>
      <c r="BE154" s="14">
        <f>BD154*VLOOKUP('Données projet'!$B$11,Paramètres!$A$1:$I$89,3,0)*VLOOKUP('Données projet'!$B$11,Paramètres!$A$1:$I$89,5,0)</f>
        <v>-6.7984728957526396E-14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215.43756133069593</v>
      </c>
      <c r="BJ154" s="62">
        <f t="shared" si="146"/>
        <v>363.02009369315243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10.068566725827266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3.8595128662509225E-15</v>
      </c>
      <c r="BS154" s="24">
        <f t="shared" ref="BS154:BS203" si="169">SUM(BP154:BR154)</f>
        <v>10.068566725827269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-6.8212102632969618E-13</v>
      </c>
      <c r="BZ154" s="14">
        <f>BY154*VLOOKUP('Données projet'!$B$12,Paramètres!$A$1:$I$89,3,0)*VLOOKUP('Données projet'!$B$12,Paramètres!$A$1:$I$89,5,0)</f>
        <v>-3.0149749363772573E-13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461.75392711528474</v>
      </c>
      <c r="CE154" s="62">
        <f t="shared" si="148"/>
        <v>441.67157957428236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>
        <f>CT154*VLOOKUP('Données projet'!$B$13,Paramètres!$A$1:$I$89,3,0)*VLOOKUP('Données projet'!$B$13,Paramètres!$A$1:$I$89,5,0)</f>
        <v>0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338.72479490324491</v>
      </c>
      <c r="CZ154" s="62">
        <f t="shared" si="150"/>
        <v>248.47107558211923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-9.0949470177292824E-13</v>
      </c>
      <c r="O155" s="14">
        <f>N155*VLOOKUP('Données projet'!$B$9,Paramètres!$A$1:$I$89,3,0)*VLOOKUP('Données projet'!$B$9,Paramètres!$A$1:$I$89,5,0)</f>
        <v>-8.2291080616414541E-13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430.11660085503223</v>
      </c>
      <c r="T155" s="62">
        <f t="shared" si="142"/>
        <v>231.36959598460686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-9.0949470177292824E-13</v>
      </c>
      <c r="AJ155" s="14">
        <f>AI155*VLOOKUP('Données projet'!$B$10,Paramètres!$A$1:$I$89,3,0)*VLOOKUP('Données projet'!$B$10,Paramètres!$A$1:$I$89,5,0)</f>
        <v>-8.7966327555477625E-13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456.86147223520601</v>
      </c>
      <c r="AO155" s="62">
        <f t="shared" si="144"/>
        <v>244.45149244446094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-1.1368683772161603E-13</v>
      </c>
      <c r="BE155" s="14">
        <f>BD155*VLOOKUP('Données projet'!$B$11,Paramètres!$A$1:$I$89,3,0)*VLOOKUP('Données projet'!$B$11,Paramètres!$A$1:$I$89,5,0)</f>
        <v>-6.7984728957526396E-14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215.43756133069593</v>
      </c>
      <c r="BJ155" s="62">
        <f t="shared" si="146"/>
        <v>363.02009369315243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9.8711282735531007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2.7290877198027559E-15</v>
      </c>
      <c r="BS155" s="24">
        <f t="shared" si="169"/>
        <v>9.8711282735531043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-6.8212102632969618E-13</v>
      </c>
      <c r="BZ155" s="14">
        <f>BY155*VLOOKUP('Données projet'!$B$12,Paramètres!$A$1:$I$89,3,0)*VLOOKUP('Données projet'!$B$12,Paramètres!$A$1:$I$89,5,0)</f>
        <v>-3.0149749363772573E-13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461.75392711528474</v>
      </c>
      <c r="CE155" s="62">
        <f t="shared" si="148"/>
        <v>441.67157957428236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>
        <f>CT155*VLOOKUP('Données projet'!$B$13,Paramètres!$A$1:$I$89,3,0)*VLOOKUP('Données projet'!$B$13,Paramètres!$A$1:$I$89,5,0)</f>
        <v>0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338.72479490324491</v>
      </c>
      <c r="CZ155" s="62">
        <f t="shared" si="150"/>
        <v>248.47107558211923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-9.0949470177292824E-13</v>
      </c>
      <c r="O156" s="14">
        <f>N156*VLOOKUP('Données projet'!$B$9,Paramètres!$A$1:$I$89,3,0)*VLOOKUP('Données projet'!$B$9,Paramètres!$A$1:$I$89,5,0)</f>
        <v>-8.2291080616414541E-13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430.11660085503223</v>
      </c>
      <c r="T156" s="62">
        <f t="shared" si="142"/>
        <v>231.36959598460686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-9.0949470177292824E-13</v>
      </c>
      <c r="AJ156" s="14">
        <f>AI156*VLOOKUP('Données projet'!$B$10,Paramètres!$A$1:$I$89,3,0)*VLOOKUP('Données projet'!$B$10,Paramètres!$A$1:$I$89,5,0)</f>
        <v>-8.7966327555477625E-13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456.86147223520601</v>
      </c>
      <c r="AO156" s="62">
        <f t="shared" si="144"/>
        <v>244.45149244446094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-1.1368683772161603E-13</v>
      </c>
      <c r="BE156" s="14">
        <f>BD156*VLOOKUP('Données projet'!$B$11,Paramètres!$A$1:$I$89,3,0)*VLOOKUP('Données projet'!$B$11,Paramètres!$A$1:$I$89,5,0)</f>
        <v>-6.7984728957526396E-14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215.43756133069593</v>
      </c>
      <c r="BJ156" s="62">
        <f t="shared" si="146"/>
        <v>363.02009369315243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9.6775614689024678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1.9297564331254613E-15</v>
      </c>
      <c r="BS156" s="24">
        <f t="shared" si="169"/>
        <v>9.6775614689024696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-6.8212102632969618E-13</v>
      </c>
      <c r="BZ156" s="14">
        <f>BY156*VLOOKUP('Données projet'!$B$12,Paramètres!$A$1:$I$89,3,0)*VLOOKUP('Données projet'!$B$12,Paramètres!$A$1:$I$89,5,0)</f>
        <v>-3.0149749363772573E-13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461.75392711528474</v>
      </c>
      <c r="CE156" s="62">
        <f t="shared" si="148"/>
        <v>441.67157957428236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>
        <f>CT156*VLOOKUP('Données projet'!$B$13,Paramètres!$A$1:$I$89,3,0)*VLOOKUP('Données projet'!$B$13,Paramètres!$A$1:$I$89,5,0)</f>
        <v>0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338.72479490324491</v>
      </c>
      <c r="CZ156" s="62">
        <f t="shared" si="150"/>
        <v>248.47107558211923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-9.0949470177292824E-13</v>
      </c>
      <c r="O157" s="14">
        <f>N157*VLOOKUP('Données projet'!$B$9,Paramètres!$A$1:$I$89,3,0)*VLOOKUP('Données projet'!$B$9,Paramètres!$A$1:$I$89,5,0)</f>
        <v>-8.2291080616414541E-13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430.11660085503223</v>
      </c>
      <c r="T157" s="62">
        <f t="shared" si="142"/>
        <v>231.36959598460686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-9.0949470177292824E-13</v>
      </c>
      <c r="AJ157" s="14">
        <f>AI157*VLOOKUP('Données projet'!$B$10,Paramètres!$A$1:$I$89,3,0)*VLOOKUP('Données projet'!$B$10,Paramètres!$A$1:$I$89,5,0)</f>
        <v>-8.7966327555477625E-13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456.86147223520601</v>
      </c>
      <c r="AO157" s="62">
        <f t="shared" si="144"/>
        <v>244.45149244446094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-1.1368683772161603E-13</v>
      </c>
      <c r="BE157" s="14">
        <f>BD157*VLOOKUP('Données projet'!$B$11,Paramètres!$A$1:$I$89,3,0)*VLOOKUP('Données projet'!$B$11,Paramètres!$A$1:$I$89,5,0)</f>
        <v>-6.7984728957526396E-14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215.43756133069593</v>
      </c>
      <c r="BJ157" s="62">
        <f t="shared" si="146"/>
        <v>363.02009369315243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9.487790391226941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1.364543859901378E-15</v>
      </c>
      <c r="BS157" s="24">
        <f t="shared" si="169"/>
        <v>9.4877903912269428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-6.8212102632969618E-13</v>
      </c>
      <c r="BZ157" s="14">
        <f>BY157*VLOOKUP('Données projet'!$B$12,Paramètres!$A$1:$I$89,3,0)*VLOOKUP('Données projet'!$B$12,Paramètres!$A$1:$I$89,5,0)</f>
        <v>-3.0149749363772573E-13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461.75392711528474</v>
      </c>
      <c r="CE157" s="62">
        <f t="shared" si="148"/>
        <v>441.67157957428236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>
        <f>CT157*VLOOKUP('Données projet'!$B$13,Paramètres!$A$1:$I$89,3,0)*VLOOKUP('Données projet'!$B$13,Paramètres!$A$1:$I$89,5,0)</f>
        <v>0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338.72479490324491</v>
      </c>
      <c r="CZ157" s="62">
        <f t="shared" si="150"/>
        <v>248.47107558211923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-9.0949470177292824E-13</v>
      </c>
      <c r="O158" s="14">
        <f>N158*VLOOKUP('Données projet'!$B$9,Paramètres!$A$1:$I$89,3,0)*VLOOKUP('Données projet'!$B$9,Paramètres!$A$1:$I$89,5,0)</f>
        <v>-8.2291080616414541E-13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430.11660085503223</v>
      </c>
      <c r="T158" s="62">
        <f t="shared" si="142"/>
        <v>231.36959598460686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-9.0949470177292824E-13</v>
      </c>
      <c r="AJ158" s="14">
        <f>AI158*VLOOKUP('Données projet'!$B$10,Paramètres!$A$1:$I$89,3,0)*VLOOKUP('Données projet'!$B$10,Paramètres!$A$1:$I$89,5,0)</f>
        <v>-8.7966327555477625E-13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456.86147223520601</v>
      </c>
      <c r="AO158" s="62">
        <f t="shared" si="144"/>
        <v>244.45149244446094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-1.1368683772161603E-13</v>
      </c>
      <c r="BE158" s="14">
        <f>BD158*VLOOKUP('Données projet'!$B$11,Paramètres!$A$1:$I$89,3,0)*VLOOKUP('Données projet'!$B$11,Paramètres!$A$1:$I$89,5,0)</f>
        <v>-6.7984728957526396E-14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215.43756133069593</v>
      </c>
      <c r="BJ158" s="62">
        <f t="shared" si="146"/>
        <v>363.02009369315243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9.3017406086357024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9.6487821656273063E-16</v>
      </c>
      <c r="BS158" s="24">
        <f t="shared" si="169"/>
        <v>9.3017406086357042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-6.8212102632969618E-13</v>
      </c>
      <c r="BZ158" s="14">
        <f>BY158*VLOOKUP('Données projet'!$B$12,Paramètres!$A$1:$I$89,3,0)*VLOOKUP('Données projet'!$B$12,Paramètres!$A$1:$I$89,5,0)</f>
        <v>-3.0149749363772573E-13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461.75392711528474</v>
      </c>
      <c r="CE158" s="62">
        <f t="shared" si="148"/>
        <v>441.67157957428236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>
        <f>CT158*VLOOKUP('Données projet'!$B$13,Paramètres!$A$1:$I$89,3,0)*VLOOKUP('Données projet'!$B$13,Paramètres!$A$1:$I$89,5,0)</f>
        <v>0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338.72479490324491</v>
      </c>
      <c r="CZ158" s="62">
        <f t="shared" si="150"/>
        <v>248.47107558211923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-9.0949470177292824E-13</v>
      </c>
      <c r="O159" s="14">
        <f>N159*VLOOKUP('Données projet'!$B$9,Paramètres!$A$1:$I$89,3,0)*VLOOKUP('Données projet'!$B$9,Paramètres!$A$1:$I$89,5,0)</f>
        <v>-8.2291080616414541E-13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430.11660085503223</v>
      </c>
      <c r="T159" s="62">
        <f t="shared" si="142"/>
        <v>231.36959598460686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-9.0949470177292824E-13</v>
      </c>
      <c r="AJ159" s="14">
        <f>AI159*VLOOKUP('Données projet'!$B$10,Paramètres!$A$1:$I$89,3,0)*VLOOKUP('Données projet'!$B$10,Paramètres!$A$1:$I$89,5,0)</f>
        <v>-8.7966327555477625E-13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456.86147223520601</v>
      </c>
      <c r="AO159" s="62">
        <f t="shared" si="144"/>
        <v>244.45149244446094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-1.1368683772161603E-13</v>
      </c>
      <c r="BE159" s="14">
        <f>BD159*VLOOKUP('Données projet'!$B$11,Paramètres!$A$1:$I$89,3,0)*VLOOKUP('Données projet'!$B$11,Paramètres!$A$1:$I$89,5,0)</f>
        <v>-6.7984728957526396E-14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215.43756133069593</v>
      </c>
      <c r="BJ159" s="62">
        <f t="shared" si="146"/>
        <v>363.02009369315243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9.1193391488019167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6.8227192995068898E-16</v>
      </c>
      <c r="BS159" s="24">
        <f t="shared" si="169"/>
        <v>9.1193391488019167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-6.8212102632969618E-13</v>
      </c>
      <c r="BZ159" s="14">
        <f>BY159*VLOOKUP('Données projet'!$B$12,Paramètres!$A$1:$I$89,3,0)*VLOOKUP('Données projet'!$B$12,Paramètres!$A$1:$I$89,5,0)</f>
        <v>-3.0149749363772573E-13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461.75392711528474</v>
      </c>
      <c r="CE159" s="62">
        <f t="shared" si="148"/>
        <v>441.67157957428236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>
        <f>CT159*VLOOKUP('Données projet'!$B$13,Paramètres!$A$1:$I$89,3,0)*VLOOKUP('Données projet'!$B$13,Paramètres!$A$1:$I$89,5,0)</f>
        <v>0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338.72479490324491</v>
      </c>
      <c r="CZ159" s="62">
        <f t="shared" si="150"/>
        <v>248.47107558211923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-9.0949470177292824E-13</v>
      </c>
      <c r="O160" s="14">
        <f>N160*VLOOKUP('Données projet'!$B$9,Paramètres!$A$1:$I$89,3,0)*VLOOKUP('Données projet'!$B$9,Paramètres!$A$1:$I$89,5,0)</f>
        <v>-8.2291080616414541E-13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430.11660085503223</v>
      </c>
      <c r="T160" s="62">
        <f t="shared" si="142"/>
        <v>231.36959598460686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-9.0949470177292824E-13</v>
      </c>
      <c r="AJ160" s="14">
        <f>AI160*VLOOKUP('Données projet'!$B$10,Paramètres!$A$1:$I$89,3,0)*VLOOKUP('Données projet'!$B$10,Paramètres!$A$1:$I$89,5,0)</f>
        <v>-8.7966327555477625E-13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456.86147223520601</v>
      </c>
      <c r="AO160" s="62">
        <f t="shared" si="144"/>
        <v>244.45149244446094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-1.1368683772161603E-13</v>
      </c>
      <c r="BE160" s="14">
        <f>BD160*VLOOKUP('Données projet'!$B$11,Paramètres!$A$1:$I$89,3,0)*VLOOKUP('Données projet'!$B$11,Paramètres!$A$1:$I$89,5,0)</f>
        <v>-6.7984728957526396E-14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215.43756133069593</v>
      </c>
      <c r="BJ160" s="62">
        <f t="shared" si="146"/>
        <v>363.02009369315243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8.9405144703415651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4.8243910828136532E-16</v>
      </c>
      <c r="BS160" s="24">
        <f t="shared" si="169"/>
        <v>8.9405144703415651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-6.8212102632969618E-13</v>
      </c>
      <c r="BZ160" s="14">
        <f>BY160*VLOOKUP('Données projet'!$B$12,Paramètres!$A$1:$I$89,3,0)*VLOOKUP('Données projet'!$B$12,Paramètres!$A$1:$I$89,5,0)</f>
        <v>-3.0149749363772573E-13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461.75392711528474</v>
      </c>
      <c r="CE160" s="62">
        <f t="shared" si="148"/>
        <v>441.67157957428236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>
        <f>CT160*VLOOKUP('Données projet'!$B$13,Paramètres!$A$1:$I$89,3,0)*VLOOKUP('Données projet'!$B$13,Paramètres!$A$1:$I$89,5,0)</f>
        <v>0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338.72479490324491</v>
      </c>
      <c r="CZ160" s="62">
        <f t="shared" si="150"/>
        <v>248.47107558211923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-9.0949470177292824E-13</v>
      </c>
      <c r="O161" s="14">
        <f>N161*VLOOKUP('Données projet'!$B$9,Paramètres!$A$1:$I$89,3,0)*VLOOKUP('Données projet'!$B$9,Paramètres!$A$1:$I$89,5,0)</f>
        <v>-8.2291080616414541E-13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430.11660085503223</v>
      </c>
      <c r="T161" s="62">
        <f t="shared" si="142"/>
        <v>231.36959598460686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-9.0949470177292824E-13</v>
      </c>
      <c r="AJ161" s="14">
        <f>AI161*VLOOKUP('Données projet'!$B$10,Paramètres!$A$1:$I$89,3,0)*VLOOKUP('Données projet'!$B$10,Paramètres!$A$1:$I$89,5,0)</f>
        <v>-8.7966327555477625E-13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456.86147223520601</v>
      </c>
      <c r="AO161" s="62">
        <f t="shared" si="144"/>
        <v>244.45149244446094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-1.1368683772161603E-13</v>
      </c>
      <c r="BE161" s="14">
        <f>BD161*VLOOKUP('Données projet'!$B$11,Paramètres!$A$1:$I$89,3,0)*VLOOKUP('Données projet'!$B$11,Paramètres!$A$1:$I$89,5,0)</f>
        <v>-6.7984728957526396E-14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215.43756133069593</v>
      </c>
      <c r="BJ161" s="62">
        <f t="shared" si="146"/>
        <v>363.02009369315243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8.7651964347535376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3.4113596497534449E-16</v>
      </c>
      <c r="BS161" s="24">
        <f t="shared" si="169"/>
        <v>8.7651964347535376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-6.8212102632969618E-13</v>
      </c>
      <c r="BZ161" s="14">
        <f>BY161*VLOOKUP('Données projet'!$B$12,Paramètres!$A$1:$I$89,3,0)*VLOOKUP('Données projet'!$B$12,Paramètres!$A$1:$I$89,5,0)</f>
        <v>-3.0149749363772573E-13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461.75392711528474</v>
      </c>
      <c r="CE161" s="62">
        <f t="shared" si="148"/>
        <v>441.67157957428236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>
        <f>CT161*VLOOKUP('Données projet'!$B$13,Paramètres!$A$1:$I$89,3,0)*VLOOKUP('Données projet'!$B$13,Paramètres!$A$1:$I$89,5,0)</f>
        <v>0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338.72479490324491</v>
      </c>
      <c r="CZ161" s="62">
        <f t="shared" si="150"/>
        <v>248.47107558211923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-9.0949470177292824E-13</v>
      </c>
      <c r="O162" s="14">
        <f>N162*VLOOKUP('Données projet'!$B$9,Paramètres!$A$1:$I$89,3,0)*VLOOKUP('Données projet'!$B$9,Paramètres!$A$1:$I$89,5,0)</f>
        <v>-8.2291080616414541E-13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430.11660085503223</v>
      </c>
      <c r="T162" s="62">
        <f t="shared" si="142"/>
        <v>231.36959598460686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-9.0949470177292824E-13</v>
      </c>
      <c r="AJ162" s="14">
        <f>AI162*VLOOKUP('Données projet'!$B$10,Paramètres!$A$1:$I$89,3,0)*VLOOKUP('Données projet'!$B$10,Paramètres!$A$1:$I$89,5,0)</f>
        <v>-8.7966327555477625E-13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456.86147223520601</v>
      </c>
      <c r="AO162" s="62">
        <f t="shared" si="144"/>
        <v>244.45149244446094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-1.1368683772161603E-13</v>
      </c>
      <c r="BE162" s="14">
        <f>BD162*VLOOKUP('Données projet'!$B$11,Paramètres!$A$1:$I$89,3,0)*VLOOKUP('Données projet'!$B$11,Paramètres!$A$1:$I$89,5,0)</f>
        <v>-6.7984728957526396E-14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215.43756133069593</v>
      </c>
      <c r="BJ162" s="62">
        <f t="shared" si="146"/>
        <v>363.02009369315243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8.5933162789099491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2.4121955414068266E-16</v>
      </c>
      <c r="BS162" s="24">
        <f t="shared" si="169"/>
        <v>8.5933162789099491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-6.8212102632969618E-13</v>
      </c>
      <c r="BZ162" s="14">
        <f>BY162*VLOOKUP('Données projet'!$B$12,Paramètres!$A$1:$I$89,3,0)*VLOOKUP('Données projet'!$B$12,Paramètres!$A$1:$I$89,5,0)</f>
        <v>-3.0149749363772573E-13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461.75392711528474</v>
      </c>
      <c r="CE162" s="62">
        <f t="shared" si="148"/>
        <v>441.67157957428236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>
        <f>CT162*VLOOKUP('Données projet'!$B$13,Paramètres!$A$1:$I$89,3,0)*VLOOKUP('Données projet'!$B$13,Paramètres!$A$1:$I$89,5,0)</f>
        <v>0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338.72479490324491</v>
      </c>
      <c r="CZ162" s="62">
        <f t="shared" si="150"/>
        <v>248.47107558211923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-9.0949470177292824E-13</v>
      </c>
      <c r="O163" s="14">
        <f>N163*VLOOKUP('Données projet'!$B$9,Paramètres!$A$1:$I$89,3,0)*VLOOKUP('Données projet'!$B$9,Paramètres!$A$1:$I$89,5,0)</f>
        <v>-8.2291080616414541E-13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430.11660085503223</v>
      </c>
      <c r="T163" s="62">
        <f t="shared" si="142"/>
        <v>231.36959598460686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-9.0949470177292824E-13</v>
      </c>
      <c r="AJ163" s="14">
        <f>AI163*VLOOKUP('Données projet'!$B$10,Paramètres!$A$1:$I$89,3,0)*VLOOKUP('Données projet'!$B$10,Paramètres!$A$1:$I$89,5,0)</f>
        <v>-8.7966327555477625E-13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456.86147223520601</v>
      </c>
      <c r="AO163" s="62">
        <f t="shared" si="144"/>
        <v>244.45149244446094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-1.1368683772161603E-13</v>
      </c>
      <c r="BE163" s="14">
        <f>BD163*VLOOKUP('Données projet'!$B$11,Paramètres!$A$1:$I$89,3,0)*VLOOKUP('Données projet'!$B$11,Paramètres!$A$1:$I$89,5,0)</f>
        <v>-6.7984728957526396E-14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215.43756133069593</v>
      </c>
      <c r="BJ163" s="62">
        <f t="shared" si="146"/>
        <v>363.02009369315243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8.4248065880859091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1.7056798248767225E-16</v>
      </c>
      <c r="BS163" s="24">
        <f t="shared" si="169"/>
        <v>8.4248065880859091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-6.8212102632969618E-13</v>
      </c>
      <c r="BZ163" s="14">
        <f>BY163*VLOOKUP('Données projet'!$B$12,Paramètres!$A$1:$I$89,3,0)*VLOOKUP('Données projet'!$B$12,Paramètres!$A$1:$I$89,5,0)</f>
        <v>-3.0149749363772573E-13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461.75392711528474</v>
      </c>
      <c r="CE163" s="62">
        <f t="shared" si="148"/>
        <v>441.67157957428236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>
        <f>CT163*VLOOKUP('Données projet'!$B$13,Paramètres!$A$1:$I$89,3,0)*VLOOKUP('Données projet'!$B$13,Paramètres!$A$1:$I$89,5,0)</f>
        <v>0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338.72479490324491</v>
      </c>
      <c r="CZ163" s="62">
        <f t="shared" si="150"/>
        <v>248.47107558211923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-9.0949470177292824E-13</v>
      </c>
      <c r="O164" s="14">
        <f>N164*VLOOKUP('Données projet'!$B$9,Paramètres!$A$1:$I$89,3,0)*VLOOKUP('Données projet'!$B$9,Paramètres!$A$1:$I$89,5,0)</f>
        <v>-8.2291080616414541E-13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430.11660085503223</v>
      </c>
      <c r="T164" s="62">
        <f t="shared" si="142"/>
        <v>231.36959598460686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-9.0949470177292824E-13</v>
      </c>
      <c r="AJ164" s="14">
        <f>AI164*VLOOKUP('Données projet'!$B$10,Paramètres!$A$1:$I$89,3,0)*VLOOKUP('Données projet'!$B$10,Paramètres!$A$1:$I$89,5,0)</f>
        <v>-8.7966327555477625E-13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456.86147223520601</v>
      </c>
      <c r="AO164" s="62">
        <f t="shared" si="144"/>
        <v>244.45149244446094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-1.1368683772161603E-13</v>
      </c>
      <c r="BE164" s="14">
        <f>BD164*VLOOKUP('Données projet'!$B$11,Paramètres!$A$1:$I$89,3,0)*VLOOKUP('Données projet'!$B$11,Paramètres!$A$1:$I$89,5,0)</f>
        <v>-6.7984728957526396E-14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215.43756133069593</v>
      </c>
      <c r="BJ164" s="62">
        <f t="shared" si="146"/>
        <v>363.02009369315243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8.259601269518166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1.2060977707034133E-16</v>
      </c>
      <c r="BS164" s="24">
        <f t="shared" si="169"/>
        <v>8.259601269518166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-6.8212102632969618E-13</v>
      </c>
      <c r="BZ164" s="14">
        <f>BY164*VLOOKUP('Données projet'!$B$12,Paramètres!$A$1:$I$89,3,0)*VLOOKUP('Données projet'!$B$12,Paramètres!$A$1:$I$89,5,0)</f>
        <v>-3.0149749363772573E-13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461.75392711528474</v>
      </c>
      <c r="CE164" s="62">
        <f t="shared" si="148"/>
        <v>441.67157957428236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>
        <f>CT164*VLOOKUP('Données projet'!$B$13,Paramètres!$A$1:$I$89,3,0)*VLOOKUP('Données projet'!$B$13,Paramètres!$A$1:$I$89,5,0)</f>
        <v>0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338.72479490324491</v>
      </c>
      <c r="CZ164" s="62">
        <f t="shared" si="150"/>
        <v>248.47107558211923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-9.0949470177292824E-13</v>
      </c>
      <c r="O165" s="14">
        <f>N165*VLOOKUP('Données projet'!$B$9,Paramètres!$A$1:$I$89,3,0)*VLOOKUP('Données projet'!$B$9,Paramètres!$A$1:$I$89,5,0)</f>
        <v>-8.2291080616414541E-13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430.11660085503223</v>
      </c>
      <c r="T165" s="62">
        <f t="shared" si="142"/>
        <v>231.36959598460686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-9.0949470177292824E-13</v>
      </c>
      <c r="AJ165" s="14">
        <f>AI165*VLOOKUP('Données projet'!$B$10,Paramètres!$A$1:$I$89,3,0)*VLOOKUP('Données projet'!$B$10,Paramètres!$A$1:$I$89,5,0)</f>
        <v>-8.7966327555477625E-13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456.86147223520601</v>
      </c>
      <c r="AO165" s="62">
        <f t="shared" si="144"/>
        <v>244.45149244446094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-1.1368683772161603E-13</v>
      </c>
      <c r="BE165" s="14">
        <f>BD165*VLOOKUP('Données projet'!$B$11,Paramètres!$A$1:$I$89,3,0)*VLOOKUP('Données projet'!$B$11,Paramètres!$A$1:$I$89,5,0)</f>
        <v>-6.7984728957526396E-14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215.43756133069593</v>
      </c>
      <c r="BJ165" s="62">
        <f t="shared" si="146"/>
        <v>363.02009369315243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8.0976355264822413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8.5283991243836123E-17</v>
      </c>
      <c r="BS165" s="24">
        <f t="shared" si="169"/>
        <v>8.0976355264822413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-6.8212102632969618E-13</v>
      </c>
      <c r="BZ165" s="14">
        <f>BY165*VLOOKUP('Données projet'!$B$12,Paramètres!$A$1:$I$89,3,0)*VLOOKUP('Données projet'!$B$12,Paramètres!$A$1:$I$89,5,0)</f>
        <v>-3.0149749363772573E-13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461.75392711528474</v>
      </c>
      <c r="CE165" s="62">
        <f t="shared" si="148"/>
        <v>441.67157957428236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>
        <f>CT165*VLOOKUP('Données projet'!$B$13,Paramètres!$A$1:$I$89,3,0)*VLOOKUP('Données projet'!$B$13,Paramètres!$A$1:$I$89,5,0)</f>
        <v>0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338.72479490324491</v>
      </c>
      <c r="CZ165" s="62">
        <f t="shared" si="150"/>
        <v>248.47107558211923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-9.0949470177292824E-13</v>
      </c>
      <c r="O166" s="14">
        <f>N166*VLOOKUP('Données projet'!$B$9,Paramètres!$A$1:$I$89,3,0)*VLOOKUP('Données projet'!$B$9,Paramètres!$A$1:$I$89,5,0)</f>
        <v>-8.2291080616414541E-13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430.11660085503223</v>
      </c>
      <c r="T166" s="62">
        <f t="shared" si="142"/>
        <v>231.36959598460686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-9.0949470177292824E-13</v>
      </c>
      <c r="AJ166" s="14">
        <f>AI166*VLOOKUP('Données projet'!$B$10,Paramètres!$A$1:$I$89,3,0)*VLOOKUP('Données projet'!$B$10,Paramètres!$A$1:$I$89,5,0)</f>
        <v>-8.7966327555477625E-13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456.86147223520601</v>
      </c>
      <c r="AO166" s="62">
        <f t="shared" si="144"/>
        <v>244.45149244446094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-1.1368683772161603E-13</v>
      </c>
      <c r="BE166" s="14">
        <f>BD166*VLOOKUP('Données projet'!$B$11,Paramètres!$A$1:$I$89,3,0)*VLOOKUP('Données projet'!$B$11,Paramètres!$A$1:$I$89,5,0)</f>
        <v>-6.7984728957526396E-14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215.43756133069593</v>
      </c>
      <c r="BJ166" s="62">
        <f t="shared" si="146"/>
        <v>363.02009369315243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7.9388458328779032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6.0304888535170664E-17</v>
      </c>
      <c r="BS166" s="24">
        <f t="shared" si="169"/>
        <v>7.9388458328779032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-6.8212102632969618E-13</v>
      </c>
      <c r="BZ166" s="14">
        <f>BY166*VLOOKUP('Données projet'!$B$12,Paramètres!$A$1:$I$89,3,0)*VLOOKUP('Données projet'!$B$12,Paramètres!$A$1:$I$89,5,0)</f>
        <v>-3.0149749363772573E-13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461.75392711528474</v>
      </c>
      <c r="CE166" s="62">
        <f t="shared" si="148"/>
        <v>441.67157957428236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>
        <f>CT166*VLOOKUP('Données projet'!$B$13,Paramètres!$A$1:$I$89,3,0)*VLOOKUP('Données projet'!$B$13,Paramètres!$A$1:$I$89,5,0)</f>
        <v>0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338.72479490324491</v>
      </c>
      <c r="CZ166" s="62">
        <f t="shared" si="150"/>
        <v>248.47107558211923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-9.0949470177292824E-13</v>
      </c>
      <c r="O167" s="14">
        <f>N167*VLOOKUP('Données projet'!$B$9,Paramètres!$A$1:$I$89,3,0)*VLOOKUP('Données projet'!$B$9,Paramètres!$A$1:$I$89,5,0)</f>
        <v>-8.2291080616414541E-13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430.11660085503223</v>
      </c>
      <c r="T167" s="62">
        <f t="shared" si="142"/>
        <v>231.36959598460686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-9.0949470177292824E-13</v>
      </c>
      <c r="AJ167" s="14">
        <f>AI167*VLOOKUP('Données projet'!$B$10,Paramètres!$A$1:$I$89,3,0)*VLOOKUP('Données projet'!$B$10,Paramètres!$A$1:$I$89,5,0)</f>
        <v>-8.7966327555477625E-13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456.86147223520601</v>
      </c>
      <c r="AO167" s="62">
        <f t="shared" si="144"/>
        <v>244.45149244446094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-1.1368683772161603E-13</v>
      </c>
      <c r="BE167" s="14">
        <f>BD167*VLOOKUP('Données projet'!$B$11,Paramètres!$A$1:$I$89,3,0)*VLOOKUP('Données projet'!$B$11,Paramètres!$A$1:$I$89,5,0)</f>
        <v>-6.7984728957526396E-14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215.43756133069593</v>
      </c>
      <c r="BJ167" s="62">
        <f t="shared" si="146"/>
        <v>363.02009369315243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7.7831699083129964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4.2641995621918061E-17</v>
      </c>
      <c r="BS167" s="24">
        <f t="shared" si="169"/>
        <v>7.7831699083129964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-6.8212102632969618E-13</v>
      </c>
      <c r="BZ167" s="14">
        <f>BY167*VLOOKUP('Données projet'!$B$12,Paramètres!$A$1:$I$89,3,0)*VLOOKUP('Données projet'!$B$12,Paramètres!$A$1:$I$89,5,0)</f>
        <v>-3.0149749363772573E-13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461.75392711528474</v>
      </c>
      <c r="CE167" s="62">
        <f t="shared" si="148"/>
        <v>441.67157957428236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>
        <f>CT167*VLOOKUP('Données projet'!$B$13,Paramètres!$A$1:$I$89,3,0)*VLOOKUP('Données projet'!$B$13,Paramètres!$A$1:$I$89,5,0)</f>
        <v>0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338.72479490324491</v>
      </c>
      <c r="CZ167" s="62">
        <f t="shared" si="150"/>
        <v>248.47107558211923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-9.0949470177292824E-13</v>
      </c>
      <c r="O168" s="14">
        <f>N168*VLOOKUP('Données projet'!$B$9,Paramètres!$A$1:$I$89,3,0)*VLOOKUP('Données projet'!$B$9,Paramètres!$A$1:$I$89,5,0)</f>
        <v>-8.2291080616414541E-13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430.11660085503223</v>
      </c>
      <c r="T168" s="62">
        <f t="shared" si="142"/>
        <v>231.36959598460686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-9.0949470177292824E-13</v>
      </c>
      <c r="AJ168" s="14">
        <f>AI168*VLOOKUP('Données projet'!$B$10,Paramètres!$A$1:$I$89,3,0)*VLOOKUP('Données projet'!$B$10,Paramètres!$A$1:$I$89,5,0)</f>
        <v>-8.7966327555477625E-13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456.86147223520601</v>
      </c>
      <c r="AO168" s="62">
        <f t="shared" si="144"/>
        <v>244.45149244446094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-1.1368683772161603E-13</v>
      </c>
      <c r="BE168" s="14">
        <f>BD168*VLOOKUP('Données projet'!$B$11,Paramètres!$A$1:$I$89,3,0)*VLOOKUP('Données projet'!$B$11,Paramètres!$A$1:$I$89,5,0)</f>
        <v>-6.7984728957526396E-14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215.43756133069593</v>
      </c>
      <c r="BJ168" s="62">
        <f t="shared" si="146"/>
        <v>363.02009369315243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7.6305466936758695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3.0152444267585332E-17</v>
      </c>
      <c r="BS168" s="24">
        <f t="shared" si="169"/>
        <v>7.6305466936758695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-6.8212102632969618E-13</v>
      </c>
      <c r="BZ168" s="14">
        <f>BY168*VLOOKUP('Données projet'!$B$12,Paramètres!$A$1:$I$89,3,0)*VLOOKUP('Données projet'!$B$12,Paramètres!$A$1:$I$89,5,0)</f>
        <v>-3.0149749363772573E-13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461.75392711528474</v>
      </c>
      <c r="CE168" s="62">
        <f t="shared" si="148"/>
        <v>441.67157957428236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>
        <f>CT168*VLOOKUP('Données projet'!$B$13,Paramètres!$A$1:$I$89,3,0)*VLOOKUP('Données projet'!$B$13,Paramètres!$A$1:$I$89,5,0)</f>
        <v>0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338.72479490324491</v>
      </c>
      <c r="CZ168" s="62">
        <f t="shared" si="150"/>
        <v>248.47107558211923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-9.0949470177292824E-13</v>
      </c>
      <c r="O169" s="14">
        <f>N169*VLOOKUP('Données projet'!$B$9,Paramètres!$A$1:$I$89,3,0)*VLOOKUP('Données projet'!$B$9,Paramètres!$A$1:$I$89,5,0)</f>
        <v>-8.2291080616414541E-13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430.11660085503223</v>
      </c>
      <c r="T169" s="62">
        <f t="shared" si="142"/>
        <v>231.36959598460686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-9.0949470177292824E-13</v>
      </c>
      <c r="AJ169" s="14">
        <f>AI169*VLOOKUP('Données projet'!$B$10,Paramètres!$A$1:$I$89,3,0)*VLOOKUP('Données projet'!$B$10,Paramètres!$A$1:$I$89,5,0)</f>
        <v>-8.7966327555477625E-13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456.86147223520601</v>
      </c>
      <c r="AO169" s="62">
        <f t="shared" si="144"/>
        <v>244.45149244446094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-1.1368683772161603E-13</v>
      </c>
      <c r="BE169" s="14">
        <f>BD169*VLOOKUP('Données projet'!$B$11,Paramètres!$A$1:$I$89,3,0)*VLOOKUP('Données projet'!$B$11,Paramètres!$A$1:$I$89,5,0)</f>
        <v>-6.7984728957526396E-14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215.43756133069593</v>
      </c>
      <c r="BJ169" s="62">
        <f t="shared" si="146"/>
        <v>363.02009369315243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7.4809163271868071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2.1320997810959031E-17</v>
      </c>
      <c r="BS169" s="24">
        <f t="shared" si="169"/>
        <v>7.4809163271868071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-6.8212102632969618E-13</v>
      </c>
      <c r="BZ169" s="14">
        <f>BY169*VLOOKUP('Données projet'!$B$12,Paramètres!$A$1:$I$89,3,0)*VLOOKUP('Données projet'!$B$12,Paramètres!$A$1:$I$89,5,0)</f>
        <v>-3.0149749363772573E-13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461.75392711528474</v>
      </c>
      <c r="CE169" s="62">
        <f t="shared" si="148"/>
        <v>441.67157957428236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>
        <f>CT169*VLOOKUP('Données projet'!$B$13,Paramètres!$A$1:$I$89,3,0)*VLOOKUP('Données projet'!$B$13,Paramètres!$A$1:$I$89,5,0)</f>
        <v>0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338.72479490324491</v>
      </c>
      <c r="CZ169" s="62">
        <f t="shared" si="150"/>
        <v>248.47107558211923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-9.0949470177292824E-13</v>
      </c>
      <c r="O170" s="14">
        <f>N170*VLOOKUP('Données projet'!$B$9,Paramètres!$A$1:$I$89,3,0)*VLOOKUP('Données projet'!$B$9,Paramètres!$A$1:$I$89,5,0)</f>
        <v>-8.2291080616414541E-13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430.11660085503223</v>
      </c>
      <c r="T170" s="62">
        <f t="shared" si="142"/>
        <v>231.36959598460686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-9.0949470177292824E-13</v>
      </c>
      <c r="AJ170" s="14">
        <f>AI170*VLOOKUP('Données projet'!$B$10,Paramètres!$A$1:$I$89,3,0)*VLOOKUP('Données projet'!$B$10,Paramètres!$A$1:$I$89,5,0)</f>
        <v>-8.7966327555477625E-13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456.86147223520601</v>
      </c>
      <c r="AO170" s="62">
        <f t="shared" si="144"/>
        <v>244.45149244446094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-1.1368683772161603E-13</v>
      </c>
      <c r="BE170" s="14">
        <f>BD170*VLOOKUP('Données projet'!$B$11,Paramètres!$A$1:$I$89,3,0)*VLOOKUP('Données projet'!$B$11,Paramètres!$A$1:$I$89,5,0)</f>
        <v>-6.7984728957526396E-14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215.43756133069593</v>
      </c>
      <c r="BJ170" s="62">
        <f t="shared" si="146"/>
        <v>363.02009369315243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7.3342201209190838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1.5076222133792666E-17</v>
      </c>
      <c r="BS170" s="24">
        <f t="shared" si="169"/>
        <v>7.3342201209190838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-6.8212102632969618E-13</v>
      </c>
      <c r="BZ170" s="14">
        <f>BY170*VLOOKUP('Données projet'!$B$12,Paramètres!$A$1:$I$89,3,0)*VLOOKUP('Données projet'!$B$12,Paramètres!$A$1:$I$89,5,0)</f>
        <v>-3.0149749363772573E-13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461.75392711528474</v>
      </c>
      <c r="CE170" s="62">
        <f t="shared" si="148"/>
        <v>441.67157957428236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>
        <f>CT170*VLOOKUP('Données projet'!$B$13,Paramètres!$A$1:$I$89,3,0)*VLOOKUP('Données projet'!$B$13,Paramètres!$A$1:$I$89,5,0)</f>
        <v>0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338.72479490324491</v>
      </c>
      <c r="CZ170" s="62">
        <f t="shared" si="150"/>
        <v>248.47107558211923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-9.0949470177292824E-13</v>
      </c>
      <c r="O171" s="14">
        <f>N171*VLOOKUP('Données projet'!$B$9,Paramètres!$A$1:$I$89,3,0)*VLOOKUP('Données projet'!$B$9,Paramètres!$A$1:$I$89,5,0)</f>
        <v>-8.2291080616414541E-13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430.11660085503223</v>
      </c>
      <c r="T171" s="62">
        <f t="shared" si="142"/>
        <v>231.36959598460686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-9.0949470177292824E-13</v>
      </c>
      <c r="AJ171" s="14">
        <f>AI171*VLOOKUP('Données projet'!$B$10,Paramètres!$A$1:$I$89,3,0)*VLOOKUP('Données projet'!$B$10,Paramètres!$A$1:$I$89,5,0)</f>
        <v>-8.7966327555477625E-13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456.86147223520601</v>
      </c>
      <c r="AO171" s="62">
        <f t="shared" si="144"/>
        <v>244.45149244446094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-1.1368683772161603E-13</v>
      </c>
      <c r="BE171" s="14">
        <f>BD171*VLOOKUP('Données projet'!$B$11,Paramètres!$A$1:$I$89,3,0)*VLOOKUP('Données projet'!$B$11,Paramètres!$A$1:$I$89,5,0)</f>
        <v>-6.7984728957526396E-14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215.43756133069593</v>
      </c>
      <c r="BJ171" s="62">
        <f t="shared" si="146"/>
        <v>363.02009369315243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7.1904005377804197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1.0660498905479515E-17</v>
      </c>
      <c r="BS171" s="24">
        <f t="shared" si="169"/>
        <v>7.1904005377804197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-6.8212102632969618E-13</v>
      </c>
      <c r="BZ171" s="14">
        <f>BY171*VLOOKUP('Données projet'!$B$12,Paramètres!$A$1:$I$89,3,0)*VLOOKUP('Données projet'!$B$12,Paramètres!$A$1:$I$89,5,0)</f>
        <v>-3.0149749363772573E-13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461.75392711528474</v>
      </c>
      <c r="CE171" s="62">
        <f t="shared" si="148"/>
        <v>441.67157957428236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>
        <f>CT171*VLOOKUP('Données projet'!$B$13,Paramètres!$A$1:$I$89,3,0)*VLOOKUP('Données projet'!$B$13,Paramètres!$A$1:$I$89,5,0)</f>
        <v>0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338.72479490324491</v>
      </c>
      <c r="CZ171" s="62">
        <f t="shared" si="150"/>
        <v>248.47107558211923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-9.0949470177292824E-13</v>
      </c>
      <c r="O172" s="14">
        <f>N172*VLOOKUP('Données projet'!$B$9,Paramètres!$A$1:$I$89,3,0)*VLOOKUP('Données projet'!$B$9,Paramètres!$A$1:$I$89,5,0)</f>
        <v>-8.2291080616414541E-13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430.11660085503223</v>
      </c>
      <c r="T172" s="62">
        <f t="shared" si="142"/>
        <v>231.36959598460686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-9.0949470177292824E-13</v>
      </c>
      <c r="AJ172" s="14">
        <f>AI172*VLOOKUP('Données projet'!$B$10,Paramètres!$A$1:$I$89,3,0)*VLOOKUP('Données projet'!$B$10,Paramètres!$A$1:$I$89,5,0)</f>
        <v>-8.7966327555477625E-13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456.86147223520601</v>
      </c>
      <c r="AO172" s="62">
        <f t="shared" si="144"/>
        <v>244.45149244446094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-1.1368683772161603E-13</v>
      </c>
      <c r="BE172" s="14">
        <f>BD172*VLOOKUP('Données projet'!$B$11,Paramètres!$A$1:$I$89,3,0)*VLOOKUP('Données projet'!$B$11,Paramètres!$A$1:$I$89,5,0)</f>
        <v>-6.7984728957526396E-14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215.43756133069593</v>
      </c>
      <c r="BJ172" s="62">
        <f t="shared" si="146"/>
        <v>363.02009369315243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7.0494011689458205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7.5381110668963331E-18</v>
      </c>
      <c r="BS172" s="24">
        <f t="shared" si="169"/>
        <v>7.0494011689458205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-6.8212102632969618E-13</v>
      </c>
      <c r="BZ172" s="14">
        <f>BY172*VLOOKUP('Données projet'!$B$12,Paramètres!$A$1:$I$89,3,0)*VLOOKUP('Données projet'!$B$12,Paramètres!$A$1:$I$89,5,0)</f>
        <v>-3.0149749363772573E-13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461.75392711528474</v>
      </c>
      <c r="CE172" s="62">
        <f t="shared" si="148"/>
        <v>441.67157957428236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>
        <f>CT172*VLOOKUP('Données projet'!$B$13,Paramètres!$A$1:$I$89,3,0)*VLOOKUP('Données projet'!$B$13,Paramètres!$A$1:$I$89,5,0)</f>
        <v>0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338.72479490324491</v>
      </c>
      <c r="CZ172" s="62">
        <f t="shared" si="150"/>
        <v>248.47107558211923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-9.0949470177292824E-13</v>
      </c>
      <c r="O173" s="14">
        <f>N173*VLOOKUP('Données projet'!$B$9,Paramètres!$A$1:$I$89,3,0)*VLOOKUP('Données projet'!$B$9,Paramètres!$A$1:$I$89,5,0)</f>
        <v>-8.2291080616414541E-13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430.11660085503223</v>
      </c>
      <c r="T173" s="62">
        <f t="shared" si="142"/>
        <v>231.36959598460686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-9.0949470177292824E-13</v>
      </c>
      <c r="AJ173" s="14">
        <f>AI173*VLOOKUP('Données projet'!$B$10,Paramètres!$A$1:$I$89,3,0)*VLOOKUP('Données projet'!$B$10,Paramètres!$A$1:$I$89,5,0)</f>
        <v>-8.7966327555477625E-13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456.86147223520601</v>
      </c>
      <c r="AO173" s="62">
        <f t="shared" si="144"/>
        <v>244.45149244446094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-1.1368683772161603E-13</v>
      </c>
      <c r="BE173" s="14">
        <f>BD173*VLOOKUP('Données projet'!$B$11,Paramètres!$A$1:$I$89,3,0)*VLOOKUP('Données projet'!$B$11,Paramètres!$A$1:$I$89,5,0)</f>
        <v>-6.7984728957526396E-14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215.43756133069593</v>
      </c>
      <c r="BJ173" s="62">
        <f t="shared" si="146"/>
        <v>363.02009369315243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6.9111667117329452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5.3302494527397577E-18</v>
      </c>
      <c r="BS173" s="24">
        <f t="shared" si="169"/>
        <v>6.9111667117329452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-6.8212102632969618E-13</v>
      </c>
      <c r="BZ173" s="14">
        <f>BY173*VLOOKUP('Données projet'!$B$12,Paramètres!$A$1:$I$89,3,0)*VLOOKUP('Données projet'!$B$12,Paramètres!$A$1:$I$89,5,0)</f>
        <v>-3.0149749363772573E-13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461.75392711528474</v>
      </c>
      <c r="CE173" s="62">
        <f t="shared" si="148"/>
        <v>441.67157957428236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>
        <f>CT173*VLOOKUP('Données projet'!$B$13,Paramètres!$A$1:$I$89,3,0)*VLOOKUP('Données projet'!$B$13,Paramètres!$A$1:$I$89,5,0)</f>
        <v>0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338.72479490324491</v>
      </c>
      <c r="CZ173" s="62">
        <f t="shared" si="150"/>
        <v>248.47107558211923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-9.0949470177292824E-13</v>
      </c>
      <c r="O174" s="14">
        <f>N174*VLOOKUP('Données projet'!$B$9,Paramètres!$A$1:$I$89,3,0)*VLOOKUP('Données projet'!$B$9,Paramètres!$A$1:$I$89,5,0)</f>
        <v>-8.2291080616414541E-13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430.11660085503223</v>
      </c>
      <c r="T174" s="62">
        <f t="shared" si="142"/>
        <v>231.36959598460686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-9.0949470177292824E-13</v>
      </c>
      <c r="AJ174" s="14">
        <f>AI174*VLOOKUP('Données projet'!$B$10,Paramètres!$A$1:$I$89,3,0)*VLOOKUP('Données projet'!$B$10,Paramètres!$A$1:$I$89,5,0)</f>
        <v>-8.7966327555477625E-13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456.86147223520601</v>
      </c>
      <c r="AO174" s="62">
        <f t="shared" si="144"/>
        <v>244.45149244446094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-1.1368683772161603E-13</v>
      </c>
      <c r="BE174" s="14">
        <f>BD174*VLOOKUP('Données projet'!$B$11,Paramètres!$A$1:$I$89,3,0)*VLOOKUP('Données projet'!$B$11,Paramètres!$A$1:$I$89,5,0)</f>
        <v>-6.7984728957526396E-14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215.43756133069593</v>
      </c>
      <c r="BJ174" s="62">
        <f t="shared" si="146"/>
        <v>363.02009369315243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6.7756429479113205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3.7690555334481665E-18</v>
      </c>
      <c r="BS174" s="24">
        <f t="shared" si="169"/>
        <v>6.7756429479113205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-6.8212102632969618E-13</v>
      </c>
      <c r="BZ174" s="14">
        <f>BY174*VLOOKUP('Données projet'!$B$12,Paramètres!$A$1:$I$89,3,0)*VLOOKUP('Données projet'!$B$12,Paramètres!$A$1:$I$89,5,0)</f>
        <v>-3.0149749363772573E-13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461.75392711528474</v>
      </c>
      <c r="CE174" s="62">
        <f t="shared" si="148"/>
        <v>441.67157957428236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>
        <f>CT174*VLOOKUP('Données projet'!$B$13,Paramètres!$A$1:$I$89,3,0)*VLOOKUP('Données projet'!$B$13,Paramètres!$A$1:$I$89,5,0)</f>
        <v>0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338.72479490324491</v>
      </c>
      <c r="CZ174" s="62">
        <f t="shared" si="150"/>
        <v>248.47107558211923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-9.0949470177292824E-13</v>
      </c>
      <c r="O175" s="14">
        <f>N175*VLOOKUP('Données projet'!$B$9,Paramètres!$A$1:$I$89,3,0)*VLOOKUP('Données projet'!$B$9,Paramètres!$A$1:$I$89,5,0)</f>
        <v>-8.2291080616414541E-13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430.11660085503223</v>
      </c>
      <c r="T175" s="62">
        <f t="shared" si="142"/>
        <v>231.36959598460686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-9.0949470177292824E-13</v>
      </c>
      <c r="AJ175" s="14">
        <f>AI175*VLOOKUP('Données projet'!$B$10,Paramètres!$A$1:$I$89,3,0)*VLOOKUP('Données projet'!$B$10,Paramètres!$A$1:$I$89,5,0)</f>
        <v>-8.7966327555477625E-13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456.86147223520601</v>
      </c>
      <c r="AO175" s="62">
        <f t="shared" si="144"/>
        <v>244.45149244446094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-1.1368683772161603E-13</v>
      </c>
      <c r="BE175" s="14">
        <f>BD175*VLOOKUP('Données projet'!$B$11,Paramètres!$A$1:$I$89,3,0)*VLOOKUP('Données projet'!$B$11,Paramètres!$A$1:$I$89,5,0)</f>
        <v>-6.7984728957526396E-14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215.43756133069593</v>
      </c>
      <c r="BJ175" s="62">
        <f t="shared" si="146"/>
        <v>363.02009369315243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6.6427767224369045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2.6651247263698788E-18</v>
      </c>
      <c r="BS175" s="24">
        <f t="shared" si="169"/>
        <v>6.6427767224369045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-6.8212102632969618E-13</v>
      </c>
      <c r="BZ175" s="14">
        <f>BY175*VLOOKUP('Données projet'!$B$12,Paramètres!$A$1:$I$89,3,0)*VLOOKUP('Données projet'!$B$12,Paramètres!$A$1:$I$89,5,0)</f>
        <v>-3.0149749363772573E-13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461.75392711528474</v>
      </c>
      <c r="CE175" s="62">
        <f t="shared" si="148"/>
        <v>441.67157957428236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>
        <f>CT175*VLOOKUP('Données projet'!$B$13,Paramètres!$A$1:$I$89,3,0)*VLOOKUP('Données projet'!$B$13,Paramètres!$A$1:$I$89,5,0)</f>
        <v>0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338.72479490324491</v>
      </c>
      <c r="CZ175" s="62">
        <f t="shared" si="150"/>
        <v>248.47107558211923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-9.0949470177292824E-13</v>
      </c>
      <c r="O176" s="14">
        <f>N176*VLOOKUP('Données projet'!$B$9,Paramètres!$A$1:$I$89,3,0)*VLOOKUP('Données projet'!$B$9,Paramètres!$A$1:$I$89,5,0)</f>
        <v>-8.2291080616414541E-13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430.11660085503223</v>
      </c>
      <c r="T176" s="62">
        <f t="shared" si="142"/>
        <v>231.36959598460686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-9.0949470177292824E-13</v>
      </c>
      <c r="AJ176" s="14">
        <f>AI176*VLOOKUP('Données projet'!$B$10,Paramètres!$A$1:$I$89,3,0)*VLOOKUP('Données projet'!$B$10,Paramètres!$A$1:$I$89,5,0)</f>
        <v>-8.7966327555477625E-13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456.86147223520601</v>
      </c>
      <c r="AO176" s="62">
        <f t="shared" si="144"/>
        <v>244.45149244446094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-1.1368683772161603E-13</v>
      </c>
      <c r="BE176" s="14">
        <f>BD176*VLOOKUP('Données projet'!$B$11,Paramètres!$A$1:$I$89,3,0)*VLOOKUP('Données projet'!$B$11,Paramètres!$A$1:$I$89,5,0)</f>
        <v>-6.7984728957526396E-14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215.43756133069593</v>
      </c>
      <c r="BJ176" s="62">
        <f t="shared" si="146"/>
        <v>363.02009369315243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6.5125159226036464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1.8845277667240833E-18</v>
      </c>
      <c r="BS176" s="24">
        <f t="shared" si="169"/>
        <v>6.5125159226036464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-6.8212102632969618E-13</v>
      </c>
      <c r="BZ176" s="14">
        <f>BY176*VLOOKUP('Données projet'!$B$12,Paramètres!$A$1:$I$89,3,0)*VLOOKUP('Données projet'!$B$12,Paramètres!$A$1:$I$89,5,0)</f>
        <v>-3.0149749363772573E-13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461.75392711528474</v>
      </c>
      <c r="CE176" s="62">
        <f t="shared" si="148"/>
        <v>441.67157957428236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>
        <f>CT176*VLOOKUP('Données projet'!$B$13,Paramètres!$A$1:$I$89,3,0)*VLOOKUP('Données projet'!$B$13,Paramètres!$A$1:$I$89,5,0)</f>
        <v>0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338.72479490324491</v>
      </c>
      <c r="CZ176" s="62">
        <f t="shared" si="150"/>
        <v>248.47107558211923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-9.0949470177292824E-13</v>
      </c>
      <c r="O177" s="14">
        <f>N177*VLOOKUP('Données projet'!$B$9,Paramètres!$A$1:$I$89,3,0)*VLOOKUP('Données projet'!$B$9,Paramètres!$A$1:$I$89,5,0)</f>
        <v>-8.2291080616414541E-13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430.11660085503223</v>
      </c>
      <c r="T177" s="62">
        <f t="shared" si="142"/>
        <v>231.36959598460686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-9.0949470177292824E-13</v>
      </c>
      <c r="AJ177" s="14">
        <f>AI177*VLOOKUP('Données projet'!$B$10,Paramètres!$A$1:$I$89,3,0)*VLOOKUP('Données projet'!$B$10,Paramètres!$A$1:$I$89,5,0)</f>
        <v>-8.7966327555477625E-13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456.86147223520601</v>
      </c>
      <c r="AO177" s="62">
        <f t="shared" si="144"/>
        <v>244.45149244446094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-1.1368683772161603E-13</v>
      </c>
      <c r="BE177" s="14">
        <f>BD177*VLOOKUP('Données projet'!$B$11,Paramètres!$A$1:$I$89,3,0)*VLOOKUP('Données projet'!$B$11,Paramètres!$A$1:$I$89,5,0)</f>
        <v>-6.7984728957526396E-14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215.43756133069593</v>
      </c>
      <c r="BJ177" s="62">
        <f t="shared" si="146"/>
        <v>363.02009369315243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6.3848094576038754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1.3325623631849394E-18</v>
      </c>
      <c r="BS177" s="24">
        <f t="shared" si="169"/>
        <v>6.3848094576038754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-6.8212102632969618E-13</v>
      </c>
      <c r="BZ177" s="14">
        <f>BY177*VLOOKUP('Données projet'!$B$12,Paramètres!$A$1:$I$89,3,0)*VLOOKUP('Données projet'!$B$12,Paramètres!$A$1:$I$89,5,0)</f>
        <v>-3.0149749363772573E-13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461.75392711528474</v>
      </c>
      <c r="CE177" s="62">
        <f t="shared" si="148"/>
        <v>441.67157957428236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>
        <f>CT177*VLOOKUP('Données projet'!$B$13,Paramètres!$A$1:$I$89,3,0)*VLOOKUP('Données projet'!$B$13,Paramètres!$A$1:$I$89,5,0)</f>
        <v>0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338.72479490324491</v>
      </c>
      <c r="CZ177" s="62">
        <f t="shared" si="150"/>
        <v>248.47107558211923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-9.0949470177292824E-13</v>
      </c>
      <c r="O178" s="14">
        <f>N178*VLOOKUP('Données projet'!$B$9,Paramètres!$A$1:$I$89,3,0)*VLOOKUP('Données projet'!$B$9,Paramètres!$A$1:$I$89,5,0)</f>
        <v>-8.2291080616414541E-13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430.11660085503223</v>
      </c>
      <c r="T178" s="62">
        <f t="shared" si="142"/>
        <v>231.36959598460686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-9.0949470177292824E-13</v>
      </c>
      <c r="AJ178" s="14">
        <f>AI178*VLOOKUP('Données projet'!$B$10,Paramètres!$A$1:$I$89,3,0)*VLOOKUP('Données projet'!$B$10,Paramètres!$A$1:$I$89,5,0)</f>
        <v>-8.7966327555477625E-13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456.86147223520601</v>
      </c>
      <c r="AO178" s="62">
        <f t="shared" si="144"/>
        <v>244.45149244446094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-1.1368683772161603E-13</v>
      </c>
      <c r="BE178" s="14">
        <f>BD178*VLOOKUP('Données projet'!$B$11,Paramètres!$A$1:$I$89,3,0)*VLOOKUP('Données projet'!$B$11,Paramètres!$A$1:$I$89,5,0)</f>
        <v>-6.7984728957526396E-14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215.43756133069593</v>
      </c>
      <c r="BJ178" s="62">
        <f t="shared" si="146"/>
        <v>363.02009369315243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6.2596072384894974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9.4226388336204163E-19</v>
      </c>
      <c r="BS178" s="24">
        <f t="shared" si="169"/>
        <v>6.2596072384894974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-6.8212102632969618E-13</v>
      </c>
      <c r="BZ178" s="14">
        <f>BY178*VLOOKUP('Données projet'!$B$12,Paramètres!$A$1:$I$89,3,0)*VLOOKUP('Données projet'!$B$12,Paramètres!$A$1:$I$89,5,0)</f>
        <v>-3.0149749363772573E-13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461.75392711528474</v>
      </c>
      <c r="CE178" s="62">
        <f t="shared" si="148"/>
        <v>441.67157957428236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>
        <f>CT178*VLOOKUP('Données projet'!$B$13,Paramètres!$A$1:$I$89,3,0)*VLOOKUP('Données projet'!$B$13,Paramètres!$A$1:$I$89,5,0)</f>
        <v>0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338.72479490324491</v>
      </c>
      <c r="CZ178" s="62">
        <f t="shared" si="150"/>
        <v>248.47107558211923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-9.0949470177292824E-13</v>
      </c>
      <c r="O179" s="14">
        <f>N179*VLOOKUP('Données projet'!$B$9,Paramètres!$A$1:$I$89,3,0)*VLOOKUP('Données projet'!$B$9,Paramètres!$A$1:$I$89,5,0)</f>
        <v>-8.2291080616414541E-13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430.11660085503223</v>
      </c>
      <c r="T179" s="62">
        <f t="shared" si="142"/>
        <v>231.36959598460686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-9.0949470177292824E-13</v>
      </c>
      <c r="AJ179" s="14">
        <f>AI179*VLOOKUP('Données projet'!$B$10,Paramètres!$A$1:$I$89,3,0)*VLOOKUP('Données projet'!$B$10,Paramètres!$A$1:$I$89,5,0)</f>
        <v>-8.7966327555477625E-13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456.86147223520601</v>
      </c>
      <c r="AO179" s="62">
        <f t="shared" si="144"/>
        <v>244.45149244446094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-1.1368683772161603E-13</v>
      </c>
      <c r="BE179" s="14">
        <f>BD179*VLOOKUP('Données projet'!$B$11,Paramètres!$A$1:$I$89,3,0)*VLOOKUP('Données projet'!$B$11,Paramètres!$A$1:$I$89,5,0)</f>
        <v>-6.7984728957526396E-14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215.43756133069593</v>
      </c>
      <c r="BJ179" s="62">
        <f t="shared" si="146"/>
        <v>363.02009369315243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6.1368601585261393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6.6628118159246971E-19</v>
      </c>
      <c r="BS179" s="24">
        <f t="shared" si="169"/>
        <v>6.1368601585261393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-6.8212102632969618E-13</v>
      </c>
      <c r="BZ179" s="14">
        <f>BY179*VLOOKUP('Données projet'!$B$12,Paramètres!$A$1:$I$89,3,0)*VLOOKUP('Données projet'!$B$12,Paramètres!$A$1:$I$89,5,0)</f>
        <v>-3.0149749363772573E-13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461.75392711528474</v>
      </c>
      <c r="CE179" s="62">
        <f t="shared" si="148"/>
        <v>441.67157957428236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>
        <f>CT179*VLOOKUP('Données projet'!$B$13,Paramètres!$A$1:$I$89,3,0)*VLOOKUP('Données projet'!$B$13,Paramètres!$A$1:$I$89,5,0)</f>
        <v>0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338.72479490324491</v>
      </c>
      <c r="CZ179" s="62">
        <f t="shared" si="150"/>
        <v>248.47107558211923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-9.0949470177292824E-13</v>
      </c>
      <c r="O180" s="14">
        <f>N180*VLOOKUP('Données projet'!$B$9,Paramètres!$A$1:$I$89,3,0)*VLOOKUP('Données projet'!$B$9,Paramètres!$A$1:$I$89,5,0)</f>
        <v>-8.2291080616414541E-13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430.11660085503223</v>
      </c>
      <c r="T180" s="62">
        <f t="shared" si="142"/>
        <v>231.36959598460686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-9.0949470177292824E-13</v>
      </c>
      <c r="AJ180" s="14">
        <f>AI180*VLOOKUP('Données projet'!$B$10,Paramètres!$A$1:$I$89,3,0)*VLOOKUP('Données projet'!$B$10,Paramètres!$A$1:$I$89,5,0)</f>
        <v>-8.7966327555477625E-13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456.86147223520601</v>
      </c>
      <c r="AO180" s="62">
        <f t="shared" si="144"/>
        <v>244.45149244446094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-1.1368683772161603E-13</v>
      </c>
      <c r="BE180" s="14">
        <f>BD180*VLOOKUP('Données projet'!$B$11,Paramètres!$A$1:$I$89,3,0)*VLOOKUP('Données projet'!$B$11,Paramètres!$A$1:$I$89,5,0)</f>
        <v>-6.7984728957526396E-14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215.43756133069593</v>
      </c>
      <c r="BJ180" s="62">
        <f t="shared" si="146"/>
        <v>363.02009369315243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6.0165200739325364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4.7113194168102082E-19</v>
      </c>
      <c r="BS180" s="24">
        <f t="shared" si="169"/>
        <v>6.0165200739325364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-6.8212102632969618E-13</v>
      </c>
      <c r="BZ180" s="14">
        <f>BY180*VLOOKUP('Données projet'!$B$12,Paramètres!$A$1:$I$89,3,0)*VLOOKUP('Données projet'!$B$12,Paramètres!$A$1:$I$89,5,0)</f>
        <v>-3.0149749363772573E-13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461.75392711528474</v>
      </c>
      <c r="CE180" s="62">
        <f t="shared" si="148"/>
        <v>441.67157957428236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>
        <f>CT180*VLOOKUP('Données projet'!$B$13,Paramètres!$A$1:$I$89,3,0)*VLOOKUP('Données projet'!$B$13,Paramètres!$A$1:$I$89,5,0)</f>
        <v>0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338.72479490324491</v>
      </c>
      <c r="CZ180" s="62">
        <f t="shared" si="150"/>
        <v>248.47107558211923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-9.0949470177292824E-13</v>
      </c>
      <c r="O181" s="14">
        <f>N181*VLOOKUP('Données projet'!$B$9,Paramètres!$A$1:$I$89,3,0)*VLOOKUP('Données projet'!$B$9,Paramètres!$A$1:$I$89,5,0)</f>
        <v>-8.2291080616414541E-13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430.11660085503223</v>
      </c>
      <c r="T181" s="62">
        <f t="shared" si="142"/>
        <v>231.36959598460686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-9.0949470177292824E-13</v>
      </c>
      <c r="AJ181" s="14">
        <f>AI181*VLOOKUP('Données projet'!$B$10,Paramètres!$A$1:$I$89,3,0)*VLOOKUP('Données projet'!$B$10,Paramètres!$A$1:$I$89,5,0)</f>
        <v>-8.7966327555477625E-13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456.86147223520601</v>
      </c>
      <c r="AO181" s="62">
        <f t="shared" si="144"/>
        <v>244.45149244446094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-1.1368683772161603E-13</v>
      </c>
      <c r="BE181" s="14">
        <f>BD181*VLOOKUP('Données projet'!$B$11,Paramètres!$A$1:$I$89,3,0)*VLOOKUP('Données projet'!$B$11,Paramètres!$A$1:$I$89,5,0)</f>
        <v>-6.7984728957526396E-14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215.43756133069593</v>
      </c>
      <c r="BJ181" s="62">
        <f t="shared" si="146"/>
        <v>363.02009369315243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5.8985397849976104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3.3314059079623486E-19</v>
      </c>
      <c r="BS181" s="24">
        <f t="shared" si="169"/>
        <v>5.8985397849976104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-6.8212102632969618E-13</v>
      </c>
      <c r="BZ181" s="14">
        <f>BY181*VLOOKUP('Données projet'!$B$12,Paramètres!$A$1:$I$89,3,0)*VLOOKUP('Données projet'!$B$12,Paramètres!$A$1:$I$89,5,0)</f>
        <v>-3.0149749363772573E-13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461.75392711528474</v>
      </c>
      <c r="CE181" s="62">
        <f t="shared" si="148"/>
        <v>441.67157957428236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>
        <f>CT181*VLOOKUP('Données projet'!$B$13,Paramètres!$A$1:$I$89,3,0)*VLOOKUP('Données projet'!$B$13,Paramètres!$A$1:$I$89,5,0)</f>
        <v>0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338.72479490324491</v>
      </c>
      <c r="CZ181" s="62">
        <f t="shared" si="150"/>
        <v>248.47107558211923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-9.0949470177292824E-13</v>
      </c>
      <c r="O182" s="14">
        <f>N182*VLOOKUP('Données projet'!$B$9,Paramètres!$A$1:$I$89,3,0)*VLOOKUP('Données projet'!$B$9,Paramètres!$A$1:$I$89,5,0)</f>
        <v>-8.2291080616414541E-13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430.11660085503223</v>
      </c>
      <c r="T182" s="62">
        <f t="shared" si="142"/>
        <v>231.36959598460686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-9.0949470177292824E-13</v>
      </c>
      <c r="AJ182" s="14">
        <f>AI182*VLOOKUP('Données projet'!$B$10,Paramètres!$A$1:$I$89,3,0)*VLOOKUP('Données projet'!$B$10,Paramètres!$A$1:$I$89,5,0)</f>
        <v>-8.7966327555477625E-13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456.86147223520601</v>
      </c>
      <c r="AO182" s="62">
        <f t="shared" si="144"/>
        <v>244.45149244446094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-1.1368683772161603E-13</v>
      </c>
      <c r="BE182" s="14">
        <f>BD182*VLOOKUP('Données projet'!$B$11,Paramètres!$A$1:$I$89,3,0)*VLOOKUP('Données projet'!$B$11,Paramètres!$A$1:$I$89,5,0)</f>
        <v>-6.7984728957526396E-14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215.43756133069593</v>
      </c>
      <c r="BJ182" s="62">
        <f t="shared" si="146"/>
        <v>363.02009369315243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5.7828730175678276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2.3556597084051041E-19</v>
      </c>
      <c r="BS182" s="24">
        <f t="shared" si="169"/>
        <v>5.7828730175678276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-6.8212102632969618E-13</v>
      </c>
      <c r="BZ182" s="14">
        <f>BY182*VLOOKUP('Données projet'!$B$12,Paramètres!$A$1:$I$89,3,0)*VLOOKUP('Données projet'!$B$12,Paramètres!$A$1:$I$89,5,0)</f>
        <v>-3.0149749363772573E-13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461.75392711528474</v>
      </c>
      <c r="CE182" s="62">
        <f t="shared" si="148"/>
        <v>441.67157957428236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>
        <f>CT182*VLOOKUP('Données projet'!$B$13,Paramètres!$A$1:$I$89,3,0)*VLOOKUP('Données projet'!$B$13,Paramètres!$A$1:$I$89,5,0)</f>
        <v>0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338.72479490324491</v>
      </c>
      <c r="CZ182" s="62">
        <f t="shared" si="150"/>
        <v>248.47107558211923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-9.0949470177292824E-13</v>
      </c>
      <c r="O183" s="14">
        <f>N183*VLOOKUP('Données projet'!$B$9,Paramètres!$A$1:$I$89,3,0)*VLOOKUP('Données projet'!$B$9,Paramètres!$A$1:$I$89,5,0)</f>
        <v>-8.2291080616414541E-13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430.11660085503223</v>
      </c>
      <c r="T183" s="62">
        <f t="shared" si="142"/>
        <v>231.36959598460686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-9.0949470177292824E-13</v>
      </c>
      <c r="AJ183" s="14">
        <f>AI183*VLOOKUP('Données projet'!$B$10,Paramètres!$A$1:$I$89,3,0)*VLOOKUP('Données projet'!$B$10,Paramètres!$A$1:$I$89,5,0)</f>
        <v>-8.7966327555477625E-13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456.86147223520601</v>
      </c>
      <c r="AO183" s="62">
        <f t="shared" si="144"/>
        <v>244.45149244446094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-1.1368683772161603E-13</v>
      </c>
      <c r="BE183" s="14">
        <f>BD183*VLOOKUP('Données projet'!$B$11,Paramètres!$A$1:$I$89,3,0)*VLOOKUP('Données projet'!$B$11,Paramètres!$A$1:$I$89,5,0)</f>
        <v>-6.7984728957526396E-14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215.43756133069593</v>
      </c>
      <c r="BJ183" s="62">
        <f t="shared" si="146"/>
        <v>363.02009369315243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5.6694744048975805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1.6657029539811743E-19</v>
      </c>
      <c r="BS183" s="24">
        <f t="shared" si="169"/>
        <v>5.6694744048975805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-6.8212102632969618E-13</v>
      </c>
      <c r="BZ183" s="14">
        <f>BY183*VLOOKUP('Données projet'!$B$12,Paramètres!$A$1:$I$89,3,0)*VLOOKUP('Données projet'!$B$12,Paramètres!$A$1:$I$89,5,0)</f>
        <v>-3.0149749363772573E-13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461.75392711528474</v>
      </c>
      <c r="CE183" s="62">
        <f t="shared" si="148"/>
        <v>441.67157957428236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>
        <f>CT183*VLOOKUP('Données projet'!$B$13,Paramètres!$A$1:$I$89,3,0)*VLOOKUP('Données projet'!$B$13,Paramètres!$A$1:$I$89,5,0)</f>
        <v>0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338.72479490324491</v>
      </c>
      <c r="CZ183" s="62">
        <f t="shared" si="150"/>
        <v>248.47107558211923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-9.0949470177292824E-13</v>
      </c>
      <c r="O184" s="14">
        <f>N184*VLOOKUP('Données projet'!$B$9,Paramètres!$A$1:$I$89,3,0)*VLOOKUP('Données projet'!$B$9,Paramètres!$A$1:$I$89,5,0)</f>
        <v>-8.2291080616414541E-13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430.11660085503223</v>
      </c>
      <c r="T184" s="62">
        <f t="shared" si="142"/>
        <v>231.36959598460686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-9.0949470177292824E-13</v>
      </c>
      <c r="AJ184" s="14">
        <f>AI184*VLOOKUP('Données projet'!$B$10,Paramètres!$A$1:$I$89,3,0)*VLOOKUP('Données projet'!$B$10,Paramètres!$A$1:$I$89,5,0)</f>
        <v>-8.7966327555477625E-13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456.86147223520601</v>
      </c>
      <c r="AO184" s="62">
        <f t="shared" si="144"/>
        <v>244.45149244446094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-1.1368683772161603E-13</v>
      </c>
      <c r="BE184" s="14">
        <f>BD184*VLOOKUP('Données projet'!$B$11,Paramètres!$A$1:$I$89,3,0)*VLOOKUP('Données projet'!$B$11,Paramètres!$A$1:$I$89,5,0)</f>
        <v>-6.7984728957526396E-14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215.43756133069593</v>
      </c>
      <c r="BJ184" s="62">
        <f t="shared" si="146"/>
        <v>363.02009369315243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5.5582994698554726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1.177829854202552E-19</v>
      </c>
      <c r="BS184" s="24">
        <f t="shared" si="169"/>
        <v>5.5582994698554726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-6.8212102632969618E-13</v>
      </c>
      <c r="BZ184" s="14">
        <f>BY184*VLOOKUP('Données projet'!$B$12,Paramètres!$A$1:$I$89,3,0)*VLOOKUP('Données projet'!$B$12,Paramètres!$A$1:$I$89,5,0)</f>
        <v>-3.0149749363772573E-13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461.75392711528474</v>
      </c>
      <c r="CE184" s="62">
        <f t="shared" si="148"/>
        <v>441.67157957428236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>
        <f>CT184*VLOOKUP('Données projet'!$B$13,Paramètres!$A$1:$I$89,3,0)*VLOOKUP('Données projet'!$B$13,Paramètres!$A$1:$I$89,5,0)</f>
        <v>0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338.72479490324491</v>
      </c>
      <c r="CZ184" s="62">
        <f t="shared" si="150"/>
        <v>248.47107558211923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-9.0949470177292824E-13</v>
      </c>
      <c r="O185" s="14">
        <f>N185*VLOOKUP('Données projet'!$B$9,Paramètres!$A$1:$I$89,3,0)*VLOOKUP('Données projet'!$B$9,Paramètres!$A$1:$I$89,5,0)</f>
        <v>-8.2291080616414541E-13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430.11660085503223</v>
      </c>
      <c r="T185" s="62">
        <f t="shared" si="142"/>
        <v>231.36959598460686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-9.0949470177292824E-13</v>
      </c>
      <c r="AJ185" s="14">
        <f>AI185*VLOOKUP('Données projet'!$B$10,Paramètres!$A$1:$I$89,3,0)*VLOOKUP('Données projet'!$B$10,Paramètres!$A$1:$I$89,5,0)</f>
        <v>-8.7966327555477625E-13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456.86147223520601</v>
      </c>
      <c r="AO185" s="62">
        <f t="shared" si="144"/>
        <v>244.45149244446094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-1.1368683772161603E-13</v>
      </c>
      <c r="BE185" s="14">
        <f>BD185*VLOOKUP('Données projet'!$B$11,Paramètres!$A$1:$I$89,3,0)*VLOOKUP('Données projet'!$B$11,Paramètres!$A$1:$I$89,5,0)</f>
        <v>-6.7984728957526396E-14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215.43756133069593</v>
      </c>
      <c r="BJ185" s="62">
        <f t="shared" si="146"/>
        <v>363.02009369315243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5.4493046074795259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8.3285147699058714E-20</v>
      </c>
      <c r="BS185" s="24">
        <f t="shared" si="169"/>
        <v>5.4493046074795259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-6.8212102632969618E-13</v>
      </c>
      <c r="BZ185" s="14">
        <f>BY185*VLOOKUP('Données projet'!$B$12,Paramètres!$A$1:$I$89,3,0)*VLOOKUP('Données projet'!$B$12,Paramètres!$A$1:$I$89,5,0)</f>
        <v>-3.0149749363772573E-13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461.75392711528474</v>
      </c>
      <c r="CE185" s="62">
        <f t="shared" si="148"/>
        <v>441.67157957428236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>
        <f>CT185*VLOOKUP('Données projet'!$B$13,Paramètres!$A$1:$I$89,3,0)*VLOOKUP('Données projet'!$B$13,Paramètres!$A$1:$I$89,5,0)</f>
        <v>0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338.72479490324491</v>
      </c>
      <c r="CZ185" s="62">
        <f t="shared" si="150"/>
        <v>248.47107558211923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-9.0949470177292824E-13</v>
      </c>
      <c r="O186" s="14">
        <f>N186*VLOOKUP('Données projet'!$B$9,Paramètres!$A$1:$I$89,3,0)*VLOOKUP('Données projet'!$B$9,Paramètres!$A$1:$I$89,5,0)</f>
        <v>-8.2291080616414541E-13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430.11660085503223</v>
      </c>
      <c r="T186" s="62">
        <f t="shared" si="142"/>
        <v>231.36959598460686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-9.0949470177292824E-13</v>
      </c>
      <c r="AJ186" s="14">
        <f>AI186*VLOOKUP('Données projet'!$B$10,Paramètres!$A$1:$I$89,3,0)*VLOOKUP('Données projet'!$B$10,Paramètres!$A$1:$I$89,5,0)</f>
        <v>-8.7966327555477625E-13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456.86147223520601</v>
      </c>
      <c r="AO186" s="62">
        <f t="shared" si="144"/>
        <v>244.45149244446094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-1.1368683772161603E-13</v>
      </c>
      <c r="BE186" s="14">
        <f>BD186*VLOOKUP('Données projet'!$B$11,Paramètres!$A$1:$I$89,3,0)*VLOOKUP('Données projet'!$B$11,Paramètres!$A$1:$I$89,5,0)</f>
        <v>-6.7984728957526396E-14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215.43756133069593</v>
      </c>
      <c r="BJ186" s="62">
        <f t="shared" si="146"/>
        <v>363.02009369315243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5.3424470678744704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5.8891492710127602E-20</v>
      </c>
      <c r="BS186" s="24">
        <f t="shared" si="169"/>
        <v>5.3424470678744704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-6.8212102632969618E-13</v>
      </c>
      <c r="BZ186" s="14">
        <f>BY186*VLOOKUP('Données projet'!$B$12,Paramètres!$A$1:$I$89,3,0)*VLOOKUP('Données projet'!$B$12,Paramètres!$A$1:$I$89,5,0)</f>
        <v>-3.0149749363772573E-13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461.75392711528474</v>
      </c>
      <c r="CE186" s="62">
        <f t="shared" si="148"/>
        <v>441.67157957428236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>
        <f>CT186*VLOOKUP('Données projet'!$B$13,Paramètres!$A$1:$I$89,3,0)*VLOOKUP('Données projet'!$B$13,Paramètres!$A$1:$I$89,5,0)</f>
        <v>0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338.72479490324491</v>
      </c>
      <c r="CZ186" s="62">
        <f t="shared" si="150"/>
        <v>248.47107558211923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-9.0949470177292824E-13</v>
      </c>
      <c r="O187" s="14">
        <f>N187*VLOOKUP('Données projet'!$B$9,Paramètres!$A$1:$I$89,3,0)*VLOOKUP('Données projet'!$B$9,Paramètres!$A$1:$I$89,5,0)</f>
        <v>-8.2291080616414541E-13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430.11660085503223</v>
      </c>
      <c r="T187" s="62">
        <f t="shared" si="142"/>
        <v>231.36959598460686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-9.0949470177292824E-13</v>
      </c>
      <c r="AJ187" s="14">
        <f>AI187*VLOOKUP('Données projet'!$B$10,Paramètres!$A$1:$I$89,3,0)*VLOOKUP('Données projet'!$B$10,Paramètres!$A$1:$I$89,5,0)</f>
        <v>-8.7966327555477625E-13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456.86147223520601</v>
      </c>
      <c r="AO187" s="62">
        <f t="shared" si="144"/>
        <v>244.45149244446094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-1.1368683772161603E-13</v>
      </c>
      <c r="BE187" s="14">
        <f>BD187*VLOOKUP('Données projet'!$B$11,Paramètres!$A$1:$I$89,3,0)*VLOOKUP('Données projet'!$B$11,Paramètres!$A$1:$I$89,5,0)</f>
        <v>-6.7984728957526396E-14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215.43756133069593</v>
      </c>
      <c r="BJ187" s="62">
        <f t="shared" si="146"/>
        <v>363.02009369315243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5.2376849394444065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4.1642573849529357E-20</v>
      </c>
      <c r="BS187" s="24">
        <f t="shared" si="169"/>
        <v>5.2376849394444065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-6.8212102632969618E-13</v>
      </c>
      <c r="BZ187" s="14">
        <f>BY187*VLOOKUP('Données projet'!$B$12,Paramètres!$A$1:$I$89,3,0)*VLOOKUP('Données projet'!$B$12,Paramètres!$A$1:$I$89,5,0)</f>
        <v>-3.0149749363772573E-13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461.75392711528474</v>
      </c>
      <c r="CE187" s="62">
        <f t="shared" si="148"/>
        <v>441.67157957428236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>
        <f>CT187*VLOOKUP('Données projet'!$B$13,Paramètres!$A$1:$I$89,3,0)*VLOOKUP('Données projet'!$B$13,Paramètres!$A$1:$I$89,5,0)</f>
        <v>0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338.72479490324491</v>
      </c>
      <c r="CZ187" s="62">
        <f t="shared" si="150"/>
        <v>248.47107558211923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-9.0949470177292824E-13</v>
      </c>
      <c r="O188" s="14">
        <f>N188*VLOOKUP('Données projet'!$B$9,Paramètres!$A$1:$I$89,3,0)*VLOOKUP('Données projet'!$B$9,Paramètres!$A$1:$I$89,5,0)</f>
        <v>-8.2291080616414541E-13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430.11660085503223</v>
      </c>
      <c r="T188" s="62">
        <f t="shared" si="142"/>
        <v>231.36959598460686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-9.0949470177292824E-13</v>
      </c>
      <c r="AJ188" s="14">
        <f>AI188*VLOOKUP('Données projet'!$B$10,Paramètres!$A$1:$I$89,3,0)*VLOOKUP('Données projet'!$B$10,Paramètres!$A$1:$I$89,5,0)</f>
        <v>-8.7966327555477625E-13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456.86147223520601</v>
      </c>
      <c r="AO188" s="62">
        <f t="shared" si="144"/>
        <v>244.45149244446094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-1.1368683772161603E-13</v>
      </c>
      <c r="BE188" s="14">
        <f>BD188*VLOOKUP('Données projet'!$B$11,Paramètres!$A$1:$I$89,3,0)*VLOOKUP('Données projet'!$B$11,Paramètres!$A$1:$I$89,5,0)</f>
        <v>-6.7984728957526396E-14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215.43756133069593</v>
      </c>
      <c r="BJ188" s="62">
        <f t="shared" si="146"/>
        <v>363.02009369315243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5.1349771324542672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2.9445746355063801E-20</v>
      </c>
      <c r="BS188" s="24">
        <f t="shared" si="169"/>
        <v>5.1349771324542672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-6.8212102632969618E-13</v>
      </c>
      <c r="BZ188" s="14">
        <f>BY188*VLOOKUP('Données projet'!$B$12,Paramètres!$A$1:$I$89,3,0)*VLOOKUP('Données projet'!$B$12,Paramètres!$A$1:$I$89,5,0)</f>
        <v>-3.0149749363772573E-13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461.75392711528474</v>
      </c>
      <c r="CE188" s="62">
        <f t="shared" si="148"/>
        <v>441.67157957428236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>
        <f>CT188*VLOOKUP('Données projet'!$B$13,Paramètres!$A$1:$I$89,3,0)*VLOOKUP('Données projet'!$B$13,Paramètres!$A$1:$I$89,5,0)</f>
        <v>0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338.72479490324491</v>
      </c>
      <c r="CZ188" s="62">
        <f t="shared" si="150"/>
        <v>248.47107558211923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-9.0949470177292824E-13</v>
      </c>
      <c r="O189" s="14">
        <f>N189*VLOOKUP('Données projet'!$B$9,Paramètres!$A$1:$I$89,3,0)*VLOOKUP('Données projet'!$B$9,Paramètres!$A$1:$I$89,5,0)</f>
        <v>-8.2291080616414541E-13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430.11660085503223</v>
      </c>
      <c r="T189" s="62">
        <f t="shared" si="142"/>
        <v>231.36959598460686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-9.0949470177292824E-13</v>
      </c>
      <c r="AJ189" s="14">
        <f>AI189*VLOOKUP('Données projet'!$B$10,Paramètres!$A$1:$I$89,3,0)*VLOOKUP('Données projet'!$B$10,Paramètres!$A$1:$I$89,5,0)</f>
        <v>-8.7966327555477625E-13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456.86147223520601</v>
      </c>
      <c r="AO189" s="62">
        <f t="shared" si="144"/>
        <v>244.45149244446094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-1.1368683772161603E-13</v>
      </c>
      <c r="BE189" s="14">
        <f>BD189*VLOOKUP('Données projet'!$B$11,Paramètres!$A$1:$I$89,3,0)*VLOOKUP('Données projet'!$B$11,Paramètres!$A$1:$I$89,5,0)</f>
        <v>-6.7984728957526396E-14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215.43756133069593</v>
      </c>
      <c r="BJ189" s="62">
        <f t="shared" si="146"/>
        <v>363.02009369315243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5.0342833629136283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2.0821286924764678E-20</v>
      </c>
      <c r="BS189" s="24">
        <f t="shared" si="169"/>
        <v>5.0342833629136283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-6.8212102632969618E-13</v>
      </c>
      <c r="BZ189" s="14">
        <f>BY189*VLOOKUP('Données projet'!$B$12,Paramètres!$A$1:$I$89,3,0)*VLOOKUP('Données projet'!$B$12,Paramètres!$A$1:$I$89,5,0)</f>
        <v>-3.0149749363772573E-13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461.75392711528474</v>
      </c>
      <c r="CE189" s="62">
        <f t="shared" si="148"/>
        <v>441.67157957428236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>
        <f>CT189*VLOOKUP('Données projet'!$B$13,Paramètres!$A$1:$I$89,3,0)*VLOOKUP('Données projet'!$B$13,Paramètres!$A$1:$I$89,5,0)</f>
        <v>0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338.72479490324491</v>
      </c>
      <c r="CZ189" s="62">
        <f t="shared" si="150"/>
        <v>248.47107558211923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-9.0949470177292824E-13</v>
      </c>
      <c r="O190" s="14">
        <f>N190*VLOOKUP('Données projet'!$B$9,Paramètres!$A$1:$I$89,3,0)*VLOOKUP('Données projet'!$B$9,Paramètres!$A$1:$I$89,5,0)</f>
        <v>-8.2291080616414541E-13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430.11660085503223</v>
      </c>
      <c r="T190" s="62">
        <f t="shared" si="142"/>
        <v>231.36959598460686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-9.0949470177292824E-13</v>
      </c>
      <c r="AJ190" s="14">
        <f>AI190*VLOOKUP('Données projet'!$B$10,Paramètres!$A$1:$I$89,3,0)*VLOOKUP('Données projet'!$B$10,Paramètres!$A$1:$I$89,5,0)</f>
        <v>-8.7966327555477625E-13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456.86147223520601</v>
      </c>
      <c r="AO190" s="62">
        <f t="shared" si="144"/>
        <v>244.45149244446094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-1.1368683772161603E-13</v>
      </c>
      <c r="BE190" s="14">
        <f>BD190*VLOOKUP('Données projet'!$B$11,Paramètres!$A$1:$I$89,3,0)*VLOOKUP('Données projet'!$B$11,Paramètres!$A$1:$I$89,5,0)</f>
        <v>-6.7984728957526396E-14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215.43756133069593</v>
      </c>
      <c r="BJ190" s="62">
        <f t="shared" si="146"/>
        <v>363.02009369315243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4.9355641367765459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1.47228731775319E-20</v>
      </c>
      <c r="BS190" s="24">
        <f t="shared" si="169"/>
        <v>4.9355641367765459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-6.8212102632969618E-13</v>
      </c>
      <c r="BZ190" s="14">
        <f>BY190*VLOOKUP('Données projet'!$B$12,Paramètres!$A$1:$I$89,3,0)*VLOOKUP('Données projet'!$B$12,Paramètres!$A$1:$I$89,5,0)</f>
        <v>-3.0149749363772573E-13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461.75392711528474</v>
      </c>
      <c r="CE190" s="62">
        <f t="shared" si="148"/>
        <v>441.67157957428236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>
        <f>CT190*VLOOKUP('Données projet'!$B$13,Paramètres!$A$1:$I$89,3,0)*VLOOKUP('Données projet'!$B$13,Paramètres!$A$1:$I$89,5,0)</f>
        <v>0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338.72479490324491</v>
      </c>
      <c r="CZ190" s="62">
        <f t="shared" si="150"/>
        <v>248.47107558211923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-9.0949470177292824E-13</v>
      </c>
      <c r="O191" s="14">
        <f>N191*VLOOKUP('Données projet'!$B$9,Paramètres!$A$1:$I$89,3,0)*VLOOKUP('Données projet'!$B$9,Paramètres!$A$1:$I$89,5,0)</f>
        <v>-8.2291080616414541E-13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430.11660085503223</v>
      </c>
      <c r="T191" s="62">
        <f t="shared" si="142"/>
        <v>231.36959598460686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-9.0949470177292824E-13</v>
      </c>
      <c r="AJ191" s="14">
        <f>AI191*VLOOKUP('Données projet'!$B$10,Paramètres!$A$1:$I$89,3,0)*VLOOKUP('Données projet'!$B$10,Paramètres!$A$1:$I$89,5,0)</f>
        <v>-8.7966327555477625E-13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456.86147223520601</v>
      </c>
      <c r="AO191" s="62">
        <f t="shared" si="144"/>
        <v>244.45149244446094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-1.1368683772161603E-13</v>
      </c>
      <c r="BE191" s="14">
        <f>BD191*VLOOKUP('Données projet'!$B$11,Paramètres!$A$1:$I$89,3,0)*VLOOKUP('Données projet'!$B$11,Paramètres!$A$1:$I$89,5,0)</f>
        <v>-6.7984728957526396E-14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215.43756133069593</v>
      </c>
      <c r="BJ191" s="62">
        <f t="shared" si="146"/>
        <v>363.02009369315243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4.8387807344512295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1.0410643462382339E-20</v>
      </c>
      <c r="BS191" s="24">
        <f t="shared" si="169"/>
        <v>4.8387807344512295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-6.8212102632969618E-13</v>
      </c>
      <c r="BZ191" s="14">
        <f>BY191*VLOOKUP('Données projet'!$B$12,Paramètres!$A$1:$I$89,3,0)*VLOOKUP('Données projet'!$B$12,Paramètres!$A$1:$I$89,5,0)</f>
        <v>-3.0149749363772573E-13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461.75392711528474</v>
      </c>
      <c r="CE191" s="62">
        <f t="shared" si="148"/>
        <v>441.67157957428236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>
        <f>CT191*VLOOKUP('Données projet'!$B$13,Paramètres!$A$1:$I$89,3,0)*VLOOKUP('Données projet'!$B$13,Paramètres!$A$1:$I$89,5,0)</f>
        <v>0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338.72479490324491</v>
      </c>
      <c r="CZ191" s="62">
        <f t="shared" si="150"/>
        <v>248.47107558211923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-9.0949470177292824E-13</v>
      </c>
      <c r="O192" s="14">
        <f>N192*VLOOKUP('Données projet'!$B$9,Paramètres!$A$1:$I$89,3,0)*VLOOKUP('Données projet'!$B$9,Paramètres!$A$1:$I$89,5,0)</f>
        <v>-8.2291080616414541E-13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430.11660085503223</v>
      </c>
      <c r="T192" s="62">
        <f t="shared" si="142"/>
        <v>231.36959598460686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-9.0949470177292824E-13</v>
      </c>
      <c r="AJ192" s="14">
        <f>AI192*VLOOKUP('Données projet'!$B$10,Paramètres!$A$1:$I$89,3,0)*VLOOKUP('Données projet'!$B$10,Paramètres!$A$1:$I$89,5,0)</f>
        <v>-8.7966327555477625E-13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456.86147223520601</v>
      </c>
      <c r="AO192" s="62">
        <f t="shared" si="144"/>
        <v>244.45149244446094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-1.1368683772161603E-13</v>
      </c>
      <c r="BE192" s="14">
        <f>BD192*VLOOKUP('Données projet'!$B$11,Paramètres!$A$1:$I$89,3,0)*VLOOKUP('Données projet'!$B$11,Paramètres!$A$1:$I$89,5,0)</f>
        <v>-6.7984728957526396E-14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215.43756133069593</v>
      </c>
      <c r="BJ192" s="62">
        <f t="shared" si="146"/>
        <v>363.02009369315243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4.7438951956134661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7.3614365887659502E-21</v>
      </c>
      <c r="BS192" s="24">
        <f t="shared" si="169"/>
        <v>4.7438951956134661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-6.8212102632969618E-13</v>
      </c>
      <c r="BZ192" s="14">
        <f>BY192*VLOOKUP('Données projet'!$B$12,Paramètres!$A$1:$I$89,3,0)*VLOOKUP('Données projet'!$B$12,Paramètres!$A$1:$I$89,5,0)</f>
        <v>-3.0149749363772573E-13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461.75392711528474</v>
      </c>
      <c r="CE192" s="62">
        <f t="shared" si="148"/>
        <v>441.67157957428236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>
        <f>CT192*VLOOKUP('Données projet'!$B$13,Paramètres!$A$1:$I$89,3,0)*VLOOKUP('Données projet'!$B$13,Paramètres!$A$1:$I$89,5,0)</f>
        <v>0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338.72479490324491</v>
      </c>
      <c r="CZ192" s="62">
        <f t="shared" si="150"/>
        <v>248.47107558211923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-9.0949470177292824E-13</v>
      </c>
      <c r="O193" s="14">
        <f>N193*VLOOKUP('Données projet'!$B$9,Paramètres!$A$1:$I$89,3,0)*VLOOKUP('Données projet'!$B$9,Paramètres!$A$1:$I$89,5,0)</f>
        <v>-8.2291080616414541E-13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430.11660085503223</v>
      </c>
      <c r="T193" s="62">
        <f t="shared" si="142"/>
        <v>231.36959598460686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-9.0949470177292824E-13</v>
      </c>
      <c r="AJ193" s="14">
        <f>AI193*VLOOKUP('Données projet'!$B$10,Paramètres!$A$1:$I$89,3,0)*VLOOKUP('Données projet'!$B$10,Paramètres!$A$1:$I$89,5,0)</f>
        <v>-8.7966327555477625E-13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456.86147223520601</v>
      </c>
      <c r="AO193" s="62">
        <f t="shared" si="144"/>
        <v>244.45149244446094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-1.1368683772161603E-13</v>
      </c>
      <c r="BE193" s="14">
        <f>BD193*VLOOKUP('Données projet'!$B$11,Paramètres!$A$1:$I$89,3,0)*VLOOKUP('Données projet'!$B$11,Paramètres!$A$1:$I$89,5,0)</f>
        <v>-6.7984728957526396E-14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215.43756133069593</v>
      </c>
      <c r="BJ193" s="62">
        <f t="shared" si="146"/>
        <v>363.02009369315243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4.6508703043178468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5.2053217311911696E-21</v>
      </c>
      <c r="BS193" s="24">
        <f t="shared" si="169"/>
        <v>4.6508703043178468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-6.8212102632969618E-13</v>
      </c>
      <c r="BZ193" s="14">
        <f>BY193*VLOOKUP('Données projet'!$B$12,Paramètres!$A$1:$I$89,3,0)*VLOOKUP('Données projet'!$B$12,Paramètres!$A$1:$I$89,5,0)</f>
        <v>-3.0149749363772573E-13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461.75392711528474</v>
      </c>
      <c r="CE193" s="62">
        <f t="shared" si="148"/>
        <v>441.67157957428236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>
        <f>CT193*VLOOKUP('Données projet'!$B$13,Paramètres!$A$1:$I$89,3,0)*VLOOKUP('Données projet'!$B$13,Paramètres!$A$1:$I$89,5,0)</f>
        <v>0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338.72479490324491</v>
      </c>
      <c r="CZ193" s="62">
        <f t="shared" si="150"/>
        <v>248.47107558211923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-9.0949470177292824E-13</v>
      </c>
      <c r="O194" s="14">
        <f>N194*VLOOKUP('Données projet'!$B$9,Paramètres!$A$1:$I$89,3,0)*VLOOKUP('Données projet'!$B$9,Paramètres!$A$1:$I$89,5,0)</f>
        <v>-8.2291080616414541E-13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430.11660085503223</v>
      </c>
      <c r="T194" s="62">
        <f t="shared" si="142"/>
        <v>231.36959598460686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-9.0949470177292824E-13</v>
      </c>
      <c r="AJ194" s="14">
        <f>AI194*VLOOKUP('Données projet'!$B$10,Paramètres!$A$1:$I$89,3,0)*VLOOKUP('Données projet'!$B$10,Paramètres!$A$1:$I$89,5,0)</f>
        <v>-8.7966327555477625E-13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456.86147223520601</v>
      </c>
      <c r="AO194" s="62">
        <f t="shared" si="144"/>
        <v>244.45149244446094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-1.1368683772161603E-13</v>
      </c>
      <c r="BE194" s="14">
        <f>BD194*VLOOKUP('Données projet'!$B$11,Paramètres!$A$1:$I$89,3,0)*VLOOKUP('Données projet'!$B$11,Paramètres!$A$1:$I$89,5,0)</f>
        <v>-6.7984728957526396E-14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215.43756133069593</v>
      </c>
      <c r="BJ194" s="62">
        <f t="shared" si="146"/>
        <v>363.02009369315243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4.5596695744009539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3.6807182943829751E-21</v>
      </c>
      <c r="BS194" s="24">
        <f t="shared" si="169"/>
        <v>4.5596695744009539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-6.8212102632969618E-13</v>
      </c>
      <c r="BZ194" s="14">
        <f>BY194*VLOOKUP('Données projet'!$B$12,Paramètres!$A$1:$I$89,3,0)*VLOOKUP('Données projet'!$B$12,Paramètres!$A$1:$I$89,5,0)</f>
        <v>-3.0149749363772573E-13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461.75392711528474</v>
      </c>
      <c r="CE194" s="62">
        <f t="shared" si="148"/>
        <v>441.67157957428236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>
        <f>CT194*VLOOKUP('Données projet'!$B$13,Paramètres!$A$1:$I$89,3,0)*VLOOKUP('Données projet'!$B$13,Paramètres!$A$1:$I$89,5,0)</f>
        <v>0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338.72479490324491</v>
      </c>
      <c r="CZ194" s="62">
        <f t="shared" si="150"/>
        <v>248.47107558211923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-9.0949470177292824E-13</v>
      </c>
      <c r="O195" s="14">
        <f>N195*VLOOKUP('Données projet'!$B$9,Paramètres!$A$1:$I$89,3,0)*VLOOKUP('Données projet'!$B$9,Paramètres!$A$1:$I$89,5,0)</f>
        <v>-8.2291080616414541E-13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430.11660085503223</v>
      </c>
      <c r="T195" s="62">
        <f t="shared" si="142"/>
        <v>231.36959598460686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-9.0949470177292824E-13</v>
      </c>
      <c r="AJ195" s="14">
        <f>AI195*VLOOKUP('Données projet'!$B$10,Paramètres!$A$1:$I$89,3,0)*VLOOKUP('Données projet'!$B$10,Paramètres!$A$1:$I$89,5,0)</f>
        <v>-8.7966327555477625E-13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456.86147223520601</v>
      </c>
      <c r="AO195" s="62">
        <f t="shared" si="144"/>
        <v>244.45149244446094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-1.1368683772161603E-13</v>
      </c>
      <c r="BE195" s="14">
        <f>BD195*VLOOKUP('Données projet'!$B$11,Paramètres!$A$1:$I$89,3,0)*VLOOKUP('Données projet'!$B$11,Paramètres!$A$1:$I$89,5,0)</f>
        <v>-6.7984728957526396E-14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215.43756133069593</v>
      </c>
      <c r="BJ195" s="62">
        <f t="shared" si="146"/>
        <v>363.02009369315243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4.4702572351707781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2.6026608655955848E-21</v>
      </c>
      <c r="BS195" s="24">
        <f t="shared" si="169"/>
        <v>4.4702572351707781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-6.8212102632969618E-13</v>
      </c>
      <c r="BZ195" s="14">
        <f>BY195*VLOOKUP('Données projet'!$B$12,Paramètres!$A$1:$I$89,3,0)*VLOOKUP('Données projet'!$B$12,Paramètres!$A$1:$I$89,5,0)</f>
        <v>-3.0149749363772573E-13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461.75392711528474</v>
      </c>
      <c r="CE195" s="62">
        <f t="shared" si="148"/>
        <v>441.67157957428236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>
        <f>CT195*VLOOKUP('Données projet'!$B$13,Paramètres!$A$1:$I$89,3,0)*VLOOKUP('Données projet'!$B$13,Paramètres!$A$1:$I$89,5,0)</f>
        <v>0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338.72479490324491</v>
      </c>
      <c r="CZ195" s="62">
        <f t="shared" si="150"/>
        <v>248.47107558211923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-9.0949470177292824E-13</v>
      </c>
      <c r="O196" s="14">
        <f>N196*VLOOKUP('Données projet'!$B$9,Paramètres!$A$1:$I$89,3,0)*VLOOKUP('Données projet'!$B$9,Paramètres!$A$1:$I$89,5,0)</f>
        <v>-8.2291080616414541E-13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430.11660085503223</v>
      </c>
      <c r="T196" s="62">
        <f t="shared" si="142"/>
        <v>231.36959598460686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-9.0949470177292824E-13</v>
      </c>
      <c r="AJ196" s="14">
        <f>AI196*VLOOKUP('Données projet'!$B$10,Paramètres!$A$1:$I$89,3,0)*VLOOKUP('Données projet'!$B$10,Paramètres!$A$1:$I$89,5,0)</f>
        <v>-8.7966327555477625E-13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456.86147223520601</v>
      </c>
      <c r="AO196" s="62">
        <f t="shared" si="144"/>
        <v>244.45149244446094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-1.1368683772161603E-13</v>
      </c>
      <c r="BE196" s="14">
        <f>BD196*VLOOKUP('Données projet'!$B$11,Paramètres!$A$1:$I$89,3,0)*VLOOKUP('Données projet'!$B$11,Paramètres!$A$1:$I$89,5,0)</f>
        <v>-6.7984728957526396E-14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215.43756133069593</v>
      </c>
      <c r="BJ196" s="62">
        <f t="shared" si="146"/>
        <v>363.02009369315243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4.3825982173767644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1.8403591471914876E-21</v>
      </c>
      <c r="BS196" s="24">
        <f t="shared" si="169"/>
        <v>4.3825982173767644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-6.8212102632969618E-13</v>
      </c>
      <c r="BZ196" s="14">
        <f>BY196*VLOOKUP('Données projet'!$B$12,Paramètres!$A$1:$I$89,3,0)*VLOOKUP('Données projet'!$B$12,Paramètres!$A$1:$I$89,5,0)</f>
        <v>-3.0149749363772573E-13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461.75392711528474</v>
      </c>
      <c r="CE196" s="62">
        <f t="shared" si="148"/>
        <v>441.67157957428236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>
        <f>CT196*VLOOKUP('Données projet'!$B$13,Paramètres!$A$1:$I$89,3,0)*VLOOKUP('Données projet'!$B$13,Paramètres!$A$1:$I$89,5,0)</f>
        <v>0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338.72479490324491</v>
      </c>
      <c r="CZ196" s="62">
        <f t="shared" si="150"/>
        <v>248.47107558211923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-9.0949470177292824E-13</v>
      </c>
      <c r="O197" s="14">
        <f>N197*VLOOKUP('Données projet'!$B$9,Paramètres!$A$1:$I$89,3,0)*VLOOKUP('Données projet'!$B$9,Paramètres!$A$1:$I$89,5,0)</f>
        <v>-8.2291080616414541E-13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430.11660085503223</v>
      </c>
      <c r="T197" s="62">
        <f t="shared" ref="T197:T203" si="204">$T$3</f>
        <v>231.36959598460686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-9.0949470177292824E-13</v>
      </c>
      <c r="AJ197" s="14">
        <f>AI197*VLOOKUP('Données projet'!$B$10,Paramètres!$A$1:$I$89,3,0)*VLOOKUP('Données projet'!$B$10,Paramètres!$A$1:$I$89,5,0)</f>
        <v>-8.7966327555477625E-13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456.86147223520601</v>
      </c>
      <c r="AO197" s="62">
        <f t="shared" ref="AO197:AO203" si="205">$AO$3</f>
        <v>244.45149244446094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-1.1368683772161603E-13</v>
      </c>
      <c r="BE197" s="14">
        <f>BD197*VLOOKUP('Données projet'!$B$11,Paramètres!$A$1:$I$89,3,0)*VLOOKUP('Données projet'!$B$11,Paramètres!$A$1:$I$89,5,0)</f>
        <v>-6.7984728957526396E-14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215.43756133069593</v>
      </c>
      <c r="BJ197" s="62">
        <f t="shared" ref="BJ197:BJ203" si="206">$BJ$3</f>
        <v>363.02009369315243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4.2966581394549701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1.3013304327977924E-21</v>
      </c>
      <c r="BS197" s="24">
        <f t="shared" si="169"/>
        <v>4.2966581394549701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-6.8212102632969618E-13</v>
      </c>
      <c r="BZ197" s="14">
        <f>BY197*VLOOKUP('Données projet'!$B$12,Paramètres!$A$1:$I$89,3,0)*VLOOKUP('Données projet'!$B$12,Paramètres!$A$1:$I$89,5,0)</f>
        <v>-3.0149749363772573E-13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461.75392711528474</v>
      </c>
      <c r="CE197" s="62">
        <f t="shared" ref="CE197:CE203" si="207">$CE$3</f>
        <v>441.67157957428236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>
        <f>CT197*VLOOKUP('Données projet'!$B$13,Paramètres!$A$1:$I$89,3,0)*VLOOKUP('Données projet'!$B$13,Paramètres!$A$1:$I$89,5,0)</f>
        <v>0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338.72479490324491</v>
      </c>
      <c r="CZ197" s="62">
        <f t="shared" ref="CZ197:CZ203" si="208">$CZ$3</f>
        <v>248.47107558211923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-9.0949470177292824E-13</v>
      </c>
      <c r="O198" s="14">
        <f>N198*VLOOKUP('Données projet'!$B$9,Paramètres!$A$1:$I$89,3,0)*VLOOKUP('Données projet'!$B$9,Paramètres!$A$1:$I$89,5,0)</f>
        <v>-8.2291080616414541E-13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430.11660085503223</v>
      </c>
      <c r="T198" s="62">
        <f t="shared" si="204"/>
        <v>231.36959598460686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-9.0949470177292824E-13</v>
      </c>
      <c r="AJ198" s="14">
        <f>AI198*VLOOKUP('Données projet'!$B$10,Paramètres!$A$1:$I$89,3,0)*VLOOKUP('Données projet'!$B$10,Paramètres!$A$1:$I$89,5,0)</f>
        <v>-8.7966327555477625E-13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456.86147223520601</v>
      </c>
      <c r="AO198" s="62">
        <f t="shared" si="205"/>
        <v>244.45149244446094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-1.1368683772161603E-13</v>
      </c>
      <c r="BE198" s="14">
        <f>BD198*VLOOKUP('Données projet'!$B$11,Paramètres!$A$1:$I$89,3,0)*VLOOKUP('Données projet'!$B$11,Paramètres!$A$1:$I$89,5,0)</f>
        <v>-6.7984728957526396E-14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215.43756133069593</v>
      </c>
      <c r="BJ198" s="62">
        <f t="shared" si="206"/>
        <v>363.02009369315243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4.2124032940429501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9.2017957359574378E-22</v>
      </c>
      <c r="BS198" s="24">
        <f t="shared" si="169"/>
        <v>4.2124032940429501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-6.8212102632969618E-13</v>
      </c>
      <c r="BZ198" s="14">
        <f>BY198*VLOOKUP('Données projet'!$B$12,Paramètres!$A$1:$I$89,3,0)*VLOOKUP('Données projet'!$B$12,Paramètres!$A$1:$I$89,5,0)</f>
        <v>-3.0149749363772573E-13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461.75392711528474</v>
      </c>
      <c r="CE198" s="62">
        <f t="shared" si="207"/>
        <v>441.67157957428236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>
        <f>CT198*VLOOKUP('Données projet'!$B$13,Paramètres!$A$1:$I$89,3,0)*VLOOKUP('Données projet'!$B$13,Paramètres!$A$1:$I$89,5,0)</f>
        <v>0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338.72479490324491</v>
      </c>
      <c r="CZ198" s="62">
        <f t="shared" si="208"/>
        <v>248.47107558211923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-9.0949470177292824E-13</v>
      </c>
      <c r="O199" s="14">
        <f>N199*VLOOKUP('Données projet'!$B$9,Paramètres!$A$1:$I$89,3,0)*VLOOKUP('Données projet'!$B$9,Paramètres!$A$1:$I$89,5,0)</f>
        <v>-8.2291080616414541E-13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430.11660085503223</v>
      </c>
      <c r="T199" s="62">
        <f t="shared" si="204"/>
        <v>231.36959598460686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-9.0949470177292824E-13</v>
      </c>
      <c r="AJ199" s="14">
        <f>AI199*VLOOKUP('Données projet'!$B$10,Paramètres!$A$1:$I$89,3,0)*VLOOKUP('Données projet'!$B$10,Paramètres!$A$1:$I$89,5,0)</f>
        <v>-8.7966327555477625E-13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456.86147223520601</v>
      </c>
      <c r="AO199" s="62">
        <f t="shared" si="205"/>
        <v>244.45149244446094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-1.1368683772161603E-13</v>
      </c>
      <c r="BE199" s="14">
        <f>BD199*VLOOKUP('Données projet'!$B$11,Paramètres!$A$1:$I$89,3,0)*VLOOKUP('Données projet'!$B$11,Paramètres!$A$1:$I$89,5,0)</f>
        <v>-6.7984728957526396E-14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215.43756133069593</v>
      </c>
      <c r="BJ199" s="62">
        <f t="shared" si="206"/>
        <v>363.02009369315243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4.1298006347590785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6.506652163988962E-22</v>
      </c>
      <c r="BS199" s="24">
        <f t="shared" si="169"/>
        <v>4.1298006347590785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-6.8212102632969618E-13</v>
      </c>
      <c r="BZ199" s="14">
        <f>BY199*VLOOKUP('Données projet'!$B$12,Paramètres!$A$1:$I$89,3,0)*VLOOKUP('Données projet'!$B$12,Paramètres!$A$1:$I$89,5,0)</f>
        <v>-3.0149749363772573E-13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461.75392711528474</v>
      </c>
      <c r="CE199" s="62">
        <f t="shared" si="207"/>
        <v>441.67157957428236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>
        <f>CT199*VLOOKUP('Données projet'!$B$13,Paramètres!$A$1:$I$89,3,0)*VLOOKUP('Données projet'!$B$13,Paramètres!$A$1:$I$89,5,0)</f>
        <v>0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338.72479490324491</v>
      </c>
      <c r="CZ199" s="62">
        <f t="shared" si="208"/>
        <v>248.47107558211923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-9.0949470177292824E-13</v>
      </c>
      <c r="O200" s="14">
        <f>N200*VLOOKUP('Données projet'!$B$9,Paramètres!$A$1:$I$89,3,0)*VLOOKUP('Données projet'!$B$9,Paramètres!$A$1:$I$89,5,0)</f>
        <v>-8.2291080616414541E-13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430.11660085503223</v>
      </c>
      <c r="T200" s="62">
        <f t="shared" si="204"/>
        <v>231.36959598460686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-9.0949470177292824E-13</v>
      </c>
      <c r="AJ200" s="14">
        <f>AI200*VLOOKUP('Données projet'!$B$10,Paramètres!$A$1:$I$89,3,0)*VLOOKUP('Données projet'!$B$10,Paramètres!$A$1:$I$89,5,0)</f>
        <v>-8.7966327555477625E-13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456.86147223520601</v>
      </c>
      <c r="AO200" s="62">
        <f t="shared" si="205"/>
        <v>244.45149244446094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-1.1368683772161603E-13</v>
      </c>
      <c r="BE200" s="14">
        <f>BD200*VLOOKUP('Données projet'!$B$11,Paramètres!$A$1:$I$89,3,0)*VLOOKUP('Données projet'!$B$11,Paramètres!$A$1:$I$89,5,0)</f>
        <v>-6.7984728957526396E-14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215.43756133069593</v>
      </c>
      <c r="BJ200" s="62">
        <f t="shared" si="206"/>
        <v>363.02009369315243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4.0488177632411162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4.6008978679787189E-22</v>
      </c>
      <c r="BS200" s="24">
        <f t="shared" si="169"/>
        <v>4.0488177632411162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-6.8212102632969618E-13</v>
      </c>
      <c r="BZ200" s="14">
        <f>BY200*VLOOKUP('Données projet'!$B$12,Paramètres!$A$1:$I$89,3,0)*VLOOKUP('Données projet'!$B$12,Paramètres!$A$1:$I$89,5,0)</f>
        <v>-3.0149749363772573E-13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461.75392711528474</v>
      </c>
      <c r="CE200" s="62">
        <f t="shared" si="207"/>
        <v>441.67157957428236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>
        <f>CT200*VLOOKUP('Données projet'!$B$13,Paramètres!$A$1:$I$89,3,0)*VLOOKUP('Données projet'!$B$13,Paramètres!$A$1:$I$89,5,0)</f>
        <v>0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338.72479490324491</v>
      </c>
      <c r="CZ200" s="62">
        <f t="shared" si="208"/>
        <v>248.47107558211923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-9.0949470177292824E-13</v>
      </c>
      <c r="O201" s="14">
        <f>N201*VLOOKUP('Données projet'!$B$9,Paramètres!$A$1:$I$89,3,0)*VLOOKUP('Données projet'!$B$9,Paramètres!$A$1:$I$89,5,0)</f>
        <v>-8.2291080616414541E-13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430.11660085503223</v>
      </c>
      <c r="T201" s="62">
        <f t="shared" si="204"/>
        <v>231.36959598460686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-9.0949470177292824E-13</v>
      </c>
      <c r="AJ201" s="14">
        <f>AI201*VLOOKUP('Données projet'!$B$10,Paramètres!$A$1:$I$89,3,0)*VLOOKUP('Données projet'!$B$10,Paramètres!$A$1:$I$89,5,0)</f>
        <v>-8.7966327555477625E-13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456.86147223520601</v>
      </c>
      <c r="AO201" s="62">
        <f t="shared" si="205"/>
        <v>244.45149244446094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-1.1368683772161603E-13</v>
      </c>
      <c r="BE201" s="14">
        <f>BD201*VLOOKUP('Données projet'!$B$11,Paramètres!$A$1:$I$89,3,0)*VLOOKUP('Données projet'!$B$11,Paramètres!$A$1:$I$89,5,0)</f>
        <v>-6.7984728957526396E-14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215.43756133069593</v>
      </c>
      <c r="BJ201" s="62">
        <f t="shared" si="206"/>
        <v>363.02009369315243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3.9694229164389472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3.253326081994481E-22</v>
      </c>
      <c r="BS201" s="24">
        <f t="shared" si="169"/>
        <v>3.9694229164389472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-6.8212102632969618E-13</v>
      </c>
      <c r="BZ201" s="14">
        <f>BY201*VLOOKUP('Données projet'!$B$12,Paramètres!$A$1:$I$89,3,0)*VLOOKUP('Données projet'!$B$12,Paramètres!$A$1:$I$89,5,0)</f>
        <v>-3.0149749363772573E-13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461.75392711528474</v>
      </c>
      <c r="CE201" s="62">
        <f t="shared" si="207"/>
        <v>441.67157957428236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>
        <f>CT201*VLOOKUP('Données projet'!$B$13,Paramètres!$A$1:$I$89,3,0)*VLOOKUP('Données projet'!$B$13,Paramètres!$A$1:$I$89,5,0)</f>
        <v>0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338.72479490324491</v>
      </c>
      <c r="CZ201" s="62">
        <f t="shared" si="208"/>
        <v>248.47107558211923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-9.0949470177292824E-13</v>
      </c>
      <c r="O202" s="14">
        <f>N202*VLOOKUP('Données projet'!$B$9,Paramètres!$A$1:$I$89,3,0)*VLOOKUP('Données projet'!$B$9,Paramètres!$A$1:$I$89,5,0)</f>
        <v>-8.2291080616414541E-13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430.11660085503223</v>
      </c>
      <c r="T202" s="62">
        <f t="shared" si="204"/>
        <v>231.36959598460686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-9.0949470177292824E-13</v>
      </c>
      <c r="AJ202" s="14">
        <f>AI202*VLOOKUP('Données projet'!$B$10,Paramètres!$A$1:$I$89,3,0)*VLOOKUP('Données projet'!$B$10,Paramètres!$A$1:$I$89,5,0)</f>
        <v>-8.7966327555477625E-13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456.86147223520601</v>
      </c>
      <c r="AO202" s="62">
        <f t="shared" si="205"/>
        <v>244.45149244446094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-1.1368683772161603E-13</v>
      </c>
      <c r="BE202" s="14">
        <f>BD202*VLOOKUP('Données projet'!$B$11,Paramètres!$A$1:$I$89,3,0)*VLOOKUP('Données projet'!$B$11,Paramètres!$A$1:$I$89,5,0)</f>
        <v>-6.7984728957526396E-14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215.43756133069593</v>
      </c>
      <c r="BJ202" s="62">
        <f t="shared" si="206"/>
        <v>363.02009369315243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3.8915849541564937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2.3004489339893595E-22</v>
      </c>
      <c r="BS202" s="24">
        <f t="shared" si="169"/>
        <v>3.8915849541564937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-6.8212102632969618E-13</v>
      </c>
      <c r="BZ202" s="14">
        <f>BY202*VLOOKUP('Données projet'!$B$12,Paramètres!$A$1:$I$89,3,0)*VLOOKUP('Données projet'!$B$12,Paramètres!$A$1:$I$89,5,0)</f>
        <v>-3.0149749363772573E-13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461.75392711528474</v>
      </c>
      <c r="CE202" s="62">
        <f t="shared" si="207"/>
        <v>441.67157957428236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>
        <f>CT202*VLOOKUP('Données projet'!$B$13,Paramètres!$A$1:$I$89,3,0)*VLOOKUP('Données projet'!$B$13,Paramètres!$A$1:$I$89,5,0)</f>
        <v>0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338.72479490324491</v>
      </c>
      <c r="CZ202" s="62">
        <f t="shared" si="208"/>
        <v>248.47107558211923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-9.0949470177292824E-13</v>
      </c>
      <c r="O203" s="14">
        <f>N203*VLOOKUP('Données projet'!$B$9,Paramètres!$A$1:$I$89,3,0)*VLOOKUP('Données projet'!$B$9,Paramètres!$A$1:$I$89,5,0)</f>
        <v>-8.2291080616414541E-13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430.11660085503223</v>
      </c>
      <c r="T203" s="62">
        <f t="shared" si="204"/>
        <v>231.36959598460686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-9.0949470177292824E-13</v>
      </c>
      <c r="AJ203" s="14">
        <f>AI203*VLOOKUP('Données projet'!$B$10,Paramètres!$A$1:$I$89,3,0)*VLOOKUP('Données projet'!$B$10,Paramètres!$A$1:$I$89,5,0)</f>
        <v>-8.7966327555477625E-13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456.86147223520601</v>
      </c>
      <c r="AO203" s="62">
        <f t="shared" si="205"/>
        <v>244.45149244446094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-1.1368683772161603E-13</v>
      </c>
      <c r="BE203" s="14">
        <f>BD203*VLOOKUP('Données projet'!$B$11,Paramètres!$A$1:$I$89,3,0)*VLOOKUP('Données projet'!$B$11,Paramètres!$A$1:$I$89,5,0)</f>
        <v>-6.7984728957526396E-14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215.43756133069593</v>
      </c>
      <c r="BJ203" s="62">
        <f t="shared" si="206"/>
        <v>363.02009369315243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3.8152733468379303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1.6266630409972405E-22</v>
      </c>
      <c r="BS203" s="24">
        <f t="shared" si="169"/>
        <v>3.8152733468379303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-6.8212102632969618E-13</v>
      </c>
      <c r="BZ203" s="14">
        <f>BY203*VLOOKUP('Données projet'!$B$12,Paramètres!$A$1:$I$89,3,0)*VLOOKUP('Données projet'!$B$12,Paramètres!$A$1:$I$89,5,0)</f>
        <v>-3.0149749363772573E-13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461.75392711528474</v>
      </c>
      <c r="CE203" s="62">
        <f t="shared" si="207"/>
        <v>441.67157957428236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>
        <f>CT203*VLOOKUP('Données projet'!$B$13,Paramètres!$A$1:$I$89,3,0)*VLOOKUP('Données projet'!$B$13,Paramètres!$A$1:$I$89,5,0)</f>
        <v>0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338.72479490324491</v>
      </c>
      <c r="CZ203" s="62">
        <f t="shared" si="208"/>
        <v>248.47107558211923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1.2054868146447177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1.2054868146447177</v>
      </c>
      <c r="BA205" s="88">
        <f>EXP(LN('Données projet'!B88)/'Données projet'!A88)</f>
        <v>1.3822911730149987</v>
      </c>
      <c r="BV205" s="88">
        <f>EXP(LN('Données projet'!B114)/'Données projet'!A114)</f>
        <v>1.3086604650920644</v>
      </c>
      <c r="CQ205" s="88">
        <f>EXP(LN('Données projet'!B140)/'Données projet'!A140)</f>
        <v>1.2366440639531338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opLeftCell="B1" zoomScale="90" zoomScaleNormal="90" workbookViewId="0">
      <selection activeCell="M24" sqref="M24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3.9729000000000001</v>
      </c>
      <c r="C6" s="156">
        <f ca="1">IF(OR('Données projet'!B9="",'Données projet'!C9="",'Données projet'!C9=0%),0,Calculateur!S3)</f>
        <v>430.11660085503223</v>
      </c>
      <c r="D6" s="156">
        <f>IF(OR('Données projet'!B9="",'Données projet'!C9="",'Données projet'!C9=0%),0,Calculateur!T3)</f>
        <v>231.36959598460686</v>
      </c>
      <c r="E6" s="156">
        <f ca="1">MIN(C6,D6)</f>
        <v>231.36959598460686</v>
      </c>
      <c r="F6" s="156">
        <f ca="1">E6*B6</f>
        <v>919.20826788724457</v>
      </c>
      <c r="G6" s="156">
        <f ca="1">F6*(100%-'Données projet'!$C$24)*(100%-'Données projet'!$C$25)*(100%-'Données projet'!$C$26)*(100%-'Données projet'!$C$27)</f>
        <v>744.5586969886682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7.9458000000000002</v>
      </c>
      <c r="K6" s="160">
        <f>J6*(100%-'Données projet'!$C$24)*(100%-'Données projet'!$C$25)*(100%-'Données projet'!$C$26)*(100%-'Données projet'!$C$27)</f>
        <v>6.4360980000000003</v>
      </c>
      <c r="L6" s="161">
        <f ca="1">G6+I6+K6</f>
        <v>750.99479498866822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Alisier torminal</v>
      </c>
      <c r="B7" s="163">
        <f>'Données projet'!D10</f>
        <v>0.46739999999999998</v>
      </c>
      <c r="C7" s="156">
        <f ca="1">IF(OR('Données projet'!B10="",'Données projet'!C10="",'Données projet'!C10=0%),0,Calculateur!AN3)</f>
        <v>456.86147223520601</v>
      </c>
      <c r="D7" s="156">
        <f>IF(OR('Données projet'!B10="",'Données projet'!C10="",'Données projet'!C10=0%),0,Calculateur!AO3)</f>
        <v>244.45149244446094</v>
      </c>
      <c r="E7" s="156">
        <f t="shared" ref="E7:E15" ca="1" si="0">MIN(C7,D7)</f>
        <v>244.45149244446094</v>
      </c>
      <c r="F7" s="156">
        <f t="shared" ref="F7:F15" ca="1" si="1">E7*B7</f>
        <v>114.25662756854103</v>
      </c>
      <c r="G7" s="156">
        <f ca="1">F7*(100%-'Données projet'!$C$24)*(100%-'Données projet'!$C$25)*(100%-'Données projet'!$C$26)*(100%-'Données projet'!$C$27)</f>
        <v>92.547868330518241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0.93479999999999996</v>
      </c>
      <c r="K7" s="160">
        <f>J7*(100%-'Données projet'!$C$24)*(100%-'Données projet'!$C$25)*(100%-'Données projet'!$C$26)*(100%-'Données projet'!$C$27)</f>
        <v>0.75718799999999997</v>
      </c>
      <c r="L7" s="161">
        <f t="shared" ref="L7:L15" ca="1" si="2">G7+I7+K7</f>
        <v>93.305056330518241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Pin maritime</v>
      </c>
      <c r="B8" s="163">
        <f>'Données projet'!D11</f>
        <v>1.0126999999999999</v>
      </c>
      <c r="C8" s="156">
        <f ca="1">IF(OR('Données projet'!B11="",'Données projet'!C11="",'Données projet'!C11=0%),0,Calculateur!BI3)</f>
        <v>215.43756133069593</v>
      </c>
      <c r="D8" s="156">
        <f>IF(OR('Données projet'!B11="",'Données projet'!C11="",'Données projet'!C11=0%),0,Calculateur!BJ3)</f>
        <v>363.02009369315243</v>
      </c>
      <c r="E8" s="156">
        <f t="shared" ca="1" si="0"/>
        <v>215.43756133069593</v>
      </c>
      <c r="F8" s="156">
        <f t="shared" ca="1" si="1"/>
        <v>218.17361835959576</v>
      </c>
      <c r="G8" s="156">
        <f ca="1">F8*(100%-'Données projet'!$C$24)*(100%-'Données projet'!$C$25)*(100%-'Données projet'!$C$26)*(100%-'Données projet'!$C$27)</f>
        <v>176.72063087127259</v>
      </c>
      <c r="H8" s="164">
        <f>IF(OR('Données projet'!B11="",'Données projet'!C11="",'Données projet'!C11=0%),0,AVERAGE(Calculateur!$BS$3:$BS$33)*B8)</f>
        <v>9.5312670276633309</v>
      </c>
      <c r="I8" s="158">
        <f>H8*(100%-'Données projet'!$C$24)*(100%-'Données projet'!$C$25)*(100%-'Données projet'!$C$26)*(100%-'Données projet'!$C$27)</f>
        <v>7.7203262924072984</v>
      </c>
      <c r="J8" s="159">
        <f>IF(OR('Données projet'!B11="",'Données projet'!C11="",'Données projet'!C11=0%),0,SUM(Calculateur!$BL$3:$BL$33)*VLOOKUP('Données projet'!$B$11,Paramètres!$A$1:$I$89,9,0)*B8)</f>
        <v>104.38202709999999</v>
      </c>
      <c r="K8" s="160">
        <f>J8*(100%-'Données projet'!$C$24)*(100%-'Données projet'!$C$25)*(100%-'Données projet'!$C$26)*(100%-'Données projet'!$C$27)</f>
        <v>84.549441950999991</v>
      </c>
      <c r="L8" s="161">
        <f t="shared" ca="1" si="2"/>
        <v>268.99039911467986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Séquoia toujours vert</v>
      </c>
      <c r="B9" s="163">
        <f>'Données projet'!D12</f>
        <v>7.7899999999999997E-2</v>
      </c>
      <c r="C9" s="156">
        <f ca="1">IF(OR('Données projet'!B12="",'Données projet'!C12="",'Données projet'!C12=0%),0,Calculateur!CD3)</f>
        <v>461.75392711528474</v>
      </c>
      <c r="D9" s="156">
        <f>IF(OR('Données projet'!B12="",'Données projet'!C12="",'Données projet'!C12=0%),0,Calculateur!CE3)</f>
        <v>441.67157957428236</v>
      </c>
      <c r="E9" s="156">
        <f t="shared" ca="1" si="0"/>
        <v>441.67157957428236</v>
      </c>
      <c r="F9" s="156">
        <f t="shared" ca="1" si="1"/>
        <v>34.406216048836598</v>
      </c>
      <c r="G9" s="156">
        <f ca="1">F9*(100%-'Données projet'!$C$24)*(100%-'Données projet'!$C$25)*(100%-'Données projet'!$C$26)*(100%-'Données projet'!$C$27)</f>
        <v>27.869034999557645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2.579269</v>
      </c>
      <c r="K9" s="160">
        <f>J9*(100%-'Données projet'!$C$24)*(100%-'Données projet'!$C$25)*(100%-'Données projet'!$C$26)*(100%-'Données projet'!$C$27)</f>
        <v>2.0892078900000004</v>
      </c>
      <c r="L9" s="161">
        <f t="shared" ca="1" si="2"/>
        <v>29.958242889557646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Pin laricio</v>
      </c>
      <c r="B10" s="163">
        <f>'Données projet'!D13</f>
        <v>2.2590999999999997</v>
      </c>
      <c r="C10" s="156">
        <f ca="1">IF(OR('Données projet'!B13="",'Données projet'!C13="",'Données projet'!C13=0%),0,Calculateur!CY3)</f>
        <v>338.72479490324491</v>
      </c>
      <c r="D10" s="156">
        <f>IF(OR('Données projet'!B13="",'Données projet'!C13="",'Données projet'!C13=0%),0,Calculateur!CZ3)</f>
        <v>248.47107558211923</v>
      </c>
      <c r="E10" s="156">
        <f t="shared" ca="1" si="0"/>
        <v>248.47107558211923</v>
      </c>
      <c r="F10" s="156">
        <f t="shared" ca="1" si="1"/>
        <v>561.32100684756551</v>
      </c>
      <c r="G10" s="156">
        <f ca="1">F10*(100%-'Données projet'!$C$24)*(100%-'Données projet'!$C$25)*(100%-'Données projet'!$C$26)*(100%-'Données projet'!$C$27)</f>
        <v>454.67001554652808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32.056628999999994</v>
      </c>
      <c r="K10" s="160">
        <f>J10*(100%-'Données projet'!$C$24)*(100%-'Données projet'!$C$25)*(100%-'Données projet'!$C$26)*(100%-'Données projet'!$C$27)</f>
        <v>25.965869489999996</v>
      </c>
      <c r="L10" s="161">
        <f t="shared" ca="1" si="2"/>
        <v>480.63588503652807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1847.3657367117835</v>
      </c>
      <c r="G16" s="175">
        <f t="shared" ca="1" si="3"/>
        <v>1496.3662467365448</v>
      </c>
      <c r="H16" s="176">
        <f t="shared" si="3"/>
        <v>9.5312670276633309</v>
      </c>
      <c r="I16" s="176">
        <f t="shared" si="3"/>
        <v>7.7203262924072984</v>
      </c>
      <c r="J16" s="177">
        <f t="shared" si="3"/>
        <v>147.89852509999997</v>
      </c>
      <c r="K16" s="177">
        <f t="shared" si="3"/>
        <v>119.79780533099998</v>
      </c>
      <c r="L16" s="178">
        <f t="shared" ca="1" si="3"/>
        <v>1623.8843783599518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Alisier torminal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Pin maritime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Séquoia toujours vert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Pin laricio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O1" zoomScale="80" zoomScaleNormal="80" workbookViewId="0">
      <selection activeCell="J21" sqref="J2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1021.7620441564023</v>
      </c>
      <c r="U10" s="190">
        <f>'Données projet'!D9</f>
        <v>3.9729000000000001</v>
      </c>
      <c r="V10" s="189">
        <f>U10*T10</f>
        <v>4059.3584252289711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Alisier torminal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958.87982481456186</v>
      </c>
      <c r="U11" s="190">
        <f>'Données projet'!D10</f>
        <v>0.46739999999999998</v>
      </c>
      <c r="V11" s="189">
        <f t="shared" ref="V11" si="0">U11*T11</f>
        <v>448.18043011832617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Pin maritime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3573.1085363002553</v>
      </c>
      <c r="U12" s="190">
        <f>'Données projet'!D11</f>
        <v>1.0126999999999999</v>
      </c>
      <c r="V12" s="189">
        <f t="shared" ref="V12:V19" si="1">U12*T12</f>
        <v>3618.4870147112683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Séquoia toujours vert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3962.9349994590229</v>
      </c>
      <c r="U13" s="190">
        <f>'Données projet'!D12</f>
        <v>7.7899999999999997E-2</v>
      </c>
      <c r="V13" s="189">
        <f t="shared" si="1"/>
        <v>308.71263645785785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Pin laricio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1607.5272235301134</v>
      </c>
      <c r="U14" s="190">
        <f>'Données projet'!D13</f>
        <v>2.2590999999999997</v>
      </c>
      <c r="V14" s="189">
        <f t="shared" si="1"/>
        <v>3631.5647506768787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8500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-54148.6967428067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8</v>
      </c>
      <c r="C24" s="206">
        <v>10</v>
      </c>
      <c r="D24" s="194">
        <f t="shared" ref="D24:D42" si="2">B24*C24</f>
        <v>80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12291.716206788664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80</v>
      </c>
      <c r="Q25" s="265"/>
      <c r="R25" s="25"/>
      <c r="S25" s="198" t="s">
        <v>266</v>
      </c>
      <c r="T25" s="341">
        <f ca="1">T23-T24</f>
        <v>-66440.412949595368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42</v>
      </c>
      <c r="C26" s="206">
        <v>20</v>
      </c>
      <c r="D26" s="194">
        <f t="shared" si="2"/>
        <v>840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42</v>
      </c>
      <c r="C28" s="206">
        <v>30</v>
      </c>
      <c r="D28" s="194">
        <f t="shared" si="2"/>
        <v>1260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42</v>
      </c>
      <c r="C30" s="206">
        <v>40</v>
      </c>
      <c r="D30" s="194">
        <f t="shared" si="2"/>
        <v>1680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1577.883980332306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65</v>
      </c>
      <c r="B32" s="193">
        <f>'Données projet'!D45</f>
        <v>42</v>
      </c>
      <c r="C32" s="206">
        <v>50</v>
      </c>
      <c r="D32" s="194">
        <f t="shared" si="2"/>
        <v>2100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80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75</v>
      </c>
      <c r="B34" s="193">
        <f>'Données projet'!D47</f>
        <v>42</v>
      </c>
      <c r="C34" s="206">
        <v>60</v>
      </c>
      <c r="D34" s="194">
        <f t="shared" si="2"/>
        <v>2520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76.555023923444978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73.258396098990417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85</v>
      </c>
      <c r="B36" s="193">
        <f>'Données projet'!D49</f>
        <v>42</v>
      </c>
      <c r="C36" s="206">
        <v>70</v>
      </c>
      <c r="D36" s="194">
        <f t="shared" si="2"/>
        <v>2940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70.103728324392748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95</v>
      </c>
      <c r="B37" s="193">
        <f>'Données projet'!D50</f>
        <v>42</v>
      </c>
      <c r="C37" s="206">
        <v>75</v>
      </c>
      <c r="D37" s="194">
        <f t="shared" si="2"/>
        <v>3150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67.084907487457187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105</v>
      </c>
      <c r="B38" s="193">
        <f>'Données projet'!D51</f>
        <v>41</v>
      </c>
      <c r="C38" s="206">
        <v>80</v>
      </c>
      <c r="D38" s="194">
        <f t="shared" si="2"/>
        <v>3280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64.19608372005473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115</v>
      </c>
      <c r="B39" s="193">
        <f>'Données projet'!D52</f>
        <v>37</v>
      </c>
      <c r="C39" s="206">
        <v>90</v>
      </c>
      <c r="D39" s="194">
        <f t="shared" si="2"/>
        <v>3330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61.431659062253345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125</v>
      </c>
      <c r="B40" s="193">
        <f>'Données projet'!D53</f>
        <v>33</v>
      </c>
      <c r="C40" s="206">
        <v>100</v>
      </c>
      <c r="D40" s="194">
        <f t="shared" si="2"/>
        <v>3300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58.786276614596495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135</v>
      </c>
      <c r="B41" s="193">
        <f>'Données projet'!D54</f>
        <v>29</v>
      </c>
      <c r="C41" s="206">
        <v>150</v>
      </c>
      <c r="D41" s="194">
        <f t="shared" si="2"/>
        <v>4350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56.254810157508629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150</v>
      </c>
      <c r="B42" s="193">
        <f>'Données projet'!D55</f>
        <v>306</v>
      </c>
      <c r="C42" s="206">
        <v>200</v>
      </c>
      <c r="D42" s="194">
        <f t="shared" si="2"/>
        <v>61200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53.832354217711611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51.51421456240346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49.295899102778435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Alisier torminal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47.173109189261666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45.141731281590111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43.197828977598206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41.337635385261436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39.557545823216699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37.854110835614065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36.224029507764662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34.664143069631258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33.171428774766767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31.742994042839005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8</v>
      </c>
      <c r="C55" s="204">
        <v>10</v>
      </c>
      <c r="D55" s="191">
        <f t="shared" ref="D55:D73" si="4">B55*C55</f>
        <v>80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30.376070854391404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29.068010386977416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42</v>
      </c>
      <c r="C57" s="204">
        <v>20</v>
      </c>
      <c r="D57" s="191">
        <f t="shared" si="4"/>
        <v>840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27.816277882275045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26.618447734234497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42</v>
      </c>
      <c r="C59" s="204">
        <v>30</v>
      </c>
      <c r="D59" s="191">
        <f t="shared" si="4"/>
        <v>1260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25.472198788741153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24.375309845685312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55</v>
      </c>
      <c r="B61" s="193">
        <f>'Données projet'!D69</f>
        <v>42</v>
      </c>
      <c r="C61" s="204">
        <v>40</v>
      </c>
      <c r="D61" s="191">
        <f t="shared" si="4"/>
        <v>1680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23.325655354722791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22.321201296385443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65</v>
      </c>
      <c r="B63" s="193">
        <f>'Données projet'!D71</f>
        <v>42</v>
      </c>
      <c r="C63" s="204">
        <v>50</v>
      </c>
      <c r="D63" s="191">
        <f t="shared" si="4"/>
        <v>2100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21.360001240560241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20.440192574698791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75</v>
      </c>
      <c r="B65" s="193">
        <f>'Données projet'!D73</f>
        <v>42</v>
      </c>
      <c r="C65" s="204">
        <v>60</v>
      </c>
      <c r="D65" s="191">
        <f t="shared" si="4"/>
        <v>2520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19.559992894448612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18.717696549711594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85</v>
      </c>
      <c r="B67" s="193">
        <f>'Données projet'!D75</f>
        <v>42</v>
      </c>
      <c r="C67" s="204">
        <v>70</v>
      </c>
      <c r="D67" s="191">
        <f t="shared" si="4"/>
        <v>2940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17.911671339436936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95</v>
      </c>
      <c r="B68" s="193">
        <f>'Données projet'!D76</f>
        <v>42</v>
      </c>
      <c r="C68" s="204">
        <v>75</v>
      </c>
      <c r="D68" s="191">
        <f t="shared" si="4"/>
        <v>3150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17.14035534874348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105</v>
      </c>
      <c r="B69" s="193">
        <f>'Données projet'!D77</f>
        <v>41</v>
      </c>
      <c r="C69" s="204">
        <v>80</v>
      </c>
      <c r="D69" s="191">
        <f t="shared" si="4"/>
        <v>3280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16.402253922242565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115</v>
      </c>
      <c r="B70" s="193">
        <f>'Données projet'!D78</f>
        <v>37</v>
      </c>
      <c r="C70" s="204">
        <v>90</v>
      </c>
      <c r="D70" s="191">
        <f t="shared" si="4"/>
        <v>3330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15.695936767696237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125</v>
      </c>
      <c r="B71" s="193">
        <f>'Données projet'!D79</f>
        <v>33</v>
      </c>
      <c r="C71" s="204">
        <v>100</v>
      </c>
      <c r="D71" s="191">
        <f t="shared" si="4"/>
        <v>3300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15.020035184398315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135</v>
      </c>
      <c r="B72" s="193">
        <f>'Données projet'!D80</f>
        <v>29</v>
      </c>
      <c r="C72" s="204">
        <v>110</v>
      </c>
      <c r="D72" s="191">
        <f t="shared" si="4"/>
        <v>3190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14.373239410907479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150</v>
      </c>
      <c r="B73" s="193">
        <f>'Données projet'!D81</f>
        <v>306</v>
      </c>
      <c r="C73" s="204">
        <v>120</v>
      </c>
      <c r="D73" s="191">
        <f t="shared" si="4"/>
        <v>36720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13.754296086992806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13.1620058248735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12.595220885046414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Pin maritime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str">
        <f>IF(O75+1&lt;=MIN('Données projet'!$E$9:$E$18),O75+1,"STOP")</f>
        <v>STOP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12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13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14</v>
      </c>
      <c r="B87" s="193">
        <f>'Données projet'!D90</f>
        <v>22.2</v>
      </c>
      <c r="C87" s="204">
        <v>10</v>
      </c>
      <c r="D87" s="191">
        <f t="shared" si="6"/>
        <v>222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15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16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17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18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19</v>
      </c>
      <c r="B92" s="193">
        <f>'Données projet'!D95</f>
        <v>34.9</v>
      </c>
      <c r="C92" s="204">
        <v>15</v>
      </c>
      <c r="D92" s="191">
        <f t="shared" si="6"/>
        <v>523.5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20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21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22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23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24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25</v>
      </c>
      <c r="B98" s="193">
        <f>'Données projet'!D101</f>
        <v>54</v>
      </c>
      <c r="C98" s="204">
        <v>20</v>
      </c>
      <c r="D98" s="191">
        <f t="shared" si="6"/>
        <v>1080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26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27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28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29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30</v>
      </c>
      <c r="B103" s="193">
        <f>'Données projet'!D106</f>
        <v>63.6</v>
      </c>
      <c r="C103" s="204">
        <v>35</v>
      </c>
      <c r="D103" s="191">
        <f t="shared" si="6"/>
        <v>2226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42</v>
      </c>
      <c r="B104" s="193">
        <f>'Données projet'!D107</f>
        <v>360.8845</v>
      </c>
      <c r="C104" s="204">
        <v>40</v>
      </c>
      <c r="D104" s="191">
        <f t="shared" si="6"/>
        <v>14435.380000000001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Séquoia toujours vert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16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21</v>
      </c>
      <c r="B117" s="193">
        <f>'Données projet'!D115</f>
        <v>77</v>
      </c>
      <c r="C117" s="204">
        <v>10</v>
      </c>
      <c r="D117" s="191">
        <f t="shared" ref="D117:D135" si="8">B117*C117</f>
        <v>770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26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31</v>
      </c>
      <c r="B119" s="193">
        <f>'Données projet'!D117</f>
        <v>154</v>
      </c>
      <c r="C119" s="204">
        <v>15</v>
      </c>
      <c r="D119" s="191">
        <f t="shared" si="8"/>
        <v>2310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36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41</v>
      </c>
      <c r="B121" s="193">
        <f>'Données projet'!D119</f>
        <v>154</v>
      </c>
      <c r="C121" s="204">
        <v>20</v>
      </c>
      <c r="D121" s="191">
        <f t="shared" si="8"/>
        <v>3080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46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51</v>
      </c>
      <c r="B123" s="193">
        <f>'Données projet'!D121</f>
        <v>117</v>
      </c>
      <c r="C123" s="204">
        <v>30</v>
      </c>
      <c r="D123" s="191">
        <f t="shared" si="8"/>
        <v>3510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56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61</v>
      </c>
      <c r="B125" s="193">
        <f>'Données projet'!D123</f>
        <v>87</v>
      </c>
      <c r="C125" s="204">
        <v>35</v>
      </c>
      <c r="D125" s="191">
        <f t="shared" si="8"/>
        <v>3045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66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71</v>
      </c>
      <c r="B127" s="193">
        <f>'Données projet'!D125</f>
        <v>67</v>
      </c>
      <c r="C127" s="204">
        <v>50</v>
      </c>
      <c r="D127" s="191">
        <f t="shared" si="8"/>
        <v>3350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76</v>
      </c>
      <c r="B128" s="193">
        <f>'Données projet'!D126</f>
        <v>867</v>
      </c>
      <c r="C128" s="204">
        <v>60</v>
      </c>
      <c r="D128" s="191">
        <f t="shared" si="8"/>
        <v>52020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Pin laricio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22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25</v>
      </c>
      <c r="B148" s="187">
        <f>'Données projet'!D141</f>
        <v>33</v>
      </c>
      <c r="C148" s="204">
        <v>10</v>
      </c>
      <c r="D148" s="194">
        <f t="shared" ref="D148:D166" si="10">B148*C148</f>
        <v>330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30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35</v>
      </c>
      <c r="B150" s="187">
        <f>'Données projet'!D143</f>
        <v>75</v>
      </c>
      <c r="C150" s="204">
        <v>15</v>
      </c>
      <c r="D150" s="194">
        <f t="shared" si="10"/>
        <v>1125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40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45</v>
      </c>
      <c r="B152" s="187">
        <f>'Données projet'!D145</f>
        <v>94</v>
      </c>
      <c r="C152" s="204">
        <v>20</v>
      </c>
      <c r="D152" s="194">
        <f t="shared" si="10"/>
        <v>1880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50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58</v>
      </c>
      <c r="B154" s="187">
        <f>'Données projet'!D147</f>
        <v>131</v>
      </c>
      <c r="C154" s="204">
        <v>25</v>
      </c>
      <c r="D154" s="194">
        <f t="shared" si="10"/>
        <v>3275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66</v>
      </c>
      <c r="B155" s="187">
        <f>'Données projet'!D148</f>
        <v>65</v>
      </c>
      <c r="C155" s="204">
        <v>30</v>
      </c>
      <c r="D155" s="194">
        <f t="shared" si="10"/>
        <v>1950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74</v>
      </c>
      <c r="B156" s="187">
        <f>'Données projet'!D149</f>
        <v>37</v>
      </c>
      <c r="C156" s="204">
        <v>35</v>
      </c>
      <c r="D156" s="194">
        <f t="shared" si="10"/>
        <v>1295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82</v>
      </c>
      <c r="B157" s="187">
        <f>'Données projet'!D150</f>
        <v>541</v>
      </c>
      <c r="C157" s="204">
        <v>40</v>
      </c>
      <c r="D157" s="194">
        <f t="shared" si="10"/>
        <v>21640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CamilleS3</cp:lastModifiedBy>
  <dcterms:created xsi:type="dcterms:W3CDTF">2021-02-01T08:22:39Z</dcterms:created>
  <dcterms:modified xsi:type="dcterms:W3CDTF">2023-01-02T08:44:33Z</dcterms:modified>
</cp:coreProperties>
</file>