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A.S.O\Tour de France 2022\62 - Roquetoire\"/>
    </mc:Choice>
  </mc:AlternateContent>
  <bookViews>
    <workbookView xWindow="0" yWindow="0" windowWidth="20490" windowHeight="7755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1" i="1" l="1"/>
  <c r="B101" i="1"/>
  <c r="B99" i="1"/>
  <c r="B98" i="1"/>
  <c r="B97" i="1"/>
  <c r="D99" i="1"/>
  <c r="D97" i="1"/>
  <c r="D95" i="1"/>
  <c r="B95" i="1"/>
  <c r="D93" i="1"/>
  <c r="B93" i="1"/>
  <c r="D91" i="1"/>
  <c r="B91" i="1"/>
  <c r="D193" i="1" l="1"/>
  <c r="B49" i="1"/>
  <c r="D49" i="1" s="1"/>
  <c r="B47" i="1"/>
  <c r="B45" i="1"/>
  <c r="B43" i="1"/>
  <c r="B41" i="1"/>
  <c r="D47" i="1"/>
  <c r="D45" i="1"/>
  <c r="D43" i="1"/>
  <c r="D41" i="1"/>
  <c r="D39" i="1"/>
  <c r="B39" i="1"/>
  <c r="D37" i="1"/>
  <c r="B37" i="1"/>
  <c r="B159" i="1"/>
  <c r="D159" i="1" s="1"/>
  <c r="D158" i="1"/>
  <c r="B158" i="1"/>
  <c r="B157" i="1"/>
  <c r="B156" i="1"/>
  <c r="D157" i="1"/>
  <c r="D155" i="1"/>
  <c r="B155" i="1"/>
  <c r="B154" i="1"/>
  <c r="D153" i="1"/>
  <c r="B153" i="1"/>
  <c r="B152" i="1"/>
  <c r="D151" i="1"/>
  <c r="B151" i="1"/>
  <c r="B150" i="1"/>
  <c r="D149" i="1"/>
  <c r="B149" i="1"/>
  <c r="B148" i="1"/>
  <c r="D147" i="1"/>
  <c r="B147" i="1"/>
  <c r="B146" i="1"/>
  <c r="D145" i="1"/>
  <c r="B145" i="1"/>
  <c r="B144" i="1"/>
  <c r="D143" i="1"/>
  <c r="B143" i="1"/>
  <c r="B142" i="1"/>
  <c r="B141" i="1"/>
  <c r="D141" i="1"/>
  <c r="B140" i="1"/>
  <c r="D179" i="1"/>
  <c r="B179" i="1"/>
  <c r="B178" i="1"/>
  <c r="D177" i="1"/>
  <c r="B177" i="1"/>
  <c r="B176" i="1"/>
  <c r="D175" i="1"/>
  <c r="B175" i="1"/>
  <c r="B174" i="1"/>
  <c r="D173" i="1"/>
  <c r="B173" i="1"/>
  <c r="B172" i="1"/>
  <c r="D171" i="1"/>
  <c r="B171" i="1"/>
  <c r="B170" i="1"/>
  <c r="D169" i="1"/>
  <c r="B169" i="1"/>
  <c r="B168" i="1"/>
  <c r="D167" i="1"/>
  <c r="B167" i="1"/>
  <c r="B166" i="1"/>
  <c r="B205" i="1" l="1"/>
  <c r="D205" i="1" s="1"/>
  <c r="B203" i="1"/>
  <c r="D203" i="1"/>
  <c r="D201" i="1"/>
  <c r="B201" i="1"/>
  <c r="B200" i="1"/>
  <c r="D199" i="1"/>
  <c r="B199" i="1"/>
  <c r="D197" i="1"/>
  <c r="B197" i="1"/>
  <c r="D195" i="1"/>
  <c r="B195" i="1"/>
  <c r="B193" i="1"/>
  <c r="B192" i="1"/>
  <c r="D219" i="1"/>
  <c r="B219" i="1"/>
  <c r="D70" i="1"/>
  <c r="D63" i="1"/>
  <c r="B63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FR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V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W22" i="2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Q118" i="2"/>
  <c r="FS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FS140" i="2"/>
  <c r="FR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FR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DI154" i="2"/>
  <c r="EY154" i="2"/>
  <c r="EW155" i="2"/>
  <c r="EX155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B156" i="2" l="1"/>
  <c r="EY155" i="2"/>
  <c r="FS156" i="2"/>
  <c r="EX156" i="2"/>
  <c r="ED155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FS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FS161" i="2" l="1"/>
  <c r="EX161" i="2"/>
  <c r="EA161" i="2"/>
  <c r="ED161" i="2" s="1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W162" i="2"/>
  <c r="EY161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V163" i="2"/>
  <c r="EA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V164" i="2"/>
  <c r="EX164" i="2"/>
  <c r="FR164" i="2"/>
  <c r="FS164" i="2"/>
  <c r="DI163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Y166" i="2"/>
  <c r="FR167" i="2"/>
  <c r="EX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B168" i="2"/>
  <c r="EV168" i="2"/>
  <c r="EW168" i="2"/>
  <c r="DG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D172" i="2" s="1"/>
  <c r="EV172" i="2"/>
  <c r="EY171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Q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FQ178" i="2"/>
  <c r="FS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FS182" i="2"/>
  <c r="EX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B183" i="2" l="1"/>
  <c r="EY182" i="2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W185" i="2"/>
  <c r="EV185" i="2"/>
  <c r="ED184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W186" i="2"/>
  <c r="FR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Y186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V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A192" i="2" l="1"/>
  <c r="EY191" i="2"/>
  <c r="EV192" i="2"/>
  <c r="EW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EY192" i="2" l="1"/>
  <c r="FQ193" i="2"/>
  <c r="EX193" i="2"/>
  <c r="DI192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Y194" i="2" l="1"/>
  <c r="FQ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EW197" i="2"/>
  <c r="FS197" i="2"/>
  <c r="EC197" i="2"/>
  <c r="EA197" i="2"/>
  <c r="ED197" i="2" s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FS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Y200" i="2"/>
  <c r="FS201" i="2"/>
  <c r="ED200" i="2"/>
  <c r="EB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EY201" i="2"/>
  <c r="EW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DN103" i="2" a="1"/>
  <c r="DN103" i="2" s="1"/>
  <c r="DN114" i="2" a="1"/>
  <c r="DN114" i="2" s="1"/>
  <c r="AH90" i="2" a="1"/>
  <c r="AH90" i="2" s="1"/>
  <c r="AH19" i="2" a="1"/>
  <c r="AH19" i="2" s="1"/>
  <c r="AH166" i="2" a="1"/>
  <c r="AH166" i="2" s="1"/>
  <c r="AH62" i="2" a="1"/>
  <c r="AH62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BC31" i="2" a="1"/>
  <c r="BC31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FD82" i="2" a="1"/>
  <c r="FD82" i="2" s="1"/>
  <c r="DN187" i="2" a="1"/>
  <c r="DN187" i="2" s="1"/>
  <c r="HJ202" i="2"/>
  <c r="AX200" i="2"/>
  <c r="BC181" i="2" l="1" a="1"/>
  <c r="BC181" i="2" s="1"/>
  <c r="BC185" i="2" a="1"/>
  <c r="BC185" i="2" s="1"/>
  <c r="BC143" i="2" a="1"/>
  <c r="BC143" i="2" s="1"/>
  <c r="BC84" i="2" a="1"/>
  <c r="BC84" i="2" s="1"/>
  <c r="BC114" i="2" a="1"/>
  <c r="BC114" i="2" s="1"/>
  <c r="BC47" i="2" a="1"/>
  <c r="BC47" i="2" s="1"/>
  <c r="BC164" i="2" a="1"/>
  <c r="BC164" i="2" s="1"/>
  <c r="BC192" i="2" a="1"/>
  <c r="BC192" i="2" s="1"/>
  <c r="BC130" i="2" a="1"/>
  <c r="BC130" i="2" s="1"/>
  <c r="CS72" i="2" a="1"/>
  <c r="CS72" i="2" s="1"/>
  <c r="CS161" i="2" a="1"/>
  <c r="CS161" i="2" s="1"/>
  <c r="CS114" i="2" a="1"/>
  <c r="CS114" i="2" s="1"/>
  <c r="CS134" i="2" a="1"/>
  <c r="CS134" i="2" s="1"/>
  <c r="CS105" i="2" a="1"/>
  <c r="CS105" i="2" s="1"/>
  <c r="CS137" i="2" a="1"/>
  <c r="CS137" i="2" s="1"/>
  <c r="CS120" i="2" a="1"/>
  <c r="CS120" i="2" s="1"/>
  <c r="CS24" i="2" a="1"/>
  <c r="CS24" i="2" s="1"/>
  <c r="CS185" i="2" a="1"/>
  <c r="CS185" i="2" s="1"/>
  <c r="CS66" i="2" a="1"/>
  <c r="CS66" i="2" s="1"/>
  <c r="CS116" i="2" a="1"/>
  <c r="CS116" i="2" s="1"/>
  <c r="CS77" i="2" a="1"/>
  <c r="CS77" i="2" s="1"/>
  <c r="CS38" i="2" a="1"/>
  <c r="CS38" i="2" s="1"/>
  <c r="CS52" i="2" a="1"/>
  <c r="CS52" i="2" s="1"/>
  <c r="CS129" i="2" a="1"/>
  <c r="CS129" i="2" s="1"/>
  <c r="BC126" i="2" a="1"/>
  <c r="BC126" i="2" s="1"/>
  <c r="BC68" i="2" a="1"/>
  <c r="BC68" i="2" s="1"/>
  <c r="BC82" i="2" a="1"/>
  <c r="BC82" i="2" s="1"/>
  <c r="BC58" i="2" a="1"/>
  <c r="BC58" i="2" s="1"/>
  <c r="BC34" i="2" a="1"/>
  <c r="BC34" i="2" s="1"/>
  <c r="BC65" i="2" a="1"/>
  <c r="BC65" i="2" s="1"/>
  <c r="EI165" i="2" a="1"/>
  <c r="EI165" i="2" s="1"/>
  <c r="EI34" i="2" a="1"/>
  <c r="EI34" i="2" s="1"/>
  <c r="EI106" i="2" a="1"/>
  <c r="EI106" i="2" s="1"/>
  <c r="EI153" i="2" a="1"/>
  <c r="EI153" i="2" s="1"/>
  <c r="EI35" i="2" a="1"/>
  <c r="EI35" i="2" s="1"/>
  <c r="EI139" i="2" a="1"/>
  <c r="EI139" i="2" s="1"/>
  <c r="EI170" i="2" a="1"/>
  <c r="EI170" i="2" s="1"/>
  <c r="EI37" i="2" a="1"/>
  <c r="EI37" i="2" s="1"/>
  <c r="EI20" i="2" a="1"/>
  <c r="EI20" i="2" s="1"/>
  <c r="EI38" i="2" a="1"/>
  <c r="EI38" i="2" s="1"/>
  <c r="EI195" i="2" a="1"/>
  <c r="EI195" i="2" s="1"/>
  <c r="EI29" i="2" a="1"/>
  <c r="EI29" i="2" s="1"/>
  <c r="EI67" i="2" a="1"/>
  <c r="EI67" i="2" s="1"/>
  <c r="EI71" i="2" a="1"/>
  <c r="EI71" i="2" s="1"/>
  <c r="EI142" i="2" a="1"/>
  <c r="EI142" i="2" s="1"/>
  <c r="EI166" i="2" a="1"/>
  <c r="EI166" i="2" s="1"/>
  <c r="EI178" i="2" a="1"/>
  <c r="EI178" i="2" s="1"/>
  <c r="EI16" i="2" a="1"/>
  <c r="EI16" i="2" s="1"/>
  <c r="EI36" i="2" a="1"/>
  <c r="EI36" i="2" s="1"/>
  <c r="EI145" i="2" a="1"/>
  <c r="EI145" i="2" s="1"/>
  <c r="EI57" i="2" a="1"/>
  <c r="EI57" i="2" s="1"/>
  <c r="EI113" i="2" a="1"/>
  <c r="EI113" i="2" s="1"/>
  <c r="EI87" i="2" a="1"/>
  <c r="EI87" i="2" s="1"/>
  <c r="EI162" i="2" a="1"/>
  <c r="EI162" i="2" s="1"/>
  <c r="EI198" i="2" a="1"/>
  <c r="EI198" i="2" s="1"/>
  <c r="EI128" i="2" a="1"/>
  <c r="EI128" i="2" s="1"/>
  <c r="EI109" i="2" a="1"/>
  <c r="EI109" i="2" s="1"/>
  <c r="EI150" i="2" a="1"/>
  <c r="EI150" i="2" s="1"/>
  <c r="EY202" i="2"/>
  <c r="AH151" i="2" a="1"/>
  <c r="AH151" i="2" s="1"/>
  <c r="AH199" i="2" a="1"/>
  <c r="AH199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Y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24" i="2" l="1"/>
  <c r="CY167" i="2"/>
  <c r="CY49" i="2"/>
  <c r="CY175" i="2"/>
  <c r="CY19" i="2"/>
  <c r="CY117" i="2"/>
  <c r="CY124" i="2"/>
  <c r="CY76" i="2"/>
  <c r="CY178" i="2"/>
  <c r="CY142" i="2"/>
  <c r="CY73" i="2"/>
  <c r="CY111" i="2"/>
  <c r="CY182" i="2"/>
  <c r="CY20" i="2"/>
  <c r="CY150" i="2"/>
  <c r="CY56" i="2"/>
  <c r="CY187" i="2"/>
  <c r="CY64" i="2"/>
  <c r="CY183" i="2"/>
  <c r="CY157" i="2"/>
  <c r="CY138" i="2"/>
  <c r="CY171" i="2"/>
  <c r="CY193" i="2"/>
  <c r="CY180" i="2"/>
  <c r="CY130" i="2"/>
  <c r="CY52" i="2"/>
  <c r="CY85" i="2"/>
  <c r="CY172" i="2"/>
  <c r="CY113" i="2"/>
  <c r="CY145" i="2"/>
  <c r="CY63" i="2"/>
  <c r="CY55" i="2"/>
  <c r="CY129" i="2"/>
  <c r="CY59" i="2"/>
  <c r="CY38" i="2"/>
  <c r="CY10" i="2"/>
  <c r="CY156" i="2"/>
  <c r="CY108" i="2"/>
  <c r="CY23" i="2"/>
  <c r="CY15" i="2"/>
  <c r="CY134" i="2"/>
  <c r="CY82" i="2"/>
  <c r="CY149" i="2"/>
  <c r="CY66" i="2"/>
  <c r="CY98" i="2"/>
  <c r="CY45" i="2"/>
  <c r="CY135" i="2"/>
  <c r="CY92" i="2"/>
  <c r="CY139" i="2"/>
  <c r="CY41" i="2"/>
  <c r="CY143" i="2"/>
  <c r="CY203" i="2"/>
  <c r="CY202" i="2"/>
  <c r="CY81" i="2"/>
  <c r="CY13" i="2"/>
  <c r="CY114" i="2"/>
  <c r="CY140" i="2"/>
  <c r="CY122" i="2"/>
  <c r="CY34" i="2"/>
  <c r="CY191" i="2"/>
  <c r="CY190" i="2"/>
  <c r="CY51" i="2"/>
  <c r="CY199" i="2"/>
  <c r="CY9" i="2"/>
  <c r="CY75" i="2"/>
  <c r="CY158" i="2"/>
  <c r="CY7" i="2"/>
  <c r="CY30" i="2"/>
  <c r="CY176" i="2"/>
  <c r="CY14" i="2"/>
  <c r="CY86" i="2"/>
  <c r="CY54" i="2"/>
  <c r="CY169" i="2"/>
  <c r="CY155" i="2"/>
  <c r="CY95" i="2"/>
  <c r="CY89" i="2"/>
  <c r="CY25" i="2"/>
  <c r="CY36" i="2"/>
  <c r="CY26" i="2"/>
  <c r="CY118" i="2"/>
  <c r="CY125" i="2"/>
  <c r="CY97" i="2"/>
  <c r="CY62" i="2"/>
  <c r="CY29" i="2"/>
  <c r="CY17" i="2"/>
  <c r="CY165" i="2"/>
  <c r="CY18" i="2"/>
  <c r="CY177" i="2"/>
  <c r="CY39" i="2"/>
  <c r="CY53" i="2"/>
  <c r="CY61" i="2"/>
  <c r="CY40" i="2"/>
  <c r="CY22" i="2"/>
  <c r="CY184" i="2"/>
  <c r="CY196" i="2"/>
  <c r="CY96" i="2"/>
  <c r="CY6" i="2"/>
  <c r="CY5" i="2"/>
  <c r="CY87" i="2"/>
  <c r="CY141" i="2"/>
  <c r="CY28" i="2"/>
  <c r="CY161" i="2"/>
  <c r="CY164" i="2"/>
  <c r="CY43" i="2"/>
  <c r="CY144" i="2"/>
  <c r="CY173" i="2"/>
  <c r="CY137" i="2"/>
  <c r="CY31" i="2"/>
  <c r="CY65" i="2"/>
  <c r="CY120" i="2"/>
  <c r="CY119" i="2"/>
  <c r="CY88" i="2"/>
  <c r="CY8" i="2"/>
  <c r="CY179" i="2"/>
  <c r="CY181" i="2"/>
  <c r="CY197" i="2"/>
  <c r="CY110" i="2"/>
  <c r="CY170" i="2"/>
  <c r="CY189" i="2"/>
  <c r="CY148" i="2"/>
  <c r="CY131" i="2"/>
  <c r="CY166" i="2"/>
  <c r="CY106" i="2"/>
  <c r="CY105" i="2"/>
  <c r="CY16" i="2"/>
  <c r="CY112" i="2"/>
  <c r="CY101" i="2"/>
  <c r="CY12" i="2"/>
  <c r="CY21" i="2"/>
  <c r="CY70" i="2"/>
  <c r="CY83" i="2"/>
  <c r="CY44" i="2"/>
  <c r="CY79" i="2"/>
  <c r="CY72" i="2"/>
  <c r="CY84" i="2"/>
  <c r="CY103" i="2"/>
  <c r="CY160" i="2"/>
  <c r="CY185" i="2"/>
  <c r="CY80" i="2"/>
  <c r="CY107" i="2"/>
  <c r="CY4" i="2"/>
  <c r="CY74" i="2"/>
  <c r="CY152" i="2"/>
  <c r="CY93" i="2"/>
  <c r="CY162" i="2"/>
  <c r="CY33" i="2"/>
  <c r="CY146" i="2"/>
  <c r="CY3" i="2"/>
  <c r="C10" i="4" s="1"/>
  <c r="E10" i="4" s="1"/>
  <c r="F10" i="4" s="1"/>
  <c r="G10" i="4" s="1"/>
  <c r="L10" i="4" s="1"/>
  <c r="CY163" i="2"/>
  <c r="CY94" i="2"/>
  <c r="CY77" i="2"/>
  <c r="CY47" i="2"/>
  <c r="CY71" i="2"/>
  <c r="CY151" i="2"/>
  <c r="CY58" i="2"/>
  <c r="CY195" i="2"/>
  <c r="CY48" i="2"/>
  <c r="CY32" i="2"/>
  <c r="CY188" i="2"/>
  <c r="CY90" i="2"/>
  <c r="CY67" i="2"/>
  <c r="CY42" i="2"/>
  <c r="CY68" i="2"/>
  <c r="CY168" i="2"/>
  <c r="CY136" i="2"/>
  <c r="CY200" i="2"/>
  <c r="CY186" i="2"/>
  <c r="CY133" i="2"/>
  <c r="CY198" i="2"/>
  <c r="CY50" i="2"/>
  <c r="CY194" i="2"/>
  <c r="CY201" i="2"/>
  <c r="CY46" i="2"/>
  <c r="CY153" i="2"/>
  <c r="CY35" i="2"/>
  <c r="CY78" i="2"/>
  <c r="CY57" i="2"/>
  <c r="CY123" i="2"/>
  <c r="CY37" i="2"/>
  <c r="CY121" i="2"/>
  <c r="CY126" i="2"/>
  <c r="CY99" i="2"/>
  <c r="CY128" i="2"/>
  <c r="CY91" i="2"/>
  <c r="CY69" i="2"/>
  <c r="CY27" i="2"/>
  <c r="CY104" i="2"/>
  <c r="CY109" i="2"/>
  <c r="CY60" i="2"/>
  <c r="CY100" i="2"/>
  <c r="CY154" i="2"/>
  <c r="CY116" i="2"/>
  <c r="CY132" i="2"/>
  <c r="CY192" i="2"/>
  <c r="CY115" i="2"/>
  <c r="CY127" i="2"/>
  <c r="CY102" i="2"/>
  <c r="CY11" i="2"/>
  <c r="CY159" i="2"/>
  <c r="CY174" i="2"/>
  <c r="CY147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DT186" i="2" l="1"/>
  <c r="DT158" i="2"/>
  <c r="DT30" i="2"/>
  <c r="DT157" i="2"/>
  <c r="DT57" i="2"/>
  <c r="DT168" i="2"/>
  <c r="DT179" i="2"/>
  <c r="DT185" i="2"/>
  <c r="DT99" i="2"/>
  <c r="DT118" i="2"/>
  <c r="DT15" i="2"/>
  <c r="DT91" i="2"/>
  <c r="DT42" i="2"/>
  <c r="DT34" i="2"/>
  <c r="DT41" i="2"/>
  <c r="DT3" i="2"/>
  <c r="C11" i="4" s="1"/>
  <c r="E11" i="4" s="1"/>
  <c r="F11" i="4" s="1"/>
  <c r="G11" i="4" s="1"/>
  <c r="L11" i="4" s="1"/>
  <c r="DT169" i="2"/>
  <c r="DT101" i="2"/>
  <c r="DT161" i="2"/>
  <c r="DT27" i="2"/>
  <c r="DT167" i="2"/>
  <c r="DT43" i="2"/>
  <c r="DT160" i="2"/>
  <c r="DT184" i="2"/>
  <c r="DT31" i="2"/>
  <c r="DT142" i="2"/>
  <c r="DT199" i="2"/>
  <c r="DT166" i="2"/>
  <c r="DT61" i="2"/>
  <c r="DT150" i="2"/>
  <c r="DT96" i="2"/>
  <c r="DT32" i="2"/>
  <c r="DT60" i="2"/>
  <c r="DT94" i="2"/>
  <c r="DT180" i="2"/>
  <c r="DT74" i="2"/>
  <c r="DT125" i="2"/>
  <c r="DT49" i="2"/>
  <c r="DT7" i="2"/>
  <c r="DT159" i="2"/>
  <c r="DT192" i="2"/>
  <c r="DT59" i="2"/>
  <c r="DT162" i="2"/>
  <c r="DT177" i="2"/>
  <c r="DT147" i="2"/>
  <c r="DT163" i="2"/>
  <c r="DT146" i="2"/>
  <c r="DT120" i="2"/>
  <c r="DT65" i="2"/>
  <c r="DT106" i="2"/>
  <c r="DT10" i="2"/>
  <c r="DT8" i="2"/>
  <c r="DT113" i="2"/>
  <c r="DT55" i="2"/>
  <c r="DT89" i="2"/>
  <c r="DT97" i="2"/>
  <c r="DT68" i="2"/>
  <c r="DT11" i="2"/>
  <c r="DT71" i="2"/>
  <c r="DT174" i="2"/>
  <c r="DT33" i="2"/>
  <c r="DT47" i="2"/>
  <c r="DT54" i="2"/>
  <c r="DT128" i="2"/>
  <c r="DT5" i="2"/>
  <c r="DT79" i="2"/>
  <c r="DT116" i="2"/>
  <c r="DT36" i="2"/>
  <c r="DT88" i="2"/>
  <c r="DT181" i="2"/>
  <c r="DT20" i="2"/>
  <c r="DT77" i="2"/>
  <c r="DT130" i="2"/>
  <c r="DT140" i="2"/>
  <c r="DT122" i="2"/>
  <c r="DT173" i="2"/>
  <c r="DT107" i="2"/>
  <c r="DT87" i="2"/>
  <c r="DT12" i="2"/>
  <c r="DT84" i="2"/>
  <c r="DT134" i="2"/>
  <c r="DT93" i="2"/>
  <c r="DT170" i="2"/>
  <c r="DT17" i="2"/>
  <c r="DT75" i="2"/>
  <c r="DT133" i="2"/>
  <c r="DT135" i="2"/>
  <c r="DT123" i="2"/>
  <c r="DT69" i="2"/>
  <c r="DT196" i="2"/>
  <c r="DT138" i="2"/>
  <c r="DT18" i="2"/>
  <c r="DT136" i="2"/>
  <c r="DT9" i="2"/>
  <c r="DT46" i="2"/>
  <c r="DT115" i="2"/>
  <c r="DT45" i="2"/>
  <c r="DT37" i="2"/>
  <c r="DT104" i="2"/>
  <c r="DT72" i="2"/>
  <c r="DT183" i="2"/>
  <c r="DT98" i="2"/>
  <c r="DT44" i="2"/>
  <c r="DT126" i="2"/>
  <c r="DT117" i="2"/>
  <c r="DT81" i="2"/>
  <c r="DT21" i="2"/>
  <c r="DT16" i="2"/>
  <c r="DT24" i="2"/>
  <c r="DT13" i="2"/>
  <c r="DT58" i="2"/>
  <c r="DT193" i="2"/>
  <c r="DT119" i="2"/>
  <c r="DT164" i="2"/>
  <c r="DT90" i="2"/>
  <c r="DT26" i="2"/>
  <c r="DT25" i="2"/>
  <c r="DT4" i="2"/>
  <c r="DT198" i="2"/>
  <c r="DT83" i="2"/>
  <c r="DT6" i="2"/>
  <c r="DT155" i="2"/>
  <c r="DT35" i="2"/>
  <c r="DT80" i="2"/>
  <c r="DT203" i="2"/>
  <c r="DT85" i="2"/>
  <c r="DT66" i="2"/>
  <c r="DT112" i="2"/>
  <c r="DT188" i="2"/>
  <c r="DT149" i="2"/>
  <c r="DT182" i="2"/>
  <c r="DT154" i="2"/>
  <c r="DT103" i="2"/>
  <c r="DT67" i="2"/>
  <c r="DT23" i="2"/>
  <c r="DT202" i="2"/>
  <c r="DT50" i="2"/>
  <c r="DT48" i="2"/>
  <c r="DT105" i="2"/>
  <c r="DT137" i="2"/>
  <c r="DT176" i="2"/>
  <c r="DT129" i="2"/>
  <c r="DT38" i="2"/>
  <c r="DT63" i="2"/>
  <c r="DT194" i="2"/>
  <c r="DT76" i="2"/>
  <c r="DT78" i="2"/>
  <c r="DT171" i="2"/>
  <c r="DT62" i="2"/>
  <c r="DT187" i="2"/>
  <c r="DT19" i="2"/>
  <c r="DT144" i="2"/>
  <c r="DT51" i="2"/>
  <c r="DT108" i="2"/>
  <c r="DT14" i="2"/>
  <c r="DT195" i="2"/>
  <c r="DT64" i="2"/>
  <c r="DT40" i="2"/>
  <c r="DT114" i="2"/>
  <c r="DT124" i="2"/>
  <c r="DT73" i="2"/>
  <c r="DT56" i="2"/>
  <c r="DT100" i="2"/>
  <c r="DT139" i="2"/>
  <c r="DT200" i="2"/>
  <c r="DT153" i="2"/>
  <c r="DT92" i="2"/>
  <c r="DT95" i="2"/>
  <c r="DT156" i="2"/>
  <c r="DT189" i="2"/>
  <c r="DT28" i="2"/>
  <c r="DT53" i="2"/>
  <c r="DT39" i="2"/>
  <c r="DT178" i="2"/>
  <c r="DT70" i="2"/>
  <c r="DT190" i="2"/>
  <c r="DT197" i="2"/>
  <c r="DT201" i="2"/>
  <c r="DT145" i="2"/>
  <c r="DT172" i="2"/>
  <c r="DT52" i="2"/>
  <c r="DT143" i="2"/>
  <c r="DT131" i="2"/>
  <c r="DT102" i="2"/>
  <c r="DT175" i="2"/>
  <c r="DT111" i="2"/>
  <c r="DT151" i="2"/>
  <c r="DT132" i="2"/>
  <c r="DT110" i="2"/>
  <c r="DT191" i="2"/>
  <c r="DT148" i="2"/>
  <c r="DT86" i="2"/>
  <c r="DT127" i="2"/>
  <c r="DT141" i="2"/>
  <c r="DT82" i="2"/>
  <c r="DT152" i="2"/>
  <c r="DT109" i="2"/>
  <c r="DT121" i="2"/>
  <c r="DT165" i="2"/>
  <c r="DT29" i="2"/>
  <c r="DT22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<sst xmlns="http://schemas.openxmlformats.org/spreadsheetml/2006/main" count="1177" uniqueCount="324">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</sst>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2.6689104183509347</c:v>
                </c:pt>
                <c:pt idx="2">
                  <c:v>3.4899830590683352</c:v>
                </c:pt>
                <c:pt idx="3">
                  <c:v>4.5646726825905164</c:v>
                </c:pt>
                <c:pt idx="4">
                  <c:v>5.9716141615574472</c:v>
                </c:pt>
                <c:pt idx="5">
                  <c:v>7.8139092335961218</c:v>
                </c:pt>
                <c:pt idx="6">
                  <c:v>10.226764012784757</c:v>
                </c:pt>
                <c:pt idx="7">
                  <c:v>13.387517725469587</c:v>
                </c:pt>
                <c:pt idx="8">
                  <c:v>17.528813377583827</c:v>
                </c:pt>
                <c:pt idx="9">
                  <c:v>22.955897322390214</c:v>
                </c:pt>
                <c:pt idx="10">
                  <c:v>30.069345481461834</c:v>
                </c:pt>
                <c:pt idx="11">
                  <c:v>39.394922830832961</c:v>
                </c:pt>
                <c:pt idx="12">
                  <c:v>51.622820709160315</c:v>
                </c:pt>
                <c:pt idx="13">
                  <c:v>67.659224368464649</c:v>
                </c:pt>
                <c:pt idx="14">
                  <c:v>88.69409474214649</c:v>
                </c:pt>
                <c:pt idx="15">
                  <c:v>116.29027446560372</c:v>
                </c:pt>
                <c:pt idx="16">
                  <c:v>140.27513047395146</c:v>
                </c:pt>
                <c:pt idx="17">
                  <c:v>164.16133458057877</c:v>
                </c:pt>
                <c:pt idx="18">
                  <c:v>187.96529046020362</c:v>
                </c:pt>
                <c:pt idx="19">
                  <c:v>211.698889435729</c:v>
                </c:pt>
                <c:pt idx="20">
                  <c:v>235.3711313482562</c:v>
                </c:pt>
                <c:pt idx="21">
                  <c:v>145.47552012532867</c:v>
                </c:pt>
                <c:pt idx="22">
                  <c:v>171.06890310603498</c:v>
                </c:pt>
                <c:pt idx="23">
                  <c:v>196.57202562416433</c:v>
                </c:pt>
                <c:pt idx="24">
                  <c:v>221.99825658782564</c:v>
                </c:pt>
                <c:pt idx="25">
                  <c:v>247.35764363735257</c:v>
                </c:pt>
                <c:pt idx="26">
                  <c:v>271.63337657752703</c:v>
                </c:pt>
                <c:pt idx="27">
                  <c:v>295.86031593712704</c:v>
                </c:pt>
                <c:pt idx="28">
                  <c:v>320.04301686645277</c:v>
                </c:pt>
                <c:pt idx="29">
                  <c:v>344.18528987135363</c:v>
                </c:pt>
                <c:pt idx="30">
                  <c:v>368.29036734139117</c:v>
                </c:pt>
                <c:pt idx="31">
                  <c:v>270.95024442791083</c:v>
                </c:pt>
                <c:pt idx="32">
                  <c:v>292.79183050888702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377.44791553782278</c:v>
                </c:pt>
                <c:pt idx="37">
                  <c:v>396.76479421746438</c:v>
                </c:pt>
                <c:pt idx="38">
                  <c:v>416.06130692450483</c:v>
                </c:pt>
                <c:pt idx="39">
                  <c:v>435.33853059869926</c:v>
                </c:pt>
                <c:pt idx="40">
                  <c:v>454.59743907080428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433.64829237195022</c:v>
                </c:pt>
                <c:pt idx="47">
                  <c:v>448.17978162908202</c:v>
                </c:pt>
                <c:pt idx="48">
                  <c:v>462.70119023345586</c:v>
                </c:pt>
                <c:pt idx="49">
                  <c:v>477.212879043182</c:v>
                </c:pt>
                <c:pt idx="50">
                  <c:v>491.71518518509515</c:v>
                </c:pt>
                <c:pt idx="51">
                  <c:v>431.61981966331092</c:v>
                </c:pt>
                <c:pt idx="52">
                  <c:v>444.12551245998566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481.59827184865549</c:v>
                </c:pt>
                <c:pt idx="56">
                  <c:v>492.05233905304067</c:v>
                </c:pt>
                <c:pt idx="57">
                  <c:v>502.50169784424844</c:v>
                </c:pt>
                <c:pt idx="58">
                  <c:v>512.94645994076382</c:v>
                </c:pt>
                <c:pt idx="59">
                  <c:v>523.38673214011703</c:v>
                </c:pt>
                <c:pt idx="60">
                  <c:v>533.82261663157112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518.33554162748931</c:v>
                </c:pt>
                <c:pt idx="65">
                  <c:v>527.09028501417185</c:v>
                </c:pt>
                <c:pt idx="66">
                  <c:v>534.49575116718881</c:v>
                </c:pt>
                <c:pt idx="67">
                  <c:v>541.89905996909988</c:v>
                </c:pt>
                <c:pt idx="68">
                  <c:v>549.30024505818949</c:v>
                </c:pt>
                <c:pt idx="69">
                  <c:v>556.69933909209135</c:v>
                </c:pt>
                <c:pt idx="70">
                  <c:v>564.09637378931632</c:v>
                </c:pt>
                <c:pt idx="71">
                  <c:v>527.7635992605982</c:v>
                </c:pt>
                <c:pt idx="72">
                  <c:v>535.16886787415808</c:v>
                </c:pt>
                <c:pt idx="73">
                  <c:v>542.57198223629882</c:v>
                </c:pt>
                <c:pt idx="74">
                  <c:v>549.97297589437528</c:v>
                </c:pt>
                <c:pt idx="75">
                  <c:v>557.37188141896661</c:v>
                </c:pt>
                <c:pt idx="76">
                  <c:v>563.4240003694224</c:v>
                </c:pt>
                <c:pt idx="77">
                  <c:v>569.47475955098753</c:v>
                </c:pt>
                <c:pt idx="78">
                  <c:v>575.52417545438061</c:v>
                </c:pt>
                <c:pt idx="79">
                  <c:v>581.57226419525409</c:v>
                </c:pt>
                <c:pt idx="80">
                  <c:v>587.61904152662294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1440512"/>
        <c:axId val="1401437792"/>
      </c:scatterChart>
      <c:valAx>
        <c:axId val="14014405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1437792"/>
        <c:crosses val="autoZero"/>
        <c:crossBetween val="midCat"/>
      </c:valAx>
      <c:valAx>
        <c:axId val="140143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1440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1013680"/>
        <c:axId val="1581010960"/>
      </c:scatterChart>
      <c:valAx>
        <c:axId val="15810136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81010960"/>
        <c:crosses val="autoZero"/>
        <c:crossBetween val="midCat"/>
      </c:valAx>
      <c:valAx>
        <c:axId val="1581010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81013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2.6358219284503748</c:v>
                </c:pt>
                <c:pt idx="2">
                  <c:v>3.3407802804799442</c:v>
                </c:pt>
                <c:pt idx="3">
                  <c:v>4.2350219291255007</c:v>
                </c:pt>
                <c:pt idx="4">
                  <c:v>5.3695572305815107</c:v>
                </c:pt>
                <c:pt idx="5">
                  <c:v>6.8091906246186555</c:v>
                </c:pt>
                <c:pt idx="6">
                  <c:v>8.6362626443738666</c:v>
                </c:pt>
                <c:pt idx="7">
                  <c:v>10.955410010785373</c:v>
                </c:pt>
                <c:pt idx="8">
                  <c:v>13.899621540652397</c:v>
                </c:pt>
                <c:pt idx="9">
                  <c:v>17.637943544532806</c:v>
                </c:pt>
                <c:pt idx="10">
                  <c:v>22.385285151953138</c:v>
                </c:pt>
                <c:pt idx="11">
                  <c:v>28.414897292262125</c:v>
                </c:pt>
                <c:pt idx="12">
                  <c:v>36.074256167773257</c:v>
                </c:pt>
                <c:pt idx="13">
                  <c:v>45.805282274976577</c:v>
                </c:pt>
                <c:pt idx="14">
                  <c:v>58.170081211163478</c:v>
                </c:pt>
                <c:pt idx="15">
                  <c:v>73.883717762935518</c:v>
                </c:pt>
                <c:pt idx="16">
                  <c:v>91.083193034949701</c:v>
                </c:pt>
                <c:pt idx="17">
                  <c:v>108.20112627091545</c:v>
                </c:pt>
                <c:pt idx="18">
                  <c:v>125.25228324211768</c:v>
                </c:pt>
                <c:pt idx="19">
                  <c:v>142.24705494578913</c:v>
                </c:pt>
                <c:pt idx="20">
                  <c:v>159.19313575428075</c:v>
                </c:pt>
                <c:pt idx="21">
                  <c:v>128.44283600598467</c:v>
                </c:pt>
                <c:pt idx="22">
                  <c:v>147.19440041072556</c:v>
                </c:pt>
                <c:pt idx="23">
                  <c:v>165.88885903505457</c:v>
                </c:pt>
                <c:pt idx="24">
                  <c:v>184.5335587844996</c:v>
                </c:pt>
                <c:pt idx="25">
                  <c:v>203.13423715529458</c:v>
                </c:pt>
                <c:pt idx="26">
                  <c:v>175.92057051227536</c:v>
                </c:pt>
                <c:pt idx="27">
                  <c:v>196.11997175537036</c:v>
                </c:pt>
                <c:pt idx="28">
                  <c:v>216.27104494240783</c:v>
                </c:pt>
                <c:pt idx="29">
                  <c:v>236.37892704001885</c:v>
                </c:pt>
                <c:pt idx="30">
                  <c:v>256.44780875667226</c:v>
                </c:pt>
                <c:pt idx="31">
                  <c:v>276.4811708949199</c:v>
                </c:pt>
                <c:pt idx="32">
                  <c:v>233.75845318467341</c:v>
                </c:pt>
                <c:pt idx="33">
                  <c:v>253.8322112206821</c:v>
                </c:pt>
                <c:pt idx="34">
                  <c:v>273.87002957132694</c:v>
                </c:pt>
                <c:pt idx="35">
                  <c:v>293.87490695294508</c:v>
                </c:pt>
                <c:pt idx="36">
                  <c:v>313.84940040812484</c:v>
                </c:pt>
                <c:pt idx="37">
                  <c:v>333.79571492319081</c:v>
                </c:pt>
                <c:pt idx="38">
                  <c:v>290.64642518676169</c:v>
                </c:pt>
                <c:pt idx="39">
                  <c:v>310.005634252378</c:v>
                </c:pt>
                <c:pt idx="40">
                  <c:v>329.33801275966857</c:v>
                </c:pt>
                <c:pt idx="41">
                  <c:v>348.64535664092614</c:v>
                </c:pt>
                <c:pt idx="42">
                  <c:v>367.92924671972077</c:v>
                </c:pt>
                <c:pt idx="43">
                  <c:v>387.19108463358799</c:v>
                </c:pt>
                <c:pt idx="44">
                  <c:v>406.43212123270081</c:v>
                </c:pt>
                <c:pt idx="45">
                  <c:v>350.0367887774446</c:v>
                </c:pt>
                <c:pt idx="46">
                  <c:v>367.99101790074377</c:v>
                </c:pt>
                <c:pt idx="47">
                  <c:v>385.92613449835773</c:v>
                </c:pt>
                <c:pt idx="48">
                  <c:v>403.84315144097849</c:v>
                </c:pt>
                <c:pt idx="49">
                  <c:v>421.7429844216399</c:v>
                </c:pt>
                <c:pt idx="50">
                  <c:v>439.62646509306956</c:v>
                </c:pt>
                <c:pt idx="51">
                  <c:v>457.49435195604104</c:v>
                </c:pt>
                <c:pt idx="52">
                  <c:v>475.34733945827844</c:v>
                </c:pt>
                <c:pt idx="53">
                  <c:v>408.80503035744977</c:v>
                </c:pt>
                <c:pt idx="54">
                  <c:v>424.97612632602926</c:v>
                </c:pt>
                <c:pt idx="55">
                  <c:v>441.13398732603906</c:v>
                </c:pt>
                <c:pt idx="56">
                  <c:v>457.27916621968069</c:v>
                </c:pt>
                <c:pt idx="57">
                  <c:v>473.41217365831932</c:v>
                </c:pt>
                <c:pt idx="58">
                  <c:v>489.53348266366947</c:v>
                </c:pt>
                <c:pt idx="59">
                  <c:v>505.6435325742238</c:v>
                </c:pt>
                <c:pt idx="60">
                  <c:v>521.74273246270184</c:v>
                </c:pt>
                <c:pt idx="61">
                  <c:v>455.84453930443095</c:v>
                </c:pt>
                <c:pt idx="62">
                  <c:v>470.76000609173252</c:v>
                </c:pt>
                <c:pt idx="63">
                  <c:v>485.66541136738391</c:v>
                </c:pt>
                <c:pt idx="64">
                  <c:v>500.5611073217562</c:v>
                </c:pt>
                <c:pt idx="65">
                  <c:v>515.44742348183297</c:v>
                </c:pt>
                <c:pt idx="66">
                  <c:v>530.32466879559684</c:v>
                </c:pt>
                <c:pt idx="67">
                  <c:v>545.19313347042976</c:v>
                </c:pt>
                <c:pt idx="68">
                  <c:v>560.05309060059756</c:v>
                </c:pt>
                <c:pt idx="69">
                  <c:v>574.90479761309109</c:v>
                </c:pt>
                <c:pt idx="70">
                  <c:v>1.4005661123635408E-12</c:v>
                </c:pt>
                <c:pt idx="71">
                  <c:v>1.4005661123635408E-12</c:v>
                </c:pt>
                <c:pt idx="72">
                  <c:v>1.4005661123635408E-12</c:v>
                </c:pt>
                <c:pt idx="73">
                  <c:v>1.4005661123635408E-12</c:v>
                </c:pt>
                <c:pt idx="74">
                  <c:v>1.4005661123635408E-12</c:v>
                </c:pt>
                <c:pt idx="75">
                  <c:v>1.4005661123635408E-12</c:v>
                </c:pt>
                <c:pt idx="76">
                  <c:v>1.4005661123635408E-12</c:v>
                </c:pt>
                <c:pt idx="77">
                  <c:v>1.4005661123635408E-12</c:v>
                </c:pt>
                <c:pt idx="78">
                  <c:v>1.4005661123635408E-12</c:v>
                </c:pt>
                <c:pt idx="79">
                  <c:v>1.4005661123635408E-12</c:v>
                </c:pt>
                <c:pt idx="80">
                  <c:v>1.4005661123635408E-12</c:v>
                </c:pt>
                <c:pt idx="81">
                  <c:v>1.4005661123635408E-12</c:v>
                </c:pt>
                <c:pt idx="82">
                  <c:v>1.4005661123635408E-12</c:v>
                </c:pt>
                <c:pt idx="83">
                  <c:v>1.4005661123635408E-12</c:v>
                </c:pt>
                <c:pt idx="84">
                  <c:v>1.4005661123635408E-12</c:v>
                </c:pt>
                <c:pt idx="85">
                  <c:v>1.4005661123635408E-12</c:v>
                </c:pt>
                <c:pt idx="86">
                  <c:v>1.4005661123635408E-12</c:v>
                </c:pt>
                <c:pt idx="87">
                  <c:v>1.4005661123635408E-12</c:v>
                </c:pt>
                <c:pt idx="88">
                  <c:v>1.4005661123635408E-12</c:v>
                </c:pt>
                <c:pt idx="89">
                  <c:v>1.4005661123635408E-12</c:v>
                </c:pt>
                <c:pt idx="90">
                  <c:v>1.4005661123635408E-12</c:v>
                </c:pt>
                <c:pt idx="91">
                  <c:v>1.4005661123635408E-12</c:v>
                </c:pt>
                <c:pt idx="92">
                  <c:v>1.4005661123635408E-12</c:v>
                </c:pt>
                <c:pt idx="93">
                  <c:v>1.4005661123635408E-12</c:v>
                </c:pt>
                <c:pt idx="94">
                  <c:v>1.4005661123635408E-12</c:v>
                </c:pt>
                <c:pt idx="95">
                  <c:v>1.4005661123635408E-12</c:v>
                </c:pt>
                <c:pt idx="96">
                  <c:v>1.4005661123635408E-12</c:v>
                </c:pt>
                <c:pt idx="97">
                  <c:v>1.4005661123635408E-12</c:v>
                </c:pt>
                <c:pt idx="98">
                  <c:v>1.4005661123635408E-12</c:v>
                </c:pt>
                <c:pt idx="99">
                  <c:v>1.4005661123635408E-12</c:v>
                </c:pt>
                <c:pt idx="100">
                  <c:v>1.4005661123635408E-12</c:v>
                </c:pt>
                <c:pt idx="101">
                  <c:v>1.4005661123635408E-12</c:v>
                </c:pt>
                <c:pt idx="102">
                  <c:v>1.4005661123635408E-12</c:v>
                </c:pt>
                <c:pt idx="103">
                  <c:v>1.4005661123635408E-12</c:v>
                </c:pt>
                <c:pt idx="104">
                  <c:v>1.4005661123635408E-12</c:v>
                </c:pt>
                <c:pt idx="105">
                  <c:v>1.4005661123635408E-12</c:v>
                </c:pt>
                <c:pt idx="106">
                  <c:v>1.4005661123635408E-12</c:v>
                </c:pt>
                <c:pt idx="107">
                  <c:v>1.4005661123635408E-12</c:v>
                </c:pt>
                <c:pt idx="108">
                  <c:v>1.4005661123635408E-12</c:v>
                </c:pt>
                <c:pt idx="109">
                  <c:v>1.4005661123635408E-12</c:v>
                </c:pt>
                <c:pt idx="110">
                  <c:v>1.4005661123635408E-12</c:v>
                </c:pt>
                <c:pt idx="111">
                  <c:v>1.4005661123635408E-12</c:v>
                </c:pt>
                <c:pt idx="112">
                  <c:v>1.4005661123635408E-12</c:v>
                </c:pt>
                <c:pt idx="113">
                  <c:v>1.4005661123635408E-12</c:v>
                </c:pt>
                <c:pt idx="114">
                  <c:v>1.4005661123635408E-12</c:v>
                </c:pt>
                <c:pt idx="115">
                  <c:v>1.4005661123635408E-12</c:v>
                </c:pt>
                <c:pt idx="116">
                  <c:v>1.4005661123635408E-12</c:v>
                </c:pt>
                <c:pt idx="117">
                  <c:v>1.4005661123635408E-12</c:v>
                </c:pt>
                <c:pt idx="118">
                  <c:v>1.4005661123635408E-12</c:v>
                </c:pt>
                <c:pt idx="119">
                  <c:v>1.4005661123635408E-12</c:v>
                </c:pt>
                <c:pt idx="120">
                  <c:v>1.4005661123635408E-12</c:v>
                </c:pt>
                <c:pt idx="121">
                  <c:v>1.4005661123635408E-12</c:v>
                </c:pt>
                <c:pt idx="122">
                  <c:v>1.4005661123635408E-12</c:v>
                </c:pt>
                <c:pt idx="123">
                  <c:v>1.4005661123635408E-12</c:v>
                </c:pt>
                <c:pt idx="124">
                  <c:v>1.4005661123635408E-12</c:v>
                </c:pt>
                <c:pt idx="125">
                  <c:v>1.4005661123635408E-12</c:v>
                </c:pt>
                <c:pt idx="126">
                  <c:v>1.4005661123635408E-12</c:v>
                </c:pt>
                <c:pt idx="127">
                  <c:v>1.4005661123635408E-12</c:v>
                </c:pt>
                <c:pt idx="128">
                  <c:v>1.4005661123635408E-12</c:v>
                </c:pt>
                <c:pt idx="129">
                  <c:v>1.4005661123635408E-12</c:v>
                </c:pt>
                <c:pt idx="130">
                  <c:v>1.4005661123635408E-12</c:v>
                </c:pt>
                <c:pt idx="131">
                  <c:v>1.4005661123635408E-12</c:v>
                </c:pt>
                <c:pt idx="132">
                  <c:v>1.4005661123635408E-12</c:v>
                </c:pt>
                <c:pt idx="133">
                  <c:v>1.4005661123635408E-12</c:v>
                </c:pt>
                <c:pt idx="134">
                  <c:v>1.4005661123635408E-12</c:v>
                </c:pt>
                <c:pt idx="135">
                  <c:v>1.4005661123635408E-12</c:v>
                </c:pt>
                <c:pt idx="136">
                  <c:v>1.4005661123635408E-12</c:v>
                </c:pt>
                <c:pt idx="137">
                  <c:v>1.4005661123635408E-12</c:v>
                </c:pt>
                <c:pt idx="138">
                  <c:v>1.4005661123635408E-12</c:v>
                </c:pt>
                <c:pt idx="139">
                  <c:v>1.4005661123635408E-12</c:v>
                </c:pt>
                <c:pt idx="140">
                  <c:v>1.4005661123635408E-12</c:v>
                </c:pt>
                <c:pt idx="141">
                  <c:v>1.4005661123635408E-12</c:v>
                </c:pt>
                <c:pt idx="142">
                  <c:v>1.4005661123635408E-12</c:v>
                </c:pt>
                <c:pt idx="143">
                  <c:v>1.4005661123635408E-12</c:v>
                </c:pt>
                <c:pt idx="144">
                  <c:v>1.4005661123635408E-12</c:v>
                </c:pt>
                <c:pt idx="145">
                  <c:v>1.4005661123635408E-12</c:v>
                </c:pt>
                <c:pt idx="146">
                  <c:v>1.4005661123635408E-12</c:v>
                </c:pt>
                <c:pt idx="147">
                  <c:v>1.4005661123635408E-12</c:v>
                </c:pt>
                <c:pt idx="148">
                  <c:v>1.4005661123635408E-12</c:v>
                </c:pt>
                <c:pt idx="149">
                  <c:v>1.4005661123635408E-12</c:v>
                </c:pt>
                <c:pt idx="150">
                  <c:v>1.4005661123635408E-12</c:v>
                </c:pt>
                <c:pt idx="151">
                  <c:v>1.4005661123635408E-12</c:v>
                </c:pt>
                <c:pt idx="152">
                  <c:v>1.4005661123635408E-12</c:v>
                </c:pt>
                <c:pt idx="153">
                  <c:v>1.4005661123635408E-12</c:v>
                </c:pt>
                <c:pt idx="154">
                  <c:v>1.4005661123635408E-12</c:v>
                </c:pt>
                <c:pt idx="155">
                  <c:v>1.4005661123635408E-12</c:v>
                </c:pt>
                <c:pt idx="156">
                  <c:v>1.4005661123635408E-12</c:v>
                </c:pt>
                <c:pt idx="157">
                  <c:v>1.4005661123635408E-12</c:v>
                </c:pt>
                <c:pt idx="158">
                  <c:v>1.4005661123635408E-12</c:v>
                </c:pt>
                <c:pt idx="159">
                  <c:v>1.4005661123635408E-12</c:v>
                </c:pt>
                <c:pt idx="160">
                  <c:v>1.4005661123635408E-12</c:v>
                </c:pt>
                <c:pt idx="161">
                  <c:v>1.4005661123635408E-12</c:v>
                </c:pt>
                <c:pt idx="162">
                  <c:v>1.4005661123635408E-12</c:v>
                </c:pt>
                <c:pt idx="163">
                  <c:v>1.4005661123635408E-12</c:v>
                </c:pt>
                <c:pt idx="164">
                  <c:v>1.4005661123635408E-12</c:v>
                </c:pt>
                <c:pt idx="165">
                  <c:v>1.4005661123635408E-12</c:v>
                </c:pt>
                <c:pt idx="166">
                  <c:v>1.4005661123635408E-12</c:v>
                </c:pt>
                <c:pt idx="167">
                  <c:v>1.4005661123635408E-12</c:v>
                </c:pt>
                <c:pt idx="168">
                  <c:v>1.4005661123635408E-12</c:v>
                </c:pt>
                <c:pt idx="169">
                  <c:v>1.4005661123635408E-12</c:v>
                </c:pt>
                <c:pt idx="170">
                  <c:v>1.4005661123635408E-12</c:v>
                </c:pt>
                <c:pt idx="171">
                  <c:v>1.4005661123635408E-12</c:v>
                </c:pt>
                <c:pt idx="172">
                  <c:v>1.4005661123635408E-12</c:v>
                </c:pt>
                <c:pt idx="173">
                  <c:v>1.4005661123635408E-12</c:v>
                </c:pt>
                <c:pt idx="174">
                  <c:v>1.4005661123635408E-12</c:v>
                </c:pt>
                <c:pt idx="175">
                  <c:v>1.4005661123635408E-12</c:v>
                </c:pt>
                <c:pt idx="176">
                  <c:v>1.4005661123635408E-12</c:v>
                </c:pt>
                <c:pt idx="177">
                  <c:v>1.4005661123635408E-12</c:v>
                </c:pt>
                <c:pt idx="178">
                  <c:v>1.4005661123635408E-12</c:v>
                </c:pt>
                <c:pt idx="179">
                  <c:v>1.4005661123635408E-12</c:v>
                </c:pt>
                <c:pt idx="180">
                  <c:v>1.4005661123635408E-12</c:v>
                </c:pt>
                <c:pt idx="181">
                  <c:v>1.4005661123635408E-12</c:v>
                </c:pt>
                <c:pt idx="182">
                  <c:v>1.4005661123635408E-12</c:v>
                </c:pt>
                <c:pt idx="183">
                  <c:v>1.4005661123635408E-12</c:v>
                </c:pt>
                <c:pt idx="184">
                  <c:v>1.4005661123635408E-12</c:v>
                </c:pt>
                <c:pt idx="185">
                  <c:v>1.4005661123635408E-12</c:v>
                </c:pt>
                <c:pt idx="186">
                  <c:v>1.4005661123635408E-12</c:v>
                </c:pt>
                <c:pt idx="187">
                  <c:v>1.4005661123635408E-12</c:v>
                </c:pt>
                <c:pt idx="188">
                  <c:v>1.4005661123635408E-12</c:v>
                </c:pt>
                <c:pt idx="189">
                  <c:v>1.4005661123635408E-12</c:v>
                </c:pt>
                <c:pt idx="190">
                  <c:v>1.4005661123635408E-12</c:v>
                </c:pt>
                <c:pt idx="191">
                  <c:v>1.4005661123635408E-12</c:v>
                </c:pt>
                <c:pt idx="192">
                  <c:v>1.4005661123635408E-12</c:v>
                </c:pt>
                <c:pt idx="193">
                  <c:v>1.4005661123635408E-12</c:v>
                </c:pt>
                <c:pt idx="194">
                  <c:v>1.4005661123635408E-12</c:v>
                </c:pt>
                <c:pt idx="195">
                  <c:v>1.4005661123635408E-12</c:v>
                </c:pt>
                <c:pt idx="196">
                  <c:v>1.4005661123635408E-12</c:v>
                </c:pt>
                <c:pt idx="197">
                  <c:v>1.4005661123635408E-12</c:v>
                </c:pt>
                <c:pt idx="198">
                  <c:v>1.4005661123635408E-12</c:v>
                </c:pt>
                <c:pt idx="199">
                  <c:v>1.4005661123635408E-12</c:v>
                </c:pt>
                <c:pt idx="200">
                  <c:v>1.4005661123635408E-12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1438880"/>
        <c:axId val="1401441056"/>
      </c:scatterChart>
      <c:valAx>
        <c:axId val="14014388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1441056"/>
        <c:crosses val="autoZero"/>
        <c:crossBetween val="midCat"/>
      </c:valAx>
      <c:valAx>
        <c:axId val="1401441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1438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2.1728865530609904</c:v>
                </c:pt>
                <c:pt idx="2">
                  <c:v>2.5020750524075739</c:v>
                </c:pt>
                <c:pt idx="3">
                  <c:v>2.8813160471891153</c:v>
                </c:pt>
                <c:pt idx="4">
                  <c:v>3.3182459713472077</c:v>
                </c:pt>
                <c:pt idx="5">
                  <c:v>3.8216700721237102</c:v>
                </c:pt>
                <c:pt idx="6">
                  <c:v>4.4017418391849237</c:v>
                </c:pt>
                <c:pt idx="7">
                  <c:v>5.0701700545988864</c:v>
                </c:pt>
                <c:pt idx="8">
                  <c:v>5.8404577263374691</c:v>
                </c:pt>
                <c:pt idx="9">
                  <c:v>6.7281778273525523</c:v>
                </c:pt>
                <c:pt idx="10">
                  <c:v>7.7512915238656204</c:v>
                </c:pt>
                <c:pt idx="11">
                  <c:v>8.9305154561876599</c:v>
                </c:pt>
                <c:pt idx="12">
                  <c:v>10.289745651495487</c:v>
                </c:pt>
                <c:pt idx="13">
                  <c:v>11.856546821731341</c:v>
                </c:pt>
                <c:pt idx="14">
                  <c:v>13.662717155662767</c:v>
                </c:pt>
                <c:pt idx="15">
                  <c:v>15.744940280453227</c:v>
                </c:pt>
                <c:pt idx="16">
                  <c:v>31.827511830988218</c:v>
                </c:pt>
                <c:pt idx="17">
                  <c:v>47.675662369557671</c:v>
                </c:pt>
                <c:pt idx="18">
                  <c:v>63.381438285738369</c:v>
                </c:pt>
                <c:pt idx="19">
                  <c:v>78.985658686980315</c:v>
                </c:pt>
                <c:pt idx="20">
                  <c:v>94.511374358021442</c:v>
                </c:pt>
                <c:pt idx="21">
                  <c:v>76.715364108786517</c:v>
                </c:pt>
                <c:pt idx="22">
                  <c:v>92.897294511118176</c:v>
                </c:pt>
                <c:pt idx="23">
                  <c:v>109.00863948066892</c:v>
                </c:pt>
                <c:pt idx="24">
                  <c:v>125.0613334299279</c:v>
                </c:pt>
                <c:pt idx="25">
                  <c:v>141.06397957573768</c:v>
                </c:pt>
                <c:pt idx="26">
                  <c:v>156.70427282838185</c:v>
                </c:pt>
                <c:pt idx="27">
                  <c:v>172.30749886378939</c:v>
                </c:pt>
                <c:pt idx="28">
                  <c:v>187.87748890627722</c:v>
                </c:pt>
                <c:pt idx="29">
                  <c:v>203.41738632243269</c:v>
                </c:pt>
                <c:pt idx="30">
                  <c:v>218.92981441202701</c:v>
                </c:pt>
                <c:pt idx="31">
                  <c:v>165.94304898048827</c:v>
                </c:pt>
                <c:pt idx="32">
                  <c:v>179.61979491259879</c:v>
                </c:pt>
                <c:pt idx="33">
                  <c:v>193.27214793812971</c:v>
                </c:pt>
                <c:pt idx="34">
                  <c:v>206.90207469254889</c:v>
                </c:pt>
                <c:pt idx="35">
                  <c:v>220.51126127527388</c:v>
                </c:pt>
                <c:pt idx="36">
                  <c:v>232.52189460095187</c:v>
                </c:pt>
                <c:pt idx="37">
                  <c:v>244.51836163877581</c:v>
                </c:pt>
                <c:pt idx="38">
                  <c:v>256.50145569815322</c:v>
                </c:pt>
                <c:pt idx="39">
                  <c:v>268.47188986404791</c:v>
                </c:pt>
                <c:pt idx="40">
                  <c:v>280.43030840202363</c:v>
                </c:pt>
                <c:pt idx="41">
                  <c:v>224.62180940242982</c:v>
                </c:pt>
                <c:pt idx="42">
                  <c:v>235.04861594933149</c:v>
                </c:pt>
                <c:pt idx="43">
                  <c:v>245.46487179097758</c:v>
                </c:pt>
                <c:pt idx="44">
                  <c:v>255.87108808447678</c:v>
                </c:pt>
                <c:pt idx="45">
                  <c:v>266.2677309805793</c:v>
                </c:pt>
                <c:pt idx="46">
                  <c:v>274.76725377131294</c:v>
                </c:pt>
                <c:pt idx="47">
                  <c:v>283.26087051193491</c:v>
                </c:pt>
                <c:pt idx="48">
                  <c:v>291.74878343647839</c:v>
                </c:pt>
                <c:pt idx="49">
                  <c:v>300.23118204015321</c:v>
                </c:pt>
                <c:pt idx="50">
                  <c:v>308.70824422691629</c:v>
                </c:pt>
                <c:pt idx="51">
                  <c:v>267.52730047282165</c:v>
                </c:pt>
                <c:pt idx="52">
                  <c:v>275.08193620220914</c:v>
                </c:pt>
                <c:pt idx="53">
                  <c:v>282.63191172516548</c:v>
                </c:pt>
                <c:pt idx="54">
                  <c:v>290.17736922706069</c:v>
                </c:pt>
                <c:pt idx="55">
                  <c:v>297.71844288716278</c:v>
                </c:pt>
                <c:pt idx="56">
                  <c:v>304.31338608631472</c:v>
                </c:pt>
                <c:pt idx="57">
                  <c:v>310.90515078463835</c:v>
                </c:pt>
                <c:pt idx="58">
                  <c:v>317.49381395809888</c:v>
                </c:pt>
                <c:pt idx="59">
                  <c:v>324.07944912345562</c:v>
                </c:pt>
                <c:pt idx="60">
                  <c:v>330.66212656242277</c:v>
                </c:pt>
                <c:pt idx="61">
                  <c:v>304.31338608631449</c:v>
                </c:pt>
                <c:pt idx="62">
                  <c:v>309.33596713943859</c:v>
                </c:pt>
                <c:pt idx="63">
                  <c:v>314.35673738028538</c:v>
                </c:pt>
                <c:pt idx="64">
                  <c:v>319.37572985341484</c:v>
                </c:pt>
                <c:pt idx="65">
                  <c:v>324.39297647857342</c:v>
                </c:pt>
                <c:pt idx="66">
                  <c:v>329.09508705409178</c:v>
                </c:pt>
                <c:pt idx="67">
                  <c:v>333.79571492319059</c:v>
                </c:pt>
                <c:pt idx="68">
                  <c:v>338.49488394193003</c:v>
                </c:pt>
                <c:pt idx="69">
                  <c:v>343.1926172490393</c:v>
                </c:pt>
                <c:pt idx="70">
                  <c:v>347.88893729723367</c:v>
                </c:pt>
                <c:pt idx="71">
                  <c:v>326.90095477924791</c:v>
                </c:pt>
                <c:pt idx="72">
                  <c:v>330.97551477411622</c:v>
                </c:pt>
                <c:pt idx="73">
                  <c:v>335.04896833683722</c:v>
                </c:pt>
                <c:pt idx="74">
                  <c:v>339.12133083817054</c:v>
                </c:pt>
                <c:pt idx="75">
                  <c:v>343.19261724903919</c:v>
                </c:pt>
                <c:pt idx="76">
                  <c:v>346.94978529286482</c:v>
                </c:pt>
                <c:pt idx="77">
                  <c:v>350.70606005556925</c:v>
                </c:pt>
                <c:pt idx="78">
                  <c:v>354.46145246946941</c:v>
                </c:pt>
                <c:pt idx="79">
                  <c:v>358.2159732159891</c:v>
                </c:pt>
                <c:pt idx="80">
                  <c:v>361.96963273404782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8104944"/>
        <c:axId val="1408104400"/>
      </c:scatterChart>
      <c:valAx>
        <c:axId val="1408104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8104400"/>
        <c:crosses val="autoZero"/>
        <c:crossBetween val="midCat"/>
      </c:valAx>
      <c:valAx>
        <c:axId val="140810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8104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2.5701199751485899</c:v>
                </c:pt>
                <c:pt idx="2">
                  <c:v>3.1761950482551646</c:v>
                </c:pt>
                <c:pt idx="3">
                  <c:v>3.9257411783807914</c:v>
                </c:pt>
                <c:pt idx="4">
                  <c:v>4.8528436316164436</c:v>
                </c:pt>
                <c:pt idx="5">
                  <c:v>5.9997127748970547</c:v>
                </c:pt>
                <c:pt idx="6">
                  <c:v>7.4186269452783291</c:v>
                </c:pt>
                <c:pt idx="7">
                  <c:v>9.1743412316125035</c:v>
                </c:pt>
                <c:pt idx="8">
                  <c:v>11.347074191266621</c:v>
                </c:pt>
                <c:pt idx="9">
                  <c:v>14.036211523459508</c:v>
                </c:pt>
                <c:pt idx="10">
                  <c:v>17.364899240955943</c:v>
                </c:pt>
                <c:pt idx="11">
                  <c:v>32.173716703656488</c:v>
                </c:pt>
                <c:pt idx="12">
                  <c:v>46.787802861560664</c:v>
                </c:pt>
                <c:pt idx="13">
                  <c:v>61.278573178119878</c:v>
                </c:pt>
                <c:pt idx="14">
                  <c:v>75.679710498558791</c:v>
                </c:pt>
                <c:pt idx="15">
                  <c:v>90.010799689565431</c:v>
                </c:pt>
                <c:pt idx="16">
                  <c:v>107.84522593798255</c:v>
                </c:pt>
                <c:pt idx="17">
                  <c:v>125.60688557852342</c:v>
                </c:pt>
                <c:pt idx="18">
                  <c:v>143.30754256422119</c:v>
                </c:pt>
                <c:pt idx="19">
                  <c:v>160.95580359158967</c:v>
                </c:pt>
                <c:pt idx="20">
                  <c:v>178.55822760704453</c:v>
                </c:pt>
                <c:pt idx="21">
                  <c:v>123.12415447878497</c:v>
                </c:pt>
                <c:pt idx="22">
                  <c:v>138.35696538228595</c:v>
                </c:pt>
                <c:pt idx="23">
                  <c:v>153.54945750312899</c:v>
                </c:pt>
                <c:pt idx="24">
                  <c:v>168.70618534384241</c:v>
                </c:pt>
                <c:pt idx="25">
                  <c:v>183.83081652024464</c:v>
                </c:pt>
                <c:pt idx="26">
                  <c:v>199.27709915885649</c:v>
                </c:pt>
                <c:pt idx="27">
                  <c:v>214.69562221588228</c:v>
                </c:pt>
                <c:pt idx="28">
                  <c:v>230.08866047092724</c:v>
                </c:pt>
                <c:pt idx="29">
                  <c:v>245.45815924548194</c:v>
                </c:pt>
                <c:pt idx="30">
                  <c:v>260.80580020638394</c:v>
                </c:pt>
                <c:pt idx="31">
                  <c:v>276.13305084516719</c:v>
                </c:pt>
                <c:pt idx="32">
                  <c:v>291.44120238295483</c:v>
                </c:pt>
                <c:pt idx="33">
                  <c:v>306.7313992866795</c:v>
                </c:pt>
                <c:pt idx="34">
                  <c:v>322.00466258727732</c:v>
                </c:pt>
                <c:pt idx="35">
                  <c:v>337.26190853958752</c:v>
                </c:pt>
                <c:pt idx="36">
                  <c:v>218.19620322489709</c:v>
                </c:pt>
                <c:pt idx="37">
                  <c:v>231.48683334645435</c:v>
                </c:pt>
                <c:pt idx="38">
                  <c:v>244.76003171038471</c:v>
                </c:pt>
                <c:pt idx="39">
                  <c:v>258.01687712472409</c:v>
                </c:pt>
                <c:pt idx="40">
                  <c:v>271.25832842500023</c:v>
                </c:pt>
                <c:pt idx="41">
                  <c:v>284.48524314677451</c:v>
                </c:pt>
                <c:pt idx="42">
                  <c:v>297.69839254073707</c:v>
                </c:pt>
                <c:pt idx="43">
                  <c:v>310.89847378061245</c:v>
                </c:pt>
                <c:pt idx="44">
                  <c:v>324.0861199880448</c:v>
                </c:pt>
                <c:pt idx="45">
                  <c:v>337.26190853958735</c:v>
                </c:pt>
                <c:pt idx="46">
                  <c:v>350.42636800716019</c:v>
                </c:pt>
                <c:pt idx="47">
                  <c:v>363.5799840007133</c:v>
                </c:pt>
                <c:pt idx="48">
                  <c:v>376.72320412097571</c:v>
                </c:pt>
                <c:pt idx="49">
                  <c:v>389.85644218478711</c:v>
                </c:pt>
                <c:pt idx="50">
                  <c:v>402.98008185125178</c:v>
                </c:pt>
                <c:pt idx="51">
                  <c:v>416.09447975082259</c:v>
                </c:pt>
                <c:pt idx="52">
                  <c:v>429.19996819929173</c:v>
                </c:pt>
                <c:pt idx="53">
                  <c:v>442.2968575630004</c:v>
                </c:pt>
                <c:pt idx="54">
                  <c:v>455.38543832930395</c:v>
                </c:pt>
                <c:pt idx="55">
                  <c:v>468.46598292660588</c:v>
                </c:pt>
                <c:pt idx="56">
                  <c:v>481.19482482996779</c:v>
                </c:pt>
                <c:pt idx="57">
                  <c:v>493.91651328433619</c:v>
                </c:pt>
                <c:pt idx="58">
                  <c:v>506.63125847667106</c:v>
                </c:pt>
                <c:pt idx="59">
                  <c:v>519.33925918522516</c:v>
                </c:pt>
                <c:pt idx="60">
                  <c:v>532.04070366867973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8102768"/>
        <c:axId val="1408101680"/>
      </c:scatterChart>
      <c:valAx>
        <c:axId val="14081027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8101680"/>
        <c:crosses val="autoZero"/>
        <c:crossBetween val="midCat"/>
      </c:valAx>
      <c:valAx>
        <c:axId val="140810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8102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3.184415911661862</c:v>
                </c:pt>
                <c:pt idx="2">
                  <c:v>4.1816194579596262</c:v>
                </c:pt>
                <c:pt idx="3">
                  <c:v>5.4923516676826791</c:v>
                </c:pt>
                <c:pt idx="4">
                  <c:v>7.2155588245112128</c:v>
                </c:pt>
                <c:pt idx="5">
                  <c:v>9.4815226348374324</c:v>
                </c:pt>
                <c:pt idx="6">
                  <c:v>12.461815859881268</c:v>
                </c:pt>
                <c:pt idx="7">
                  <c:v>16.382430314809849</c:v>
                </c:pt>
                <c:pt idx="8">
                  <c:v>21.541090833686795</c:v>
                </c:pt>
                <c:pt idx="9">
                  <c:v>28.330093443494203</c:v>
                </c:pt>
                <c:pt idx="10">
                  <c:v>37.266434843950456</c:v>
                </c:pt>
                <c:pt idx="11">
                  <c:v>49.03156686912093</c:v>
                </c:pt>
                <c:pt idx="12">
                  <c:v>64.523858227675973</c:v>
                </c:pt>
                <c:pt idx="13">
                  <c:v>84.927835080885686</c:v>
                </c:pt>
                <c:pt idx="14">
                  <c:v>111.80557941598965</c:v>
                </c:pt>
                <c:pt idx="15">
                  <c:v>147.21739219923637</c:v>
                </c:pt>
                <c:pt idx="16">
                  <c:v>166.04916974626317</c:v>
                </c:pt>
                <c:pt idx="17">
                  <c:v>184.83050748130609</c:v>
                </c:pt>
                <c:pt idx="18">
                  <c:v>203.56725462336894</c:v>
                </c:pt>
                <c:pt idx="19">
                  <c:v>222.26409389128818</c:v>
                </c:pt>
                <c:pt idx="20">
                  <c:v>240.92485492099092</c:v>
                </c:pt>
                <c:pt idx="21">
                  <c:v>188.2643627362979</c:v>
                </c:pt>
                <c:pt idx="22">
                  <c:v>206.7299721631174</c:v>
                </c:pt>
                <c:pt idx="23">
                  <c:v>225.15747257326962</c:v>
                </c:pt>
                <c:pt idx="24">
                  <c:v>243.55042195408143</c:v>
                </c:pt>
                <c:pt idx="25">
                  <c:v>261.91179661237214</c:v>
                </c:pt>
                <c:pt idx="26">
                  <c:v>279.72072320950451</c:v>
                </c:pt>
                <c:pt idx="27">
                  <c:v>297.50422822641758</c:v>
                </c:pt>
                <c:pt idx="28">
                  <c:v>315.26404478899815</c:v>
                </c:pt>
                <c:pt idx="29">
                  <c:v>333.00169481114176</c:v>
                </c:pt>
                <c:pt idx="30">
                  <c:v>350.718524849787</c:v>
                </c:pt>
                <c:pt idx="31">
                  <c:v>288.87705808665174</c:v>
                </c:pt>
                <c:pt idx="32">
                  <c:v>305.34226693659991</c:v>
                </c:pt>
                <c:pt idx="33">
                  <c:v>321.78774148773266</c:v>
                </c:pt>
                <c:pt idx="34">
                  <c:v>338.21463211726842</c:v>
                </c:pt>
                <c:pt idx="35">
                  <c:v>354.62396833757816</c:v>
                </c:pt>
                <c:pt idx="36">
                  <c:v>369.97634760308438</c:v>
                </c:pt>
                <c:pt idx="37">
                  <c:v>385.31483441513495</c:v>
                </c:pt>
                <c:pt idx="38">
                  <c:v>400.6400595826064</c:v>
                </c:pt>
                <c:pt idx="39">
                  <c:v>415.95260172468784</c:v>
                </c:pt>
                <c:pt idx="40">
                  <c:v>431.25299339113485</c:v>
                </c:pt>
                <c:pt idx="41">
                  <c:v>362.69224558225005</c:v>
                </c:pt>
                <c:pt idx="42">
                  <c:v>377.25732159062289</c:v>
                </c:pt>
                <c:pt idx="43">
                  <c:v>391.8101583797432</c:v>
                </c:pt>
                <c:pt idx="44">
                  <c:v>406.35127452426019</c:v>
                </c:pt>
                <c:pt idx="45">
                  <c:v>420.88114846037774</c:v>
                </c:pt>
                <c:pt idx="46">
                  <c:v>434.36349537251823</c:v>
                </c:pt>
                <c:pt idx="47">
                  <c:v>447.8368605050768</c:v>
                </c:pt>
                <c:pt idx="48">
                  <c:v>461.3015521180514</c:v>
                </c:pt>
                <c:pt idx="49">
                  <c:v>474.75785901065007</c:v>
                </c:pt>
                <c:pt idx="50">
                  <c:v>488.20605227820738</c:v>
                </c:pt>
                <c:pt idx="51">
                  <c:v>418.02793185917511</c:v>
                </c:pt>
                <c:pt idx="52">
                  <c:v>430.73452962363268</c:v>
                </c:pt>
                <c:pt idx="53">
                  <c:v>443.43307538617501</c:v>
                </c:pt>
                <c:pt idx="54">
                  <c:v>456.12383221540227</c:v>
                </c:pt>
                <c:pt idx="55">
                  <c:v>468.80704734775742</c:v>
                </c:pt>
                <c:pt idx="56">
                  <c:v>480.7070835671272</c:v>
                </c:pt>
                <c:pt idx="57">
                  <c:v>492.60086046942826</c:v>
                </c:pt>
                <c:pt idx="58">
                  <c:v>504.48855047560437</c:v>
                </c:pt>
                <c:pt idx="59">
                  <c:v>516.37031721870653</c:v>
                </c:pt>
                <c:pt idx="60">
                  <c:v>528.24631618797059</c:v>
                </c:pt>
                <c:pt idx="61">
                  <c:v>463.11346028434042</c:v>
                </c:pt>
                <c:pt idx="62">
                  <c:v>474.24046045825457</c:v>
                </c:pt>
                <c:pt idx="63">
                  <c:v>485.36190589341732</c:v>
                </c:pt>
                <c:pt idx="64">
                  <c:v>496.47794181454901</c:v>
                </c:pt>
                <c:pt idx="65">
                  <c:v>507.58870641276627</c:v>
                </c:pt>
                <c:pt idx="66">
                  <c:v>518.43611841200243</c:v>
                </c:pt>
                <c:pt idx="67">
                  <c:v>529.27874408889409</c:v>
                </c:pt>
                <c:pt idx="68">
                  <c:v>540.11669531196856</c:v>
                </c:pt>
                <c:pt idx="69">
                  <c:v>550.9500790943838</c:v>
                </c:pt>
                <c:pt idx="70">
                  <c:v>561.77899789802211</c:v>
                </c:pt>
                <c:pt idx="71">
                  <c:v>498.54545590936385</c:v>
                </c:pt>
                <c:pt idx="72">
                  <c:v>508.88031976649114</c:v>
                </c:pt>
                <c:pt idx="73">
                  <c:v>519.21074905094019</c:v>
                </c:pt>
                <c:pt idx="74">
                  <c:v>529.53684443621103</c:v>
                </c:pt>
                <c:pt idx="75">
                  <c:v>539.85870234920981</c:v>
                </c:pt>
                <c:pt idx="76">
                  <c:v>549.40272854807779</c:v>
                </c:pt>
                <c:pt idx="77">
                  <c:v>558.94327848964201</c:v>
                </c:pt>
                <c:pt idx="78">
                  <c:v>568.480419876562</c:v>
                </c:pt>
                <c:pt idx="79">
                  <c:v>578.01421795460294</c:v>
                </c:pt>
                <c:pt idx="80">
                  <c:v>587.54473564171451</c:v>
                </c:pt>
                <c:pt idx="81">
                  <c:v>528.50442714290682</c:v>
                </c:pt>
                <c:pt idx="82">
                  <c:v>537.79466527187378</c:v>
                </c:pt>
                <c:pt idx="83">
                  <c:v>547.08153124632327</c:v>
                </c:pt>
                <c:pt idx="84">
                  <c:v>556.36509038466863</c:v>
                </c:pt>
                <c:pt idx="85">
                  <c:v>565.64540564760989</c:v>
                </c:pt>
                <c:pt idx="86">
                  <c:v>574.40722403559391</c:v>
                </c:pt>
                <c:pt idx="87">
                  <c:v>583.16625256864188</c:v>
                </c:pt>
                <c:pt idx="88">
                  <c:v>591.92253905965333</c:v>
                </c:pt>
                <c:pt idx="89">
                  <c:v>600.67612979154853</c:v>
                </c:pt>
                <c:pt idx="90">
                  <c:v>609.42706958828774</c:v>
                </c:pt>
                <c:pt idx="91">
                  <c:v>553.27093416453454</c:v>
                </c:pt>
                <c:pt idx="92">
                  <c:v>561.52121762712397</c:v>
                </c:pt>
                <c:pt idx="93">
                  <c:v>569.76896492586991</c:v>
                </c:pt>
                <c:pt idx="94">
                  <c:v>578.01421795460294</c:v>
                </c:pt>
                <c:pt idx="95">
                  <c:v>586.25701731433821</c:v>
                </c:pt>
                <c:pt idx="96">
                  <c:v>594.49740237118067</c:v>
                </c:pt>
                <c:pt idx="97">
                  <c:v>602.7354113108488</c:v>
                </c:pt>
                <c:pt idx="98">
                  <c:v>610.97108119006737</c:v>
                </c:pt>
                <c:pt idx="99">
                  <c:v>619.20444798504298</c:v>
                </c:pt>
                <c:pt idx="100">
                  <c:v>627.43554663722682</c:v>
                </c:pt>
                <c:pt idx="101">
                  <c:v>574.40722403559391</c:v>
                </c:pt>
                <c:pt idx="102">
                  <c:v>581.8783332371363</c:v>
                </c:pt>
                <c:pt idx="103">
                  <c:v>589.347442560574</c:v>
                </c:pt>
                <c:pt idx="104">
                  <c:v>596.81458092949754</c:v>
                </c:pt>
                <c:pt idx="105">
                  <c:v>604.27977648460922</c:v>
                </c:pt>
                <c:pt idx="106">
                  <c:v>611.74305661453297</c:v>
                </c:pt>
                <c:pt idx="107">
                  <c:v>619.2044479850432</c:v>
                </c:pt>
                <c:pt idx="108">
                  <c:v>626.66397656681079</c:v>
                </c:pt>
                <c:pt idx="109">
                  <c:v>634.1216676617604</c:v>
                </c:pt>
                <c:pt idx="110">
                  <c:v>641.5775459281233</c:v>
                </c:pt>
                <c:pt idx="111">
                  <c:v>592.05128775380444</c:v>
                </c:pt>
                <c:pt idx="112">
                  <c:v>599.13157237326925</c:v>
                </c:pt>
                <c:pt idx="113">
                  <c:v>606.21011768196638</c:v>
                </c:pt>
                <c:pt idx="114">
                  <c:v>613.28694685645553</c:v>
                </c:pt>
                <c:pt idx="115">
                  <c:v>620.36208249472838</c:v>
                </c:pt>
                <c:pt idx="116">
                  <c:v>627.43554663722682</c:v>
                </c:pt>
                <c:pt idx="117">
                  <c:v>634.50736078686714</c:v>
                </c:pt>
                <c:pt idx="118">
                  <c:v>641.57754592812273</c:v>
                </c:pt>
                <c:pt idx="119">
                  <c:v>648.64612254522467</c:v>
                </c:pt>
                <c:pt idx="120">
                  <c:v>655.71311063952442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8100592"/>
        <c:axId val="1408102224"/>
      </c:scatterChart>
      <c:valAx>
        <c:axId val="14081005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8102224"/>
        <c:crosses val="autoZero"/>
        <c:crossBetween val="midCat"/>
      </c:valAx>
      <c:valAx>
        <c:axId val="1408102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81005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3.0295791840646493</c:v>
                </c:pt>
                <c:pt idx="2">
                  <c:v>3.725679628308781</c:v>
                </c:pt>
                <c:pt idx="3">
                  <c:v>4.5823279764895188</c:v>
                </c:pt>
                <c:pt idx="4">
                  <c:v>5.6366846031435918</c:v>
                </c:pt>
                <c:pt idx="5">
                  <c:v>6.9345395434073795</c:v>
                </c:pt>
                <c:pt idx="6">
                  <c:v>8.5323226929264795</c:v>
                </c:pt>
                <c:pt idx="7">
                  <c:v>10.499583588970779</c:v>
                </c:pt>
                <c:pt idx="8">
                  <c:v>12.922050750342303</c:v>
                </c:pt>
                <c:pt idx="9">
                  <c:v>15.905406371467258</c:v>
                </c:pt>
                <c:pt idx="10">
                  <c:v>19.579944057664719</c:v>
                </c:pt>
                <c:pt idx="11">
                  <c:v>24.106316685632123</c:v>
                </c:pt>
                <c:pt idx="12">
                  <c:v>29.682630145368211</c:v>
                </c:pt>
                <c:pt idx="13">
                  <c:v>36.553198854731285</c:v>
                </c:pt>
                <c:pt idx="14">
                  <c:v>45.01935324011523</c:v>
                </c:pt>
                <c:pt idx="15">
                  <c:v>55.452781189967119</c:v>
                </c:pt>
                <c:pt idx="16">
                  <c:v>68.311998946117441</c:v>
                </c:pt>
                <c:pt idx="17">
                  <c:v>84.162687112704418</c:v>
                </c:pt>
                <c:pt idx="18">
                  <c:v>103.70280075437397</c:v>
                </c:pt>
                <c:pt idx="19">
                  <c:v>127.7935767402505</c:v>
                </c:pt>
                <c:pt idx="20">
                  <c:v>157.49782623325171</c:v>
                </c:pt>
                <c:pt idx="21">
                  <c:v>172.61880685670505</c:v>
                </c:pt>
                <c:pt idx="22">
                  <c:v>187.70863707245701</c:v>
                </c:pt>
                <c:pt idx="23">
                  <c:v>202.77017479447795</c:v>
                </c:pt>
                <c:pt idx="24">
                  <c:v>217.80581820310817</c:v>
                </c:pt>
                <c:pt idx="25">
                  <c:v>232.81760702956308</c:v>
                </c:pt>
                <c:pt idx="26">
                  <c:v>181.00569664728371</c:v>
                </c:pt>
                <c:pt idx="27">
                  <c:v>200.26177659150264</c:v>
                </c:pt>
                <c:pt idx="28">
                  <c:v>219.47493841333153</c:v>
                </c:pt>
                <c:pt idx="29">
                  <c:v>238.64946815456821</c:v>
                </c:pt>
                <c:pt idx="30">
                  <c:v>257.78890626510474</c:v>
                </c:pt>
                <c:pt idx="31">
                  <c:v>280.21615005760458</c:v>
                </c:pt>
                <c:pt idx="32">
                  <c:v>302.60315205267642</c:v>
                </c:pt>
                <c:pt idx="33">
                  <c:v>324.95330656071559</c:v>
                </c:pt>
                <c:pt idx="34">
                  <c:v>347.26950287262474</c:v>
                </c:pt>
                <c:pt idx="35">
                  <c:v>369.55422870449644</c:v>
                </c:pt>
                <c:pt idx="36">
                  <c:v>276.89622424264081</c:v>
                </c:pt>
                <c:pt idx="37">
                  <c:v>300.11758429718867</c:v>
                </c:pt>
                <c:pt idx="38">
                  <c:v>323.29893699066071</c:v>
                </c:pt>
                <c:pt idx="39">
                  <c:v>346.44355255688725</c:v>
                </c:pt>
                <c:pt idx="40">
                  <c:v>369.55422870449632</c:v>
                </c:pt>
                <c:pt idx="41">
                  <c:v>393.04523943920964</c:v>
                </c:pt>
                <c:pt idx="42">
                  <c:v>416.50581806048382</c:v>
                </c:pt>
                <c:pt idx="43">
                  <c:v>439.93791831951495</c:v>
                </c:pt>
                <c:pt idx="44">
                  <c:v>463.34326900875232</c:v>
                </c:pt>
                <c:pt idx="45">
                  <c:v>486.72341015001939</c:v>
                </c:pt>
                <c:pt idx="46">
                  <c:v>394.28074727616132</c:v>
                </c:pt>
                <c:pt idx="47">
                  <c:v>416.9171476106103</c:v>
                </c:pt>
                <c:pt idx="48">
                  <c:v>439.52706413119489</c:v>
                </c:pt>
                <c:pt idx="49">
                  <c:v>462.11204968448243</c:v>
                </c:pt>
                <c:pt idx="50">
                  <c:v>484.67349306043207</c:v>
                </c:pt>
                <c:pt idx="51">
                  <c:v>505.5741589882723</c:v>
                </c:pt>
                <c:pt idx="52">
                  <c:v>526.45656094055948</c:v>
                </c:pt>
                <c:pt idx="53">
                  <c:v>547.32152470399308</c:v>
                </c:pt>
                <c:pt idx="54">
                  <c:v>568.16980802286537</c:v>
                </c:pt>
                <c:pt idx="55">
                  <c:v>589.00210854701277</c:v>
                </c:pt>
                <c:pt idx="56">
                  <c:v>493.69176260852379</c:v>
                </c:pt>
                <c:pt idx="57">
                  <c:v>512.94645994076382</c:v>
                </c:pt>
                <c:pt idx="58">
                  <c:v>532.18590126973982</c:v>
                </c:pt>
                <c:pt idx="59">
                  <c:v>551.41071534837477</c:v>
                </c:pt>
                <c:pt idx="60">
                  <c:v>570.62148354470401</c:v>
                </c:pt>
                <c:pt idx="61">
                  <c:v>588.59378151919873</c:v>
                </c:pt>
                <c:pt idx="62">
                  <c:v>606.55465432493395</c:v>
                </c:pt>
                <c:pt idx="63">
                  <c:v>624.504487652433</c:v>
                </c:pt>
                <c:pt idx="64">
                  <c:v>642.44364323070261</c:v>
                </c:pt>
                <c:pt idx="65">
                  <c:v>660.3724609570171</c:v>
                </c:pt>
                <c:pt idx="66">
                  <c:v>562.85708424728386</c:v>
                </c:pt>
                <c:pt idx="67">
                  <c:v>579.60908578354815</c:v>
                </c:pt>
                <c:pt idx="68">
                  <c:v>596.35099138861813</c:v>
                </c:pt>
                <c:pt idx="69">
                  <c:v>613.08312422226595</c:v>
                </c:pt>
                <c:pt idx="70">
                  <c:v>629.80578837901965</c:v>
                </c:pt>
                <c:pt idx="71">
                  <c:v>645.2966381487488</c:v>
                </c:pt>
                <c:pt idx="72">
                  <c:v>660.77981648497882</c:v>
                </c:pt>
                <c:pt idx="73">
                  <c:v>676.25552834120583</c:v>
                </c:pt>
                <c:pt idx="74">
                  <c:v>691.72396853231078</c:v>
                </c:pt>
                <c:pt idx="75">
                  <c:v>707.18532245626284</c:v>
                </c:pt>
                <c:pt idx="76">
                  <c:v>607.77885306593191</c:v>
                </c:pt>
                <c:pt idx="77">
                  <c:v>622.4652781759479</c:v>
                </c:pt>
                <c:pt idx="78">
                  <c:v>637.1445290217099</c:v>
                </c:pt>
                <c:pt idx="79">
                  <c:v>651.81679408188654</c:v>
                </c:pt>
                <c:pt idx="80">
                  <c:v>666.48225266324471</c:v>
                </c:pt>
                <c:pt idx="81">
                  <c:v>679.91975639292957</c:v>
                </c:pt>
                <c:pt idx="82">
                  <c:v>693.35181003961088</c:v>
                </c:pt>
                <c:pt idx="83">
                  <c:v>706.77853400111223</c:v>
                </c:pt>
                <c:pt idx="84">
                  <c:v>720.20004373069298</c:v>
                </c:pt>
                <c:pt idx="85">
                  <c:v>733.61645003038905</c:v>
                </c:pt>
                <c:pt idx="86">
                  <c:v>747.02785932179313</c:v>
                </c:pt>
                <c:pt idx="87">
                  <c:v>760.4343738963945</c:v>
                </c:pt>
                <c:pt idx="88">
                  <c:v>773.83609214735907</c:v>
                </c:pt>
                <c:pt idx="89">
                  <c:v>787.23310878443408</c:v>
                </c:pt>
                <c:pt idx="90">
                  <c:v>800.62551503347186</c:v>
                </c:pt>
                <c:pt idx="91">
                  <c:v>641.83225318617042</c:v>
                </c:pt>
                <c:pt idx="92">
                  <c:v>653.85406638827408</c:v>
                </c:pt>
                <c:pt idx="93">
                  <c:v>665.87132552880155</c:v>
                </c:pt>
                <c:pt idx="94">
                  <c:v>677.88412434483791</c:v>
                </c:pt>
                <c:pt idx="95">
                  <c:v>689.89255298185105</c:v>
                </c:pt>
                <c:pt idx="96">
                  <c:v>701.89669819273695</c:v>
                </c:pt>
                <c:pt idx="97">
                  <c:v>713.89664352255079</c:v>
                </c:pt>
                <c:pt idx="98">
                  <c:v>725.89246948017455</c:v>
                </c:pt>
                <c:pt idx="99">
                  <c:v>737.88425369805907</c:v>
                </c:pt>
                <c:pt idx="100">
                  <c:v>749.87207108104519</c:v>
                </c:pt>
                <c:pt idx="101">
                  <c:v>760.43437389639394</c:v>
                </c:pt>
                <c:pt idx="102">
                  <c:v>770.99369945175965</c:v>
                </c:pt>
                <c:pt idx="103">
                  <c:v>781.55009424926186</c:v>
                </c:pt>
                <c:pt idx="104">
                  <c:v>792.10360343306365</c:v>
                </c:pt>
                <c:pt idx="105">
                  <c:v>802.65427084697183</c:v>
                </c:pt>
                <c:pt idx="106">
                  <c:v>813.2021390888516</c:v>
                </c:pt>
                <c:pt idx="107">
                  <c:v>823.74724956207217</c:v>
                </c:pt>
                <c:pt idx="108">
                  <c:v>834.28964252418791</c:v>
                </c:pt>
                <c:pt idx="109">
                  <c:v>844.82935713302641</c:v>
                </c:pt>
                <c:pt idx="110">
                  <c:v>855.36643149036433</c:v>
                </c:pt>
                <c:pt idx="111">
                  <c:v>649.16814374322746</c:v>
                </c:pt>
                <c:pt idx="112">
                  <c:v>658.33560563795163</c:v>
                </c:pt>
                <c:pt idx="113">
                  <c:v>667.50043896178022</c:v>
                </c:pt>
                <c:pt idx="114">
                  <c:v>676.66268488632613</c:v>
                </c:pt>
                <c:pt idx="115">
                  <c:v>685.82238337756644</c:v>
                </c:pt>
                <c:pt idx="116">
                  <c:v>694.97957324712058</c:v>
                </c:pt>
                <c:pt idx="117">
                  <c:v>704.13429220068656</c:v>
                </c:pt>
                <c:pt idx="118">
                  <c:v>713.28657688382884</c:v>
                </c:pt>
                <c:pt idx="119">
                  <c:v>722.43646292529365</c:v>
                </c:pt>
                <c:pt idx="120">
                  <c:v>731.58398497801829</c:v>
                </c:pt>
                <c:pt idx="121">
                  <c:v>740.11956914072152</c:v>
                </c:pt>
                <c:pt idx="122">
                  <c:v>748.65315008932919</c:v>
                </c:pt>
                <c:pt idx="123">
                  <c:v>757.18475386959517</c:v>
                </c:pt>
                <c:pt idx="124">
                  <c:v>765.71440589266729</c:v>
                </c:pt>
                <c:pt idx="125">
                  <c:v>774.24213095759603</c:v>
                </c:pt>
                <c:pt idx="126">
                  <c:v>782.76795327280058</c:v>
                </c:pt>
                <c:pt idx="127">
                  <c:v>791.29189647655346</c:v>
                </c:pt>
                <c:pt idx="128">
                  <c:v>799.81398365653479</c:v>
                </c:pt>
                <c:pt idx="129">
                  <c:v>808.33423736851239</c:v>
                </c:pt>
                <c:pt idx="130">
                  <c:v>816.85267965419155</c:v>
                </c:pt>
                <c:pt idx="131">
                  <c:v>639.59038670342318</c:v>
                </c:pt>
                <c:pt idx="132">
                  <c:v>647.33433222460849</c:v>
                </c:pt>
                <c:pt idx="133">
                  <c:v>655.07636694999781</c:v>
                </c:pt>
                <c:pt idx="134">
                  <c:v>662.81651664582557</c:v>
                </c:pt>
                <c:pt idx="135">
                  <c:v>670.55480642750706</c:v>
                </c:pt>
                <c:pt idx="136">
                  <c:v>678.29126078355807</c:v>
                </c:pt>
                <c:pt idx="137">
                  <c:v>686.02590359836915</c:v>
                </c:pt>
                <c:pt idx="138">
                  <c:v>693.7587581738976</c:v>
                </c:pt>
                <c:pt idx="139">
                  <c:v>701.48984725034506</c:v>
                </c:pt>
                <c:pt idx="140">
                  <c:v>709.21919302587401</c:v>
                </c:pt>
                <c:pt idx="141">
                  <c:v>716.33680368243961</c:v>
                </c:pt>
                <c:pt idx="142">
                  <c:v>723.45297038005356</c:v>
                </c:pt>
                <c:pt idx="143">
                  <c:v>730.5677093227813</c:v>
                </c:pt>
                <c:pt idx="144">
                  <c:v>737.68103637339038</c:v>
                </c:pt>
                <c:pt idx="145">
                  <c:v>744.79296706383138</c:v>
                </c:pt>
                <c:pt idx="146">
                  <c:v>751.90351660529711</c:v>
                </c:pt>
                <c:pt idx="147">
                  <c:v>759.01269989788318</c:v>
                </c:pt>
                <c:pt idx="148">
                  <c:v>766.12053153986801</c:v>
                </c:pt>
                <c:pt idx="149">
                  <c:v>773.22702583662794</c:v>
                </c:pt>
                <c:pt idx="150">
                  <c:v>780.33219680921172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8105488"/>
        <c:axId val="1408101136"/>
      </c:scatterChart>
      <c:valAx>
        <c:axId val="14081054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8101136"/>
        <c:crosses val="autoZero"/>
        <c:crossBetween val="midCat"/>
      </c:valAx>
      <c:valAx>
        <c:axId val="1408101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8105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2.7291333349301268</c:v>
                </c:pt>
                <c:pt idx="2">
                  <c:v>3.6494023009366696</c:v>
                </c:pt>
                <c:pt idx="3">
                  <c:v>4.8812641368145817</c:v>
                </c:pt>
                <c:pt idx="4">
                  <c:v>6.5306271988583653</c:v>
                </c:pt>
                <c:pt idx="5">
                  <c:v>8.739526298476207</c:v>
                </c:pt>
                <c:pt idx="6">
                  <c:v>11.698486539960541</c:v>
                </c:pt>
                <c:pt idx="7">
                  <c:v>15.66313135015058</c:v>
                </c:pt>
                <c:pt idx="8">
                  <c:v>20.976495645602643</c:v>
                </c:pt>
                <c:pt idx="9">
                  <c:v>28.099009231161144</c:v>
                </c:pt>
                <c:pt idx="10">
                  <c:v>37.648794037853158</c:v>
                </c:pt>
                <c:pt idx="11">
                  <c:v>50.455832116437186</c:v>
                </c:pt>
                <c:pt idx="12">
                  <c:v>67.634790814555217</c:v>
                </c:pt>
                <c:pt idx="13">
                  <c:v>90.682946965176697</c:v>
                </c:pt>
                <c:pt idx="14">
                  <c:v>121.61188099950169</c:v>
                </c:pt>
                <c:pt idx="15">
                  <c:v>163.12461384238844</c:v>
                </c:pt>
                <c:pt idx="16">
                  <c:v>190.7204247411147</c:v>
                </c:pt>
                <c:pt idx="17">
                  <c:v>218.22312573751947</c:v>
                </c:pt>
                <c:pt idx="18">
                  <c:v>245.6461089428318</c:v>
                </c:pt>
                <c:pt idx="19">
                  <c:v>272.99952502719992</c:v>
                </c:pt>
                <c:pt idx="20">
                  <c:v>300.2913216340458</c:v>
                </c:pt>
                <c:pt idx="21">
                  <c:v>173.13987981714703</c:v>
                </c:pt>
                <c:pt idx="22">
                  <c:v>202.07571754604893</c:v>
                </c:pt>
                <c:pt idx="23">
                  <c:v>230.91548802122449</c:v>
                </c:pt>
                <c:pt idx="24">
                  <c:v>259.67288191053939</c:v>
                </c:pt>
                <c:pt idx="25">
                  <c:v>288.35830325418618</c:v>
                </c:pt>
                <c:pt idx="26">
                  <c:v>316.29913637651748</c:v>
                </c:pt>
                <c:pt idx="27">
                  <c:v>344.18528987135386</c:v>
                </c:pt>
                <c:pt idx="28">
                  <c:v>372.02181276517587</c:v>
                </c:pt>
                <c:pt idx="29">
                  <c:v>399.81293702596389</c:v>
                </c:pt>
                <c:pt idx="30">
                  <c:v>427.56225857158461</c:v>
                </c:pt>
                <c:pt idx="31">
                  <c:v>310.85173466328649</c:v>
                </c:pt>
                <c:pt idx="32">
                  <c:v>336.70870355604046</c:v>
                </c:pt>
                <c:pt idx="33">
                  <c:v>362.52196090538217</c:v>
                </c:pt>
                <c:pt idx="34">
                  <c:v>388.29505404723028</c:v>
                </c:pt>
                <c:pt idx="35">
                  <c:v>414.03102119238082</c:v>
                </c:pt>
                <c:pt idx="36">
                  <c:v>436.35260587576499</c:v>
                </c:pt>
                <c:pt idx="37">
                  <c:v>458.64969689218088</c:v>
                </c:pt>
                <c:pt idx="38">
                  <c:v>480.92365148260507</c:v>
                </c:pt>
                <c:pt idx="39">
                  <c:v>503.17569100899021</c:v>
                </c:pt>
                <c:pt idx="40">
                  <c:v>525.40692008667054</c:v>
                </c:pt>
                <c:pt idx="41">
                  <c:v>406.24625838591629</c:v>
                </c:pt>
                <c:pt idx="42">
                  <c:v>425.53316796502639</c:v>
                </c:pt>
                <c:pt idx="43">
                  <c:v>444.80127884250447</c:v>
                </c:pt>
                <c:pt idx="44">
                  <c:v>464.05151945493071</c:v>
                </c:pt>
                <c:pt idx="45">
                  <c:v>483.28473497109485</c:v>
                </c:pt>
                <c:pt idx="46">
                  <c:v>499.80553357858707</c:v>
                </c:pt>
                <c:pt idx="47">
                  <c:v>516.31477524134391</c:v>
                </c:pt>
                <c:pt idx="48">
                  <c:v>532.81288134322483</c:v>
                </c:pt>
                <c:pt idx="49">
                  <c:v>549.30024505818972</c:v>
                </c:pt>
                <c:pt idx="50">
                  <c:v>565.77723404629694</c:v>
                </c:pt>
                <c:pt idx="51">
                  <c:v>500.81663116885539</c:v>
                </c:pt>
                <c:pt idx="52">
                  <c:v>514.96750495828326</c:v>
                </c:pt>
                <c:pt idx="53">
                  <c:v>529.11017351371675</c:v>
                </c:pt>
                <c:pt idx="54">
                  <c:v>543.24488697768527</c:v>
                </c:pt>
                <c:pt idx="55">
                  <c:v>557.37188141896695</c:v>
                </c:pt>
                <c:pt idx="56">
                  <c:v>569.47475955098764</c:v>
                </c:pt>
                <c:pt idx="57">
                  <c:v>581.57226419525421</c:v>
                </c:pt>
                <c:pt idx="58">
                  <c:v>593.66452285075354</c:v>
                </c:pt>
                <c:pt idx="59">
                  <c:v>605.75165740042155</c:v>
                </c:pt>
                <c:pt idx="60">
                  <c:v>617.83378446799804</c:v>
                </c:pt>
                <c:pt idx="61">
                  <c:v>569.47475955098764</c:v>
                </c:pt>
                <c:pt idx="62">
                  <c:v>579.89237175720086</c:v>
                </c:pt>
                <c:pt idx="63">
                  <c:v>590.30608121292823</c:v>
                </c:pt>
                <c:pt idx="64">
                  <c:v>600.71596646355397</c:v>
                </c:pt>
                <c:pt idx="65">
                  <c:v>611.12210311064734</c:v>
                </c:pt>
                <c:pt idx="66">
                  <c:v>619.84699338591429</c:v>
                </c:pt>
                <c:pt idx="67">
                  <c:v>628.5693395591328</c:v>
                </c:pt>
                <c:pt idx="68">
                  <c:v>637.289181908768</c:v>
                </c:pt>
                <c:pt idx="69">
                  <c:v>646.0065595212551</c:v>
                </c:pt>
                <c:pt idx="70">
                  <c:v>654.72151034223214</c:v>
                </c:pt>
                <c:pt idx="71">
                  <c:v>610.78647904168156</c:v>
                </c:pt>
                <c:pt idx="72">
                  <c:v>618.84040589332551</c:v>
                </c:pt>
                <c:pt idx="73">
                  <c:v>626.89216097508961</c:v>
                </c:pt>
                <c:pt idx="74">
                  <c:v>634.94177611424914</c:v>
                </c:pt>
                <c:pt idx="75">
                  <c:v>642.98928226528881</c:v>
                </c:pt>
                <c:pt idx="76">
                  <c:v>650.02914381364155</c:v>
                </c:pt>
                <c:pt idx="77">
                  <c:v>657.06743340679509</c:v>
                </c:pt>
                <c:pt idx="78">
                  <c:v>664.10417025786398</c:v>
                </c:pt>
                <c:pt idx="79">
                  <c:v>671.13937313959877</c:v>
                </c:pt>
                <c:pt idx="80">
                  <c:v>678.17306039908749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8103312"/>
        <c:axId val="1408103856"/>
      </c:scatterChart>
      <c:valAx>
        <c:axId val="14081033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8103856"/>
        <c:crosses val="autoZero"/>
        <c:crossBetween val="midCat"/>
      </c:valAx>
      <c:valAx>
        <c:axId val="1408103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81033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8098416"/>
        <c:axId val="1408098960"/>
      </c:scatterChart>
      <c:valAx>
        <c:axId val="14080984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8098960"/>
        <c:crosses val="autoZero"/>
        <c:crossBetween val="midCat"/>
      </c:valAx>
      <c:valAx>
        <c:axId val="1408098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80984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8099504"/>
        <c:axId val="1408100048"/>
      </c:scatterChart>
      <c:valAx>
        <c:axId val="1408099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8100048"/>
        <c:crosses val="autoZero"/>
        <c:crossBetween val="midCat"/>
      </c:valAx>
      <c:valAx>
        <c:axId val="140810004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8099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0" zoomScaleNormal="80" workbookViewId="0">
      <selection activeCell="L23" sqref="L2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22</v>
      </c>
      <c r="C9" s="35">
        <v>0.12839999999999999</v>
      </c>
      <c r="D9" s="36">
        <f t="shared" ref="D9:D18" si="0">C9*$C$5</f>
        <v>0.12839999999999999</v>
      </c>
      <c r="E9" s="37">
        <v>80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30</v>
      </c>
      <c r="C10" s="35">
        <v>0.12839999999999999</v>
      </c>
      <c r="D10" s="36">
        <f t="shared" si="0"/>
        <v>0.12839999999999999</v>
      </c>
      <c r="E10" s="37">
        <v>69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8</v>
      </c>
      <c r="C11" s="35">
        <v>0.12839999999999999</v>
      </c>
      <c r="D11" s="36">
        <f t="shared" si="0"/>
        <v>0.12839999999999999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5</v>
      </c>
      <c r="C12" s="35">
        <v>0.1118</v>
      </c>
      <c r="D12" s="36">
        <f t="shared" si="0"/>
        <v>0.1118</v>
      </c>
      <c r="E12" s="37">
        <v>60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6</v>
      </c>
      <c r="C13" s="35">
        <v>0.1118</v>
      </c>
      <c r="D13" s="36">
        <f t="shared" si="0"/>
        <v>0.1118</v>
      </c>
      <c r="E13" s="37">
        <v>120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1</v>
      </c>
      <c r="C14" s="35">
        <v>0.12839999999999999</v>
      </c>
      <c r="D14" s="36">
        <f t="shared" si="0"/>
        <v>0.12839999999999999</v>
      </c>
      <c r="E14" s="37">
        <v>150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23</v>
      </c>
      <c r="C15" s="35">
        <v>0.12839999999999999</v>
      </c>
      <c r="D15" s="36">
        <f t="shared" si="0"/>
        <v>0.12839999999999999</v>
      </c>
      <c r="E15" s="37">
        <v>80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29</v>
      </c>
      <c r="C16" s="35">
        <v>0.13439999999999999</v>
      </c>
      <c r="D16" s="36">
        <f t="shared" si="0"/>
        <v>0.13439999999999999</v>
      </c>
      <c r="E16" s="37">
        <v>69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0.99999999999999989</v>
      </c>
      <c r="D19" s="41">
        <f>SUM(D9:D18)</f>
        <v>0.99999999999999989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Erable plane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15</v>
      </c>
      <c r="B36" s="63">
        <v>65</v>
      </c>
      <c r="C36" s="63"/>
      <c r="D36" s="63"/>
      <c r="E36" s="54"/>
      <c r="F36" s="54"/>
      <c r="G36" s="54"/>
      <c r="H36" s="54"/>
      <c r="I36" s="52">
        <f>IFERROR(B36/A36,"")</f>
        <v>4.333333333333333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20</v>
      </c>
      <c r="B37" s="63">
        <f>102+32</f>
        <v>134</v>
      </c>
      <c r="C37" s="63">
        <v>1</v>
      </c>
      <c r="D37" s="63">
        <f>32+35</f>
        <v>67</v>
      </c>
      <c r="E37" s="54"/>
      <c r="F37" s="54"/>
      <c r="G37" s="54"/>
      <c r="H37" s="54">
        <v>1</v>
      </c>
      <c r="I37" s="56">
        <f t="shared" ref="I37:I55" si="1">IF(A37&lt;&gt;0,(B37-(B36-D36))/(A37-A36),"")</f>
        <v>13.8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141</v>
      </c>
      <c r="C38" s="63"/>
      <c r="D38" s="63"/>
      <c r="E38" s="54"/>
      <c r="F38" s="54"/>
      <c r="G38" s="54"/>
      <c r="H38" s="54"/>
      <c r="I38" s="56">
        <f t="shared" si="1"/>
        <v>14.8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f>177+35</f>
        <v>212</v>
      </c>
      <c r="C39" s="63">
        <v>2</v>
      </c>
      <c r="D39" s="63">
        <f>35+35</f>
        <v>70</v>
      </c>
      <c r="E39" s="54"/>
      <c r="F39" s="54"/>
      <c r="G39" s="54"/>
      <c r="H39" s="54">
        <v>1</v>
      </c>
      <c r="I39" s="52">
        <f t="shared" si="1"/>
        <v>14.2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35</v>
      </c>
      <c r="B40" s="63">
        <v>206</v>
      </c>
      <c r="C40" s="63"/>
      <c r="D40" s="63"/>
      <c r="E40" s="54"/>
      <c r="F40" s="54"/>
      <c r="G40" s="54"/>
      <c r="H40" s="54"/>
      <c r="I40" s="52">
        <f t="shared" si="1"/>
        <v>12.8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40</v>
      </c>
      <c r="B41" s="63">
        <f>228+35</f>
        <v>263</v>
      </c>
      <c r="C41" s="63">
        <v>3</v>
      </c>
      <c r="D41" s="63">
        <f>35+35</f>
        <v>70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45</v>
      </c>
      <c r="B42" s="63">
        <v>242</v>
      </c>
      <c r="C42" s="63"/>
      <c r="D42" s="63"/>
      <c r="E42" s="54"/>
      <c r="F42" s="54"/>
      <c r="G42" s="54"/>
      <c r="H42" s="54"/>
      <c r="I42" s="56">
        <f t="shared" si="1"/>
        <v>9.8000000000000007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50</v>
      </c>
      <c r="B43" s="63">
        <f>261+24</f>
        <v>285</v>
      </c>
      <c r="C43" s="63">
        <v>4</v>
      </c>
      <c r="D43" s="63">
        <f>24+19</f>
        <v>43</v>
      </c>
      <c r="E43" s="54"/>
      <c r="F43" s="54"/>
      <c r="G43" s="54"/>
      <c r="H43" s="54"/>
      <c r="I43" s="52">
        <f t="shared" si="1"/>
        <v>8.6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55</v>
      </c>
      <c r="B44" s="63">
        <v>279</v>
      </c>
      <c r="C44" s="63"/>
      <c r="D44" s="63"/>
      <c r="E44" s="54"/>
      <c r="F44" s="54"/>
      <c r="G44" s="54"/>
      <c r="H44" s="54"/>
      <c r="I44" s="52">
        <f t="shared" si="1"/>
        <v>7.4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60</v>
      </c>
      <c r="B45" s="63">
        <f>294+16</f>
        <v>310</v>
      </c>
      <c r="C45" s="63">
        <v>5</v>
      </c>
      <c r="D45" s="63">
        <f>16+14</f>
        <v>30</v>
      </c>
      <c r="E45" s="54"/>
      <c r="F45" s="54"/>
      <c r="G45" s="54"/>
      <c r="H45" s="54"/>
      <c r="I45" s="52">
        <f t="shared" si="1"/>
        <v>6.2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65</v>
      </c>
      <c r="B46" s="63">
        <v>306</v>
      </c>
      <c r="C46" s="63"/>
      <c r="D46" s="63"/>
      <c r="E46" s="54"/>
      <c r="F46" s="54"/>
      <c r="G46" s="54"/>
      <c r="H46" s="54"/>
      <c r="I46" s="52">
        <f t="shared" si="1"/>
        <v>5.2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70</v>
      </c>
      <c r="B47" s="63">
        <f>315+13</f>
        <v>328</v>
      </c>
      <c r="C47" s="63">
        <v>6</v>
      </c>
      <c r="D47" s="63">
        <f>13+13</f>
        <v>26</v>
      </c>
      <c r="E47" s="54"/>
      <c r="F47" s="54"/>
      <c r="G47" s="54"/>
      <c r="H47" s="54"/>
      <c r="I47" s="52">
        <f t="shared" si="1"/>
        <v>4.4000000000000004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75</v>
      </c>
      <c r="B48" s="63">
        <v>324</v>
      </c>
      <c r="C48" s="63"/>
      <c r="D48" s="63"/>
      <c r="E48" s="54"/>
      <c r="F48" s="54"/>
      <c r="G48" s="54"/>
      <c r="H48" s="54"/>
      <c r="I48" s="52">
        <f t="shared" si="1"/>
        <v>4.4000000000000004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80</v>
      </c>
      <c r="B49" s="63">
        <f>330+12</f>
        <v>342</v>
      </c>
      <c r="C49" s="63">
        <v>7</v>
      </c>
      <c r="D49" s="63">
        <f>B49</f>
        <v>342</v>
      </c>
      <c r="E49" s="54"/>
      <c r="F49" s="54"/>
      <c r="G49" s="54"/>
      <c r="H49" s="54"/>
      <c r="I49" s="52">
        <f t="shared" si="1"/>
        <v>3.6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Noyer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3">
        <v>40</v>
      </c>
      <c r="C62" s="63"/>
      <c r="D62" s="63"/>
      <c r="E62" s="54"/>
      <c r="F62" s="54"/>
      <c r="G62" s="54"/>
      <c r="H62" s="54"/>
      <c r="I62" s="56">
        <f>IFERROR(B62/A62,"")</f>
        <v>2.6666666666666665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20</v>
      </c>
      <c r="B63" s="63">
        <f>85+3</f>
        <v>88</v>
      </c>
      <c r="C63" s="63">
        <v>1</v>
      </c>
      <c r="D63" s="63">
        <f>3+25</f>
        <v>28</v>
      </c>
      <c r="E63" s="54"/>
      <c r="F63" s="54"/>
      <c r="G63" s="54"/>
      <c r="H63" s="54">
        <v>1</v>
      </c>
      <c r="I63" s="52">
        <f>IF(A63&lt;&gt;0,(B63-(B62-D62))/(A63-A62),"")</f>
        <v>9.6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3">
        <v>113</v>
      </c>
      <c r="C64" s="63">
        <v>2</v>
      </c>
      <c r="D64" s="63">
        <v>27</v>
      </c>
      <c r="E64" s="54"/>
      <c r="F64" s="54"/>
      <c r="G64" s="54"/>
      <c r="H64" s="54">
        <v>1</v>
      </c>
      <c r="I64" s="52">
        <f>IF(A64&lt;&gt;0,(B64-(B63-D63))/(A64-A63),"")</f>
        <v>10.6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31</v>
      </c>
      <c r="B65" s="63">
        <v>155</v>
      </c>
      <c r="C65" s="63">
        <v>3</v>
      </c>
      <c r="D65" s="63">
        <v>36</v>
      </c>
      <c r="E65" s="54"/>
      <c r="F65" s="54"/>
      <c r="G65" s="54"/>
      <c r="H65" s="54"/>
      <c r="I65" s="52">
        <f>IF(A65&lt;&gt;0,(B65-(B64-D64))/(A65-A64),"")</f>
        <v>11.5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37</v>
      </c>
      <c r="B66" s="63">
        <v>188</v>
      </c>
      <c r="C66" s="63">
        <v>4</v>
      </c>
      <c r="D66" s="63">
        <v>36</v>
      </c>
      <c r="E66" s="54"/>
      <c r="F66" s="54"/>
      <c r="G66" s="54"/>
      <c r="H66" s="54"/>
      <c r="I66" s="52">
        <f t="shared" ref="I66:I81" si="2">IF(A66&lt;&gt;0,(B66-(B65-D65))/(A66-A65),"")</f>
        <v>11.5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44</v>
      </c>
      <c r="B67" s="63">
        <v>230</v>
      </c>
      <c r="C67" s="63">
        <v>5</v>
      </c>
      <c r="D67" s="63">
        <v>43</v>
      </c>
      <c r="E67" s="54"/>
      <c r="F67" s="54"/>
      <c r="G67" s="54"/>
      <c r="H67" s="54"/>
      <c r="I67" s="52">
        <f t="shared" si="2"/>
        <v>11.142857142857142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52</v>
      </c>
      <c r="B68" s="63">
        <v>270</v>
      </c>
      <c r="C68" s="63">
        <v>6</v>
      </c>
      <c r="D68" s="63">
        <v>48</v>
      </c>
      <c r="E68" s="54"/>
      <c r="F68" s="54"/>
      <c r="G68" s="54"/>
      <c r="H68" s="54"/>
      <c r="I68" s="52">
        <f t="shared" si="2"/>
        <v>10.375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297</v>
      </c>
      <c r="C69" s="53">
        <v>7</v>
      </c>
      <c r="D69" s="53">
        <v>47</v>
      </c>
      <c r="E69" s="54"/>
      <c r="F69" s="54"/>
      <c r="G69" s="54"/>
      <c r="H69" s="54"/>
      <c r="I69" s="52">
        <f t="shared" si="2"/>
        <v>9.375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69</v>
      </c>
      <c r="B70" s="53">
        <v>328</v>
      </c>
      <c r="C70" s="53">
        <v>8</v>
      </c>
      <c r="D70" s="53">
        <f>B70</f>
        <v>328</v>
      </c>
      <c r="E70" s="54"/>
      <c r="F70" s="54"/>
      <c r="G70" s="54"/>
      <c r="H70" s="54"/>
      <c r="I70" s="52">
        <f t="shared" si="2"/>
        <v>8.6666666666666661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Châtaignier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3">
        <v>9</v>
      </c>
      <c r="C88" s="63"/>
      <c r="D88" s="63"/>
      <c r="E88" s="54"/>
      <c r="F88" s="54"/>
      <c r="G88" s="54"/>
      <c r="H88" s="93"/>
      <c r="I88" s="56">
        <f>IFERROR(B88/A88,"")</f>
        <v>0.6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3">
        <v>57</v>
      </c>
      <c r="C89" s="63">
        <v>1</v>
      </c>
      <c r="D89" s="63">
        <v>21</v>
      </c>
      <c r="E89" s="54"/>
      <c r="F89" s="54"/>
      <c r="G89" s="54"/>
      <c r="H89" s="93">
        <v>1</v>
      </c>
      <c r="I89" s="56">
        <f t="shared" ref="I89:I107" si="3">IF(A89&lt;&gt;0,(B89-(B88-D88))/(A89-A88),"")</f>
        <v>9.6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3">
        <v>86</v>
      </c>
      <c r="C90" s="63"/>
      <c r="D90" s="63"/>
      <c r="E90" s="93"/>
      <c r="F90" s="93"/>
      <c r="G90" s="93"/>
      <c r="H90" s="93"/>
      <c r="I90" s="56">
        <f t="shared" si="3"/>
        <v>10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3">
        <f>114+21</f>
        <v>135</v>
      </c>
      <c r="C91" s="63">
        <v>2</v>
      </c>
      <c r="D91" s="63">
        <f>21+21</f>
        <v>42</v>
      </c>
      <c r="E91" s="93"/>
      <c r="F91" s="93"/>
      <c r="G91" s="93"/>
      <c r="H91" s="93">
        <v>1</v>
      </c>
      <c r="I91" s="56">
        <f t="shared" si="3"/>
        <v>9.8000000000000007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35</v>
      </c>
      <c r="B92" s="63">
        <v>136</v>
      </c>
      <c r="C92" s="63"/>
      <c r="D92" s="63"/>
      <c r="E92" s="93"/>
      <c r="F92" s="93"/>
      <c r="G92" s="93"/>
      <c r="H92" s="93"/>
      <c r="I92" s="56">
        <f t="shared" si="3"/>
        <v>8.6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40</v>
      </c>
      <c r="B93" s="63">
        <f>153+21</f>
        <v>174</v>
      </c>
      <c r="C93" s="63">
        <v>3</v>
      </c>
      <c r="D93" s="63">
        <f>21+21</f>
        <v>42</v>
      </c>
      <c r="E93" s="93"/>
      <c r="F93" s="93"/>
      <c r="G93" s="93"/>
      <c r="H93" s="93"/>
      <c r="I93" s="56">
        <f t="shared" si="3"/>
        <v>7.6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45</v>
      </c>
      <c r="B94" s="63">
        <v>165</v>
      </c>
      <c r="C94" s="63"/>
      <c r="D94" s="63"/>
      <c r="E94" s="93"/>
      <c r="F94" s="93"/>
      <c r="G94" s="93"/>
      <c r="H94" s="93"/>
      <c r="I94" s="56">
        <f t="shared" si="3"/>
        <v>6.6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50</v>
      </c>
      <c r="B95" s="63">
        <f>174+18</f>
        <v>192</v>
      </c>
      <c r="C95" s="63">
        <v>4</v>
      </c>
      <c r="D95" s="63">
        <f>18+13</f>
        <v>31</v>
      </c>
      <c r="E95" s="93"/>
      <c r="F95" s="93"/>
      <c r="G95" s="93"/>
      <c r="H95" s="93"/>
      <c r="I95" s="56">
        <f t="shared" si="3"/>
        <v>5.4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55</v>
      </c>
      <c r="B96" s="63">
        <v>185</v>
      </c>
      <c r="C96" s="63"/>
      <c r="D96" s="63"/>
      <c r="E96" s="93"/>
      <c r="F96" s="93"/>
      <c r="G96" s="93"/>
      <c r="H96" s="93"/>
      <c r="I96" s="56">
        <f t="shared" si="3"/>
        <v>4.8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60</v>
      </c>
      <c r="B97" s="63">
        <f>195+11</f>
        <v>206</v>
      </c>
      <c r="C97" s="63">
        <v>5</v>
      </c>
      <c r="D97" s="63">
        <f>11+9</f>
        <v>20</v>
      </c>
      <c r="E97" s="93"/>
      <c r="F97" s="93"/>
      <c r="G97" s="93"/>
      <c r="H97" s="93"/>
      <c r="I97" s="56">
        <f t="shared" si="3"/>
        <v>4.2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65</v>
      </c>
      <c r="B98" s="63">
        <f>202</f>
        <v>202</v>
      </c>
      <c r="C98" s="63"/>
      <c r="D98" s="63"/>
      <c r="E98" s="93"/>
      <c r="F98" s="93"/>
      <c r="G98" s="93"/>
      <c r="H98" s="93"/>
      <c r="I98" s="56">
        <f t="shared" si="3"/>
        <v>3.2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70</v>
      </c>
      <c r="B99" s="63">
        <f>209+8</f>
        <v>217</v>
      </c>
      <c r="C99" s="63">
        <v>6</v>
      </c>
      <c r="D99" s="63">
        <f>8+8</f>
        <v>16</v>
      </c>
      <c r="E99" s="93"/>
      <c r="F99" s="93"/>
      <c r="G99" s="93"/>
      <c r="H99" s="93"/>
      <c r="I99" s="56">
        <f t="shared" si="3"/>
        <v>3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75</v>
      </c>
      <c r="B100" s="63">
        <v>214</v>
      </c>
      <c r="C100" s="63"/>
      <c r="D100" s="63"/>
      <c r="E100" s="68"/>
      <c r="F100" s="68"/>
      <c r="G100" s="68"/>
      <c r="H100" s="68"/>
      <c r="I100" s="56">
        <f t="shared" si="3"/>
        <v>2.6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80</v>
      </c>
      <c r="B101" s="63">
        <f>219+7</f>
        <v>226</v>
      </c>
      <c r="C101" s="63">
        <v>7</v>
      </c>
      <c r="D101" s="63">
        <f>B101</f>
        <v>226</v>
      </c>
      <c r="E101" s="68"/>
      <c r="F101" s="68"/>
      <c r="G101" s="68"/>
      <c r="H101" s="68"/>
      <c r="I101" s="56">
        <f t="shared" si="3"/>
        <v>2.4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Bouleau verruqueux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10</v>
      </c>
      <c r="B114" s="63">
        <v>9</v>
      </c>
      <c r="C114" s="63"/>
      <c r="D114" s="63"/>
      <c r="E114" s="54"/>
      <c r="F114" s="54"/>
      <c r="G114" s="54"/>
      <c r="H114" s="54"/>
      <c r="I114" s="56">
        <f>IFERROR(B114/A114,"")</f>
        <v>0.9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15</v>
      </c>
      <c r="B115" s="63">
        <v>49</v>
      </c>
      <c r="C115" s="63"/>
      <c r="D115" s="63"/>
      <c r="E115" s="54"/>
      <c r="F115" s="54"/>
      <c r="G115" s="54"/>
      <c r="H115" s="54"/>
      <c r="I115" s="56">
        <f t="shared" ref="I115:I133" si="4">IF(A115&lt;&gt;0,(B115-(B114-D114))/(A115-A114),"")</f>
        <v>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20</v>
      </c>
      <c r="B116" s="63">
        <v>99</v>
      </c>
      <c r="C116" s="63">
        <v>1</v>
      </c>
      <c r="D116" s="63">
        <v>40</v>
      </c>
      <c r="E116" s="54"/>
      <c r="F116" s="54"/>
      <c r="G116" s="54"/>
      <c r="H116" s="54">
        <v>1</v>
      </c>
      <c r="I116" s="56">
        <f t="shared" si="4"/>
        <v>10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25</v>
      </c>
      <c r="B117" s="63">
        <v>102</v>
      </c>
      <c r="C117" s="63"/>
      <c r="D117" s="63"/>
      <c r="E117" s="54"/>
      <c r="F117" s="54"/>
      <c r="G117" s="54"/>
      <c r="H117" s="54"/>
      <c r="I117" s="56">
        <f t="shared" si="4"/>
        <v>8.6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30</v>
      </c>
      <c r="B118" s="63">
        <v>146</v>
      </c>
      <c r="C118" s="63"/>
      <c r="D118" s="63"/>
      <c r="E118" s="54"/>
      <c r="F118" s="54"/>
      <c r="G118" s="54"/>
      <c r="H118" s="54"/>
      <c r="I118" s="56">
        <f t="shared" si="4"/>
        <v>8.8000000000000007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35</v>
      </c>
      <c r="B119" s="63">
        <v>190</v>
      </c>
      <c r="C119" s="63">
        <v>2</v>
      </c>
      <c r="D119" s="63">
        <v>76</v>
      </c>
      <c r="E119" s="54"/>
      <c r="F119" s="54"/>
      <c r="G119" s="54"/>
      <c r="H119" s="54"/>
      <c r="I119" s="56">
        <f t="shared" si="4"/>
        <v>8.8000000000000007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40</v>
      </c>
      <c r="B120" s="63">
        <v>152</v>
      </c>
      <c r="C120" s="63"/>
      <c r="D120" s="63"/>
      <c r="E120" s="54"/>
      <c r="F120" s="54"/>
      <c r="G120" s="54"/>
      <c r="H120" s="54"/>
      <c r="I120" s="56">
        <f t="shared" si="4"/>
        <v>7.6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45</v>
      </c>
      <c r="B121" s="53">
        <v>190</v>
      </c>
      <c r="C121" s="53"/>
      <c r="D121" s="53"/>
      <c r="E121" s="54"/>
      <c r="F121" s="54"/>
      <c r="G121" s="54"/>
      <c r="H121" s="54"/>
      <c r="I121" s="56">
        <f t="shared" si="4"/>
        <v>7.6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3">
        <v>50</v>
      </c>
      <c r="B122" s="53">
        <v>228</v>
      </c>
      <c r="C122" s="53"/>
      <c r="D122" s="53"/>
      <c r="E122" s="54"/>
      <c r="F122" s="54"/>
      <c r="G122" s="54"/>
      <c r="H122" s="54"/>
      <c r="I122" s="56">
        <f t="shared" si="4"/>
        <v>7.6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>
        <v>55</v>
      </c>
      <c r="B123" s="53">
        <v>266</v>
      </c>
      <c r="C123" s="53"/>
      <c r="D123" s="53"/>
      <c r="E123" s="54"/>
      <c r="F123" s="54"/>
      <c r="G123" s="54"/>
      <c r="H123" s="54"/>
      <c r="I123" s="56">
        <f t="shared" si="4"/>
        <v>7.6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>
        <v>60</v>
      </c>
      <c r="B124" s="53">
        <v>303</v>
      </c>
      <c r="C124" s="53">
        <v>3</v>
      </c>
      <c r="D124" s="53">
        <v>303</v>
      </c>
      <c r="E124" s="54"/>
      <c r="F124" s="54"/>
      <c r="G124" s="54"/>
      <c r="H124" s="54"/>
      <c r="I124" s="56">
        <f t="shared" si="4"/>
        <v>7.4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Charme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15</v>
      </c>
      <c r="B140" s="63">
        <f>(98+10)/1.56</f>
        <v>69.230769230769226</v>
      </c>
      <c r="C140" s="53"/>
      <c r="D140" s="63"/>
      <c r="E140" s="54"/>
      <c r="F140" s="54"/>
      <c r="G140" s="54"/>
      <c r="H140" s="54"/>
      <c r="I140" s="60">
        <f>IFERROR(B140/A140,"")</f>
        <v>4.615384615384615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20</v>
      </c>
      <c r="B141" s="63">
        <f>(150+10+19)/1.56</f>
        <v>114.74358974358974</v>
      </c>
      <c r="C141" s="53">
        <v>1</v>
      </c>
      <c r="D141" s="63">
        <f>(10+19+25)/1.56</f>
        <v>34.615384615384613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9.1025641025641022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25</v>
      </c>
      <c r="B142" s="63">
        <f>195/1.56</f>
        <v>125</v>
      </c>
      <c r="C142" s="53"/>
      <c r="D142" s="63"/>
      <c r="E142" s="54"/>
      <c r="F142" s="54"/>
      <c r="G142" s="54"/>
      <c r="H142" s="54"/>
      <c r="I142" s="60">
        <f t="shared" si="5"/>
        <v>8.9743589743589745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30</v>
      </c>
      <c r="B143" s="63">
        <f>(234+29)/1.56</f>
        <v>168.58974358974359</v>
      </c>
      <c r="C143" s="53">
        <v>2</v>
      </c>
      <c r="D143" s="63">
        <f>(29+31)/1.56</f>
        <v>38.46153846153846</v>
      </c>
      <c r="E143" s="54"/>
      <c r="F143" s="54"/>
      <c r="G143" s="54"/>
      <c r="H143" s="54">
        <v>1</v>
      </c>
      <c r="I143" s="60">
        <f t="shared" si="5"/>
        <v>8.717948717948719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35</v>
      </c>
      <c r="B144" s="63">
        <f>266/1.56</f>
        <v>170.5128205128205</v>
      </c>
      <c r="C144" s="53"/>
      <c r="D144" s="63"/>
      <c r="E144" s="54"/>
      <c r="F144" s="54"/>
      <c r="G144" s="54"/>
      <c r="H144" s="54"/>
      <c r="I144" s="60">
        <f t="shared" si="5"/>
        <v>8.0769230769230713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40</v>
      </c>
      <c r="B145" s="63">
        <f>(293+32)/1.56</f>
        <v>208.33333333333331</v>
      </c>
      <c r="C145" s="53">
        <v>3</v>
      </c>
      <c r="D145" s="63">
        <f>(32+32)/1.56</f>
        <v>41.025641025641022</v>
      </c>
      <c r="E145" s="54"/>
      <c r="F145" s="54"/>
      <c r="G145" s="54"/>
      <c r="H145" s="54"/>
      <c r="I145" s="60">
        <f t="shared" si="5"/>
        <v>7.5641025641025639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45</v>
      </c>
      <c r="B146" s="63">
        <f>317/1.56</f>
        <v>203.2051282051282</v>
      </c>
      <c r="C146" s="53"/>
      <c r="D146" s="63"/>
      <c r="E146" s="54"/>
      <c r="F146" s="54"/>
      <c r="G146" s="54"/>
      <c r="H146" s="54"/>
      <c r="I146" s="60">
        <f t="shared" si="5"/>
        <v>7.1794871794871824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50</v>
      </c>
      <c r="B147" s="63">
        <f>(336+33)/1.56</f>
        <v>236.53846153846152</v>
      </c>
      <c r="C147" s="53">
        <v>4</v>
      </c>
      <c r="D147" s="63">
        <f>(33+31)/1.56</f>
        <v>41.025641025641022</v>
      </c>
      <c r="E147" s="54"/>
      <c r="F147" s="54"/>
      <c r="G147" s="54"/>
      <c r="H147" s="54"/>
      <c r="I147" s="60">
        <f>IF(A147&lt;&gt;0,(B147-(B146-D146))/(A147-A146),"")</f>
        <v>6.6666666666666625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55</v>
      </c>
      <c r="B148" s="63">
        <f>354/1.56</f>
        <v>226.92307692307691</v>
      </c>
      <c r="C148" s="53"/>
      <c r="D148" s="63"/>
      <c r="E148" s="54"/>
      <c r="F148" s="54"/>
      <c r="G148" s="54"/>
      <c r="H148" s="54"/>
      <c r="I148" s="60">
        <f t="shared" si="5"/>
        <v>6.2820512820512819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60</v>
      </c>
      <c r="B149" s="63">
        <f>(370+30)/1.56</f>
        <v>256.41025641025641</v>
      </c>
      <c r="C149" s="53">
        <v>5</v>
      </c>
      <c r="D149" s="63">
        <f>(30+29)/1.56</f>
        <v>37.820512820512818</v>
      </c>
      <c r="E149" s="54"/>
      <c r="F149" s="54"/>
      <c r="G149" s="54"/>
      <c r="H149" s="54"/>
      <c r="I149" s="60">
        <f t="shared" si="5"/>
        <v>5.8974358974359005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65</v>
      </c>
      <c r="B150" s="63">
        <f>384/1.56</f>
        <v>246.15384615384613</v>
      </c>
      <c r="C150" s="53"/>
      <c r="D150" s="63"/>
      <c r="E150" s="54"/>
      <c r="F150" s="54"/>
      <c r="G150" s="54"/>
      <c r="H150" s="54"/>
      <c r="I150" s="60">
        <f t="shared" si="5"/>
        <v>5.5128205128205083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70</v>
      </c>
      <c r="B151" s="63">
        <f>(397+29)/1.56</f>
        <v>273.07692307692309</v>
      </c>
      <c r="C151" s="53">
        <v>6</v>
      </c>
      <c r="D151" s="63">
        <f>(29+28)/1.56</f>
        <v>36.53846153846154</v>
      </c>
      <c r="E151" s="54"/>
      <c r="F151" s="54"/>
      <c r="G151" s="54"/>
      <c r="H151" s="54"/>
      <c r="I151" s="60">
        <f t="shared" si="5"/>
        <v>5.3846153846153921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75</v>
      </c>
      <c r="B152" s="63">
        <f>409/1.56</f>
        <v>262.17948717948718</v>
      </c>
      <c r="C152" s="53"/>
      <c r="D152" s="63"/>
      <c r="E152" s="57"/>
      <c r="F152" s="57"/>
      <c r="G152" s="57"/>
      <c r="H152" s="57"/>
      <c r="I152" s="60">
        <f t="shared" si="5"/>
        <v>5.1282051282051269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80</v>
      </c>
      <c r="B153" s="63">
        <f>(419+27)/1.56</f>
        <v>285.89743589743591</v>
      </c>
      <c r="C153" s="53">
        <v>7</v>
      </c>
      <c r="D153" s="63">
        <f>(27+26)/1.56</f>
        <v>33.974358974358971</v>
      </c>
      <c r="E153" s="57"/>
      <c r="F153" s="57"/>
      <c r="G153" s="57"/>
      <c r="H153" s="57"/>
      <c r="I153" s="60">
        <f t="shared" si="5"/>
        <v>4.7435897435897463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>
        <v>85</v>
      </c>
      <c r="B154" s="59">
        <f>429/1.56</f>
        <v>275</v>
      </c>
      <c r="C154" s="53"/>
      <c r="D154" s="53"/>
      <c r="E154" s="57"/>
      <c r="F154" s="57"/>
      <c r="G154" s="57"/>
      <c r="H154" s="57"/>
      <c r="I154" s="60">
        <f t="shared" si="5"/>
        <v>4.6153846153846132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>
        <v>90</v>
      </c>
      <c r="B155" s="59">
        <f>(438+25)/1.56</f>
        <v>296.79487179487177</v>
      </c>
      <c r="C155" s="53">
        <v>8</v>
      </c>
      <c r="D155" s="53">
        <f>(25+25)/1.56</f>
        <v>32.051282051282051</v>
      </c>
      <c r="E155" s="57"/>
      <c r="F155" s="57"/>
      <c r="G155" s="57"/>
      <c r="H155" s="57"/>
      <c r="I155" s="60">
        <f t="shared" si="5"/>
        <v>4.3589743589743533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>
        <v>95</v>
      </c>
      <c r="B156" s="59">
        <f>445/1.56</f>
        <v>285.25641025641022</v>
      </c>
      <c r="C156" s="53"/>
      <c r="D156" s="53"/>
      <c r="E156" s="57"/>
      <c r="F156" s="57"/>
      <c r="G156" s="57"/>
      <c r="H156" s="57"/>
      <c r="I156" s="60">
        <f t="shared" si="5"/>
        <v>4.1025641025640995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>
        <v>100</v>
      </c>
      <c r="B157" s="59">
        <f>(453+24)/1.56</f>
        <v>305.76923076923077</v>
      </c>
      <c r="C157" s="53">
        <v>9</v>
      </c>
      <c r="D157" s="53">
        <f>(24+23)/1.56</f>
        <v>30.128205128205128</v>
      </c>
      <c r="E157" s="57"/>
      <c r="F157" s="57"/>
      <c r="G157" s="57"/>
      <c r="H157" s="57"/>
      <c r="I157" s="60">
        <f t="shared" si="5"/>
        <v>4.1025641025641111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>
        <v>110</v>
      </c>
      <c r="B158" s="59">
        <f>(466+22)/1.56</f>
        <v>312.82051282051282</v>
      </c>
      <c r="C158" s="53">
        <v>10</v>
      </c>
      <c r="D158" s="53">
        <f>(22+22)/1.56</f>
        <v>28.205128205128204</v>
      </c>
      <c r="E158" s="57"/>
      <c r="F158" s="57"/>
      <c r="G158" s="57"/>
      <c r="H158" s="57"/>
      <c r="I158" s="60">
        <f t="shared" si="5"/>
        <v>3.7179487179487181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>
        <v>120</v>
      </c>
      <c r="B159" s="59">
        <f>(478+21)/1.56</f>
        <v>319.87179487179486</v>
      </c>
      <c r="C159" s="53">
        <v>11</v>
      </c>
      <c r="D159" s="61">
        <f>B159</f>
        <v>319.87179487179486</v>
      </c>
      <c r="E159" s="57"/>
      <c r="F159" s="57"/>
      <c r="G159" s="57"/>
      <c r="H159" s="57"/>
      <c r="I159" s="60">
        <f t="shared" si="5"/>
        <v>3.525641025641022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Alisier torminal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20</v>
      </c>
      <c r="B166" s="63">
        <f>67+6</f>
        <v>73</v>
      </c>
      <c r="C166" s="63"/>
      <c r="D166" s="63"/>
      <c r="E166" s="54"/>
      <c r="F166" s="54"/>
      <c r="G166" s="54"/>
      <c r="H166" s="54"/>
      <c r="I166" s="52">
        <f>IFERROR(B166/A166,"")</f>
        <v>3.65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25</v>
      </c>
      <c r="B167" s="63">
        <f>75+6+28</f>
        <v>109</v>
      </c>
      <c r="C167" s="63">
        <v>1</v>
      </c>
      <c r="D167" s="63">
        <f>6+28</f>
        <v>34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7.2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30</v>
      </c>
      <c r="B168" s="63">
        <f>93+28</f>
        <v>121</v>
      </c>
      <c r="C168" s="63"/>
      <c r="D168" s="63"/>
      <c r="E168" s="54"/>
      <c r="F168" s="54"/>
      <c r="G168" s="54"/>
      <c r="H168" s="54"/>
      <c r="I168" s="52">
        <f t="shared" si="6"/>
        <v>9.1999999999999993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35</v>
      </c>
      <c r="B169" s="63">
        <f>119+28+28</f>
        <v>175</v>
      </c>
      <c r="C169" s="63">
        <v>2</v>
      </c>
      <c r="D169" s="63">
        <f>28+28</f>
        <v>56</v>
      </c>
      <c r="E169" s="54"/>
      <c r="F169" s="54"/>
      <c r="G169" s="54"/>
      <c r="H169" s="54"/>
      <c r="I169" s="52">
        <f t="shared" si="6"/>
        <v>10.8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40</v>
      </c>
      <c r="B170" s="63">
        <f>147+28</f>
        <v>175</v>
      </c>
      <c r="C170" s="63"/>
      <c r="D170" s="63"/>
      <c r="E170" s="54"/>
      <c r="F170" s="54"/>
      <c r="G170" s="54"/>
      <c r="H170" s="54"/>
      <c r="I170" s="52">
        <f t="shared" si="6"/>
        <v>11.2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45</v>
      </c>
      <c r="B171" s="63">
        <f>176+28+28</f>
        <v>232</v>
      </c>
      <c r="C171" s="63">
        <v>3</v>
      </c>
      <c r="D171" s="63">
        <f>28+28</f>
        <v>56</v>
      </c>
      <c r="E171" s="54"/>
      <c r="F171" s="54"/>
      <c r="G171" s="54"/>
      <c r="H171" s="54"/>
      <c r="I171" s="52">
        <f t="shared" si="6"/>
        <v>11.4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50</v>
      </c>
      <c r="B172" s="63">
        <f>203+28</f>
        <v>231</v>
      </c>
      <c r="C172" s="63"/>
      <c r="D172" s="63"/>
      <c r="E172" s="54"/>
      <c r="F172" s="54"/>
      <c r="G172" s="54"/>
      <c r="H172" s="54"/>
      <c r="I172" s="52">
        <f t="shared" si="6"/>
        <v>11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283">
        <v>55</v>
      </c>
      <c r="B173" s="63">
        <f>226+28+28</f>
        <v>282</v>
      </c>
      <c r="C173" s="63">
        <v>4</v>
      </c>
      <c r="D173" s="63">
        <f>28+28</f>
        <v>56</v>
      </c>
      <c r="E173" s="54"/>
      <c r="F173" s="54"/>
      <c r="G173" s="54"/>
      <c r="H173" s="54"/>
      <c r="I173" s="52">
        <f t="shared" si="6"/>
        <v>10.199999999999999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283">
        <v>60</v>
      </c>
      <c r="B174" s="63">
        <f>245+28</f>
        <v>273</v>
      </c>
      <c r="C174" s="63"/>
      <c r="D174" s="63"/>
      <c r="E174" s="54"/>
      <c r="F174" s="54"/>
      <c r="G174" s="54"/>
      <c r="H174" s="54"/>
      <c r="I174" s="52">
        <f t="shared" si="6"/>
        <v>9.4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283">
        <v>65</v>
      </c>
      <c r="B175" s="63">
        <f>261+28+28</f>
        <v>317</v>
      </c>
      <c r="C175" s="63">
        <v>5</v>
      </c>
      <c r="D175" s="63">
        <f>28+28</f>
        <v>56</v>
      </c>
      <c r="E175" s="54"/>
      <c r="F175" s="54"/>
      <c r="G175" s="54"/>
      <c r="H175" s="54"/>
      <c r="I175" s="52">
        <f t="shared" si="6"/>
        <v>8.8000000000000007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283">
        <v>70</v>
      </c>
      <c r="B176" s="63">
        <f>274+28</f>
        <v>302</v>
      </c>
      <c r="C176" s="63"/>
      <c r="D176" s="63"/>
      <c r="E176" s="54"/>
      <c r="F176" s="54"/>
      <c r="G176" s="54"/>
      <c r="H176" s="54"/>
      <c r="I176" s="52">
        <f t="shared" si="6"/>
        <v>8.1999999999999993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283">
        <v>75</v>
      </c>
      <c r="B177" s="63">
        <f>284+28+28</f>
        <v>340</v>
      </c>
      <c r="C177" s="63">
        <v>6</v>
      </c>
      <c r="D177" s="63">
        <f>28+28</f>
        <v>56</v>
      </c>
      <c r="E177" s="54"/>
      <c r="F177" s="54"/>
      <c r="G177" s="54"/>
      <c r="H177" s="54"/>
      <c r="I177" s="52">
        <f t="shared" si="6"/>
        <v>7.6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283">
        <v>80</v>
      </c>
      <c r="B178" s="63">
        <f>292+28</f>
        <v>320</v>
      </c>
      <c r="C178" s="63"/>
      <c r="D178" s="63"/>
      <c r="E178" s="54"/>
      <c r="F178" s="54"/>
      <c r="G178" s="54"/>
      <c r="H178" s="54"/>
      <c r="I178" s="52">
        <f t="shared" si="6"/>
        <v>7.2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283">
        <v>90</v>
      </c>
      <c r="B179" s="63">
        <f>302+28+28+28</f>
        <v>386</v>
      </c>
      <c r="C179" s="63">
        <v>7</v>
      </c>
      <c r="D179" s="63">
        <f>28+28+28</f>
        <v>84</v>
      </c>
      <c r="E179" s="54"/>
      <c r="F179" s="54"/>
      <c r="G179" s="54"/>
      <c r="H179" s="54"/>
      <c r="I179" s="52">
        <f t="shared" si="6"/>
        <v>6.6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283">
        <v>100</v>
      </c>
      <c r="B180" s="53">
        <v>361</v>
      </c>
      <c r="C180" s="53"/>
      <c r="D180" s="53"/>
      <c r="E180" s="54"/>
      <c r="F180" s="54"/>
      <c r="G180" s="54"/>
      <c r="H180" s="54"/>
      <c r="I180" s="52">
        <f t="shared" si="6"/>
        <v>5.9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283">
        <v>110</v>
      </c>
      <c r="B181" s="53">
        <v>413</v>
      </c>
      <c r="C181" s="53">
        <v>8</v>
      </c>
      <c r="D181" s="53">
        <v>106</v>
      </c>
      <c r="E181" s="54"/>
      <c r="F181" s="54"/>
      <c r="G181" s="54"/>
      <c r="H181" s="54"/>
      <c r="I181" s="52">
        <f t="shared" si="6"/>
        <v>5.2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283">
        <v>120</v>
      </c>
      <c r="B182" s="53">
        <v>352</v>
      </c>
      <c r="C182" s="53"/>
      <c r="D182" s="53"/>
      <c r="E182" s="54"/>
      <c r="F182" s="54"/>
      <c r="G182" s="54"/>
      <c r="H182" s="54"/>
      <c r="I182" s="52">
        <f t="shared" si="6"/>
        <v>4.5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283">
        <v>130</v>
      </c>
      <c r="B183" s="53">
        <v>394</v>
      </c>
      <c r="C183" s="53">
        <v>9</v>
      </c>
      <c r="D183" s="53">
        <v>91</v>
      </c>
      <c r="E183" s="54"/>
      <c r="F183" s="54"/>
      <c r="G183" s="54"/>
      <c r="H183" s="54"/>
      <c r="I183" s="52">
        <f t="shared" si="6"/>
        <v>4.2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283">
        <v>140</v>
      </c>
      <c r="B184" s="53">
        <v>341</v>
      </c>
      <c r="C184" s="53"/>
      <c r="D184" s="53"/>
      <c r="E184" s="54"/>
      <c r="F184" s="54"/>
      <c r="G184" s="54"/>
      <c r="H184" s="54"/>
      <c r="I184" s="52">
        <f t="shared" si="6"/>
        <v>3.8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283">
        <v>150</v>
      </c>
      <c r="B185" s="53">
        <v>376</v>
      </c>
      <c r="C185" s="53">
        <v>10</v>
      </c>
      <c r="D185" s="53">
        <v>376</v>
      </c>
      <c r="E185" s="54"/>
      <c r="F185" s="54"/>
      <c r="G185" s="54"/>
      <c r="H185" s="54"/>
      <c r="I185" s="52">
        <f t="shared" si="6"/>
        <v>3.5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Erable sycomore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15</v>
      </c>
      <c r="B192" s="63">
        <f>85+7</f>
        <v>92</v>
      </c>
      <c r="C192" s="63"/>
      <c r="D192" s="63"/>
      <c r="E192" s="54"/>
      <c r="F192" s="54"/>
      <c r="G192" s="54"/>
      <c r="H192" s="54"/>
      <c r="I192" s="52">
        <f>IFERROR(B192/A192,"")</f>
        <v>6.1333333333333337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20</v>
      </c>
      <c r="B193" s="63">
        <f>123+7+42</f>
        <v>172</v>
      </c>
      <c r="C193" s="63">
        <v>1</v>
      </c>
      <c r="D193" s="63">
        <f>7+42+42</f>
        <v>91</v>
      </c>
      <c r="E193" s="54"/>
      <c r="F193" s="54"/>
      <c r="G193" s="54"/>
      <c r="H193" s="54">
        <v>1</v>
      </c>
      <c r="I193" s="52">
        <f t="shared" ref="I193:I211" si="7">IF(A193&lt;&gt;0,(B193-(B192-D192))/(A193-A192),"")</f>
        <v>16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25</v>
      </c>
      <c r="B194" s="63">
        <v>165</v>
      </c>
      <c r="C194" s="63"/>
      <c r="D194" s="63"/>
      <c r="E194" s="54"/>
      <c r="F194" s="54"/>
      <c r="G194" s="54"/>
      <c r="H194" s="54"/>
      <c r="I194" s="52">
        <f t="shared" si="7"/>
        <v>16.8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30</v>
      </c>
      <c r="B195" s="63">
        <f>205+42</f>
        <v>247</v>
      </c>
      <c r="C195" s="63">
        <v>2</v>
      </c>
      <c r="D195" s="63">
        <f>42+42</f>
        <v>84</v>
      </c>
      <c r="E195" s="54"/>
      <c r="F195" s="54"/>
      <c r="G195" s="54"/>
      <c r="H195" s="54">
        <v>1</v>
      </c>
      <c r="I195" s="52">
        <f t="shared" si="7"/>
        <v>16.399999999999999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35</v>
      </c>
      <c r="B196" s="63">
        <v>239</v>
      </c>
      <c r="C196" s="63"/>
      <c r="D196" s="63"/>
      <c r="E196" s="54"/>
      <c r="F196" s="54"/>
      <c r="G196" s="54"/>
      <c r="H196" s="54"/>
      <c r="I196" s="52">
        <f t="shared" si="7"/>
        <v>15.2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40</v>
      </c>
      <c r="B197" s="63">
        <f>263+42</f>
        <v>305</v>
      </c>
      <c r="C197" s="63">
        <v>3</v>
      </c>
      <c r="D197" s="63">
        <f>42+40</f>
        <v>82</v>
      </c>
      <c r="E197" s="54"/>
      <c r="F197" s="54"/>
      <c r="G197" s="54"/>
      <c r="H197" s="54"/>
      <c r="I197" s="52">
        <f t="shared" si="7"/>
        <v>13.2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45</v>
      </c>
      <c r="B198" s="63">
        <v>280</v>
      </c>
      <c r="C198" s="63"/>
      <c r="D198" s="63"/>
      <c r="E198" s="54"/>
      <c r="F198" s="54"/>
      <c r="G198" s="54"/>
      <c r="H198" s="54"/>
      <c r="I198" s="52">
        <f t="shared" si="7"/>
        <v>11.4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50</v>
      </c>
      <c r="B199" s="53">
        <f>303+26</f>
        <v>329</v>
      </c>
      <c r="C199" s="53">
        <v>4</v>
      </c>
      <c r="D199" s="53">
        <f>26+21</f>
        <v>47</v>
      </c>
      <c r="E199" s="54"/>
      <c r="F199" s="54"/>
      <c r="G199" s="54"/>
      <c r="H199" s="54"/>
      <c r="I199" s="52">
        <f t="shared" si="7"/>
        <v>9.8000000000000007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55</v>
      </c>
      <c r="B200" s="53">
        <f>324</f>
        <v>324</v>
      </c>
      <c r="C200" s="53"/>
      <c r="D200" s="53"/>
      <c r="E200" s="54"/>
      <c r="F200" s="54"/>
      <c r="G200" s="54"/>
      <c r="H200" s="54"/>
      <c r="I200" s="52">
        <f t="shared" si="7"/>
        <v>8.4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>
        <v>60</v>
      </c>
      <c r="B201" s="53">
        <f>342+18</f>
        <v>360</v>
      </c>
      <c r="C201" s="53">
        <v>5</v>
      </c>
      <c r="D201" s="53">
        <f>18+17</f>
        <v>35</v>
      </c>
      <c r="E201" s="54"/>
      <c r="F201" s="54"/>
      <c r="G201" s="54"/>
      <c r="H201" s="54"/>
      <c r="I201" s="52">
        <f t="shared" si="7"/>
        <v>7.2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>
        <v>65</v>
      </c>
      <c r="B202" s="53">
        <v>356</v>
      </c>
      <c r="C202" s="53"/>
      <c r="D202" s="53"/>
      <c r="E202" s="54"/>
      <c r="F202" s="54"/>
      <c r="G202" s="54"/>
      <c r="H202" s="54"/>
      <c r="I202" s="52">
        <f t="shared" si="7"/>
        <v>6.2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>
        <v>70</v>
      </c>
      <c r="B203" s="53">
        <f>366+16</f>
        <v>382</v>
      </c>
      <c r="C203" s="53">
        <v>6</v>
      </c>
      <c r="D203" s="53">
        <f>16+15</f>
        <v>31</v>
      </c>
      <c r="E203" s="54"/>
      <c r="F203" s="54"/>
      <c r="G203" s="54"/>
      <c r="H203" s="54"/>
      <c r="I203" s="52">
        <f t="shared" si="7"/>
        <v>5.2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>
        <v>75</v>
      </c>
      <c r="B204" s="53">
        <v>375</v>
      </c>
      <c r="C204" s="53"/>
      <c r="D204" s="53"/>
      <c r="E204" s="54"/>
      <c r="F204" s="54"/>
      <c r="G204" s="54"/>
      <c r="H204" s="54"/>
      <c r="I204" s="52">
        <f t="shared" si="7"/>
        <v>4.8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>
        <v>80</v>
      </c>
      <c r="B205" s="53">
        <f>382+14</f>
        <v>396</v>
      </c>
      <c r="C205" s="53">
        <v>7</v>
      </c>
      <c r="D205" s="53">
        <f>B205</f>
        <v>396</v>
      </c>
      <c r="E205" s="54"/>
      <c r="F205" s="54"/>
      <c r="G205" s="54"/>
      <c r="H205" s="54"/>
      <c r="I205" s="52">
        <f t="shared" si="7"/>
        <v>4.2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Merisier</v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15</v>
      </c>
      <c r="B218" s="63">
        <v>40</v>
      </c>
      <c r="C218" s="63"/>
      <c r="D218" s="63"/>
      <c r="E218" s="54"/>
      <c r="F218" s="54"/>
      <c r="G218" s="54"/>
      <c r="H218" s="54"/>
      <c r="I218" s="56">
        <f>IFERROR(B218/A218,"")</f>
        <v>2.6666666666666665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20</v>
      </c>
      <c r="B219" s="63">
        <f>85+3</f>
        <v>88</v>
      </c>
      <c r="C219" s="63">
        <v>1</v>
      </c>
      <c r="D219" s="63">
        <f>3+25</f>
        <v>28</v>
      </c>
      <c r="E219" s="54"/>
      <c r="F219" s="54"/>
      <c r="G219" s="54"/>
      <c r="H219" s="54">
        <v>1</v>
      </c>
      <c r="I219" s="56">
        <f t="shared" ref="I219:I237" si="8">IF(A219&lt;&gt;0,(B219-(B218-D218))/(A219-A218),"")</f>
        <v>9.6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25</v>
      </c>
      <c r="B220" s="63">
        <v>113</v>
      </c>
      <c r="C220" s="63">
        <v>2</v>
      </c>
      <c r="D220" s="63">
        <v>27</v>
      </c>
      <c r="E220" s="54"/>
      <c r="F220" s="54"/>
      <c r="G220" s="54"/>
      <c r="H220" s="54">
        <v>1</v>
      </c>
      <c r="I220" s="56">
        <f t="shared" si="8"/>
        <v>10.6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3">
        <v>31</v>
      </c>
      <c r="B221" s="63">
        <v>155</v>
      </c>
      <c r="C221" s="63">
        <v>3</v>
      </c>
      <c r="D221" s="63">
        <v>36</v>
      </c>
      <c r="E221" s="54"/>
      <c r="F221" s="54"/>
      <c r="G221" s="54"/>
      <c r="H221" s="54"/>
      <c r="I221" s="56">
        <f t="shared" si="8"/>
        <v>11.5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3">
        <v>37</v>
      </c>
      <c r="B222" s="63">
        <v>188</v>
      </c>
      <c r="C222" s="63">
        <v>4</v>
      </c>
      <c r="D222" s="63">
        <v>36</v>
      </c>
      <c r="E222" s="54"/>
      <c r="F222" s="54"/>
      <c r="G222" s="54"/>
      <c r="H222" s="54"/>
      <c r="I222" s="56">
        <f t="shared" si="8"/>
        <v>11.5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3">
        <v>44</v>
      </c>
      <c r="B223" s="63">
        <v>230</v>
      </c>
      <c r="C223" s="63">
        <v>5</v>
      </c>
      <c r="D223" s="63">
        <v>43</v>
      </c>
      <c r="E223" s="54"/>
      <c r="F223" s="54"/>
      <c r="G223" s="54"/>
      <c r="H223" s="54"/>
      <c r="I223" s="56">
        <f t="shared" si="8"/>
        <v>11.142857142857142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3">
        <v>52</v>
      </c>
      <c r="B224" s="63">
        <v>270</v>
      </c>
      <c r="C224" s="63">
        <v>6</v>
      </c>
      <c r="D224" s="63">
        <v>48</v>
      </c>
      <c r="E224" s="54"/>
      <c r="F224" s="54"/>
      <c r="G224" s="54"/>
      <c r="H224" s="54"/>
      <c r="I224" s="56">
        <f t="shared" si="8"/>
        <v>10.375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3">
        <v>60</v>
      </c>
      <c r="B225" s="53">
        <v>297</v>
      </c>
      <c r="C225" s="53">
        <v>7</v>
      </c>
      <c r="D225" s="53">
        <v>47</v>
      </c>
      <c r="E225" s="54"/>
      <c r="F225" s="54"/>
      <c r="G225" s="54"/>
      <c r="H225" s="54"/>
      <c r="I225" s="56">
        <f t="shared" si="8"/>
        <v>9.375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3">
        <v>69</v>
      </c>
      <c r="B226" s="53">
        <v>328</v>
      </c>
      <c r="C226" s="53">
        <v>8</v>
      </c>
      <c r="D226" s="53">
        <v>328</v>
      </c>
      <c r="E226" s="54"/>
      <c r="F226" s="54"/>
      <c r="G226" s="54"/>
      <c r="H226" s="54"/>
      <c r="I226" s="56">
        <f t="shared" si="8"/>
        <v>8.6666666666666661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Erable plane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Noyer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Châtaignier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Bouleau verruqueux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Charme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Alisier torminal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Erable sycomore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>Merisier</v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394.70330963327166</v>
      </c>
      <c r="T3" s="62">
        <f>IF('Données projet'!E9&gt;30,$R$33-$H$33,LOOKUP('Données projet'!$E$9,$A$3:$A$203,R3:R203)-LOOKUP('Données projet'!$E$9,$A$3:$A$203,$H$3:$H$203))</f>
        <v>424.06445894109982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319.39055628111151</v>
      </c>
      <c r="AO3" s="62">
        <f>IF('Données projet'!E10&gt;30,$AM$33-$H$33,LOOKUP('Données projet'!$E$10,$A$3:$A$203,AM3:AM203)-LOOKUP('Données projet'!$E$10,$A$3:$A$203,$H$3:$H$203))</f>
        <v>312.22190035638084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257.906524944431</v>
      </c>
      <c r="BJ3" s="62">
        <f>IF('Données projet'!E11&gt;30,$BH$33-$H$33,LOOKUP('Données projet'!$E$11,$A$3:$A$203,BH3:BH203)-LOOKUP('Données projet'!$E$11,$A$3:$A$203,$H$3:$H$203))</f>
        <v>274.70390601173563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272.69564942740931</v>
      </c>
      <c r="CE3" s="62">
        <f>IF('Données projet'!E12&gt;30,$CC$33-$H$33,LOOKUP('Données projet'!$E$12,$A$3:$A$203,CC3:CC203)-LOOKUP('Données projet'!$E$12,$A$3:$A$203,$H$3:$H$203))</f>
        <v>316.57989180609252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165</v>
      </c>
      <c r="CY3" s="62">
        <f ca="1">AVERAGE(OFFSET($CX$3,0,0,'Données projet'!$E$13+1,1))-AVERAGE(OFFSET($H$3,0,0,'Données projet'!$E$13+1,1))</f>
        <v>491.87038198656927</v>
      </c>
      <c r="CZ3" s="62">
        <f>IF('Données projet'!E13&gt;30,$CX$33-$H$33,LOOKUP('Données projet'!$E$13,$A$3:$A$203,CX3:CX203)-LOOKUP('Données projet'!$E$13,$A$3:$A$203,$H$3:$H$203))</f>
        <v>406.49261644949559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165</v>
      </c>
      <c r="DT3" s="62">
        <f ca="1">AVERAGE(OFFSET($DS$3,0,0,'Données projet'!$E$14+1,1))-AVERAGE(OFFSET($H$3,0,0,'Données projet'!$E$14+1,1))</f>
        <v>603.52431522262032</v>
      </c>
      <c r="DU3" s="62">
        <f>IF('Données projet'!E14&gt;30,$DS$33-$H$33,LOOKUP('Données projet'!$E$14,$A$3:$A$203,DS3:DS203)-LOOKUP('Données projet'!$E$14,$A$3:$A$203,$H$3:$H$203))</f>
        <v>313.56299786481338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165</v>
      </c>
      <c r="EO3" s="62">
        <f ca="1">AVERAGE(OFFSET($EN$3,0,0,'Données projet'!$E$15+1,1))-AVERAGE(OFFSET($H$3,0,0,'Données projet'!$E$15+1,1))</f>
        <v>450.93388191845378</v>
      </c>
      <c r="EP3" s="62">
        <f>IF('Données projet'!E15&gt;30,$EN$33-$H$33,LOOKUP('Données projet'!$E$15,$A$3:$A$203,EN3:EN203)-LOOKUP('Données projet'!$E$15,$A$3:$A$203,$H$3:$H$203))</f>
        <v>483.33635017129325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165</v>
      </c>
      <c r="FJ3" s="62">
        <f ca="1">AVERAGE(OFFSET($FI$3,0,0,'Données projet'!$E$16+1,1))-AVERAGE(OFFSET($H$3,0,0,'Données projet'!$E$16+1,1))</f>
        <v>309.21625451786218</v>
      </c>
      <c r="FK3" s="62">
        <f>IF('Données projet'!E16&gt;30,$FI$33-$H$33,LOOKUP('Données projet'!$E$16,$A$3:$A$203,FI3:FI203)-LOOKUP('Données projet'!$E$16,$A$3:$A$203,$H$3:$H$203))</f>
        <v>302.59481222418219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4.333333333333333</v>
      </c>
      <c r="N4" s="14">
        <f>IF('Données projet'!$A$36&gt;35,N3+M4-V3,IF(A4&lt;'Données projet'!$A$36,$K$205^A4,IF(A4='Données projet'!$A$36,'Données projet'!$B$36,N3+M4-V3)))</f>
        <v>1.3208724756526424</v>
      </c>
      <c r="O4" s="14">
        <f>N4*VLOOKUP('Données projet'!$B$9,Paramètres!$A$1:$I$89,3,0)*VLOOKUP('Données projet'!$B$9,Paramètres!$A$1:$I$89,5,0)</f>
        <v>1.0508861416292423</v>
      </c>
      <c r="P4" s="14">
        <f>EXP(-1.0587+0.8836*LN(O4)+0.284)</f>
        <v>0.48150261531866312</v>
      </c>
      <c r="Q4" s="22">
        <f t="shared" ref="Q4:Q34" si="2">(O4+P4)*0.475*44/12</f>
        <v>2.6689104183509347</v>
      </c>
      <c r="R4" s="62">
        <f t="shared" si="0"/>
        <v>170.48134437127479</v>
      </c>
      <c r="S4" s="62">
        <f ca="1">AVERAGE(OFFSET($R$3,0,0,'Données projet'!$E$9+1,1))-AVERAGE(OFFSET($H$3,0,0,'Données projet'!$E$9+1,1))</f>
        <v>394.70330963327166</v>
      </c>
      <c r="T4" s="62">
        <f>$T$3</f>
        <v>424.06445894109982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2.6666666666666665</v>
      </c>
      <c r="AI4" s="14">
        <f>IF('Données projet'!$A$62&gt;35,AI3+AH4-AQ3,IF(A4&lt;'Données projet'!$A$62,$AF$205^A4,IF(A4='Données projet'!$A$62,'Données projet'!$B$62,AI3+AH4-AQ3)))</f>
        <v>1.2788040393997409</v>
      </c>
      <c r="AJ4" s="14">
        <f>AI4*VLOOKUP('Données projet'!$B$10,Paramètres!$A$1:$I$89,3,0)*VLOOKUP('Données projet'!$B$10,Paramètres!$A$1:$I$89,5,0)</f>
        <v>1.0373658367610699</v>
      </c>
      <c r="AK4" s="14">
        <f>EXP(-1.0587+0.8836*LN(AJ4)+0.284)</f>
        <v>0.47602474416737472</v>
      </c>
      <c r="AL4" s="22">
        <f t="shared" ref="AL4:AL67" si="4">(AJ4+AK4)*0.475*44/12</f>
        <v>2.6358219284503748</v>
      </c>
      <c r="AM4" s="62">
        <f t="shared" ref="AM4:AM67" si="5">AL4+(AD4+AE4)*44/12</f>
        <v>170.44825588137422</v>
      </c>
      <c r="AN4" s="62">
        <f ca="1">AVERAGE(OFFSET($AM$3,0,0,'Données projet'!$E$10+1,1))-AVERAGE(OFFSET($H$3,0,0,'Données projet'!$E$10+1,1))</f>
        <v>319.39055628111151</v>
      </c>
      <c r="AO4" s="62">
        <f>$AO$3</f>
        <v>312.22190035638084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0.6</v>
      </c>
      <c r="BD4" s="13">
        <f>IF('Données projet'!$A$88&gt;35,BD3+BC4-BL3,IF(A4&lt;'Données projet'!$A$88,$BA$205^A4,IF(A4='Données projet'!$A$88,'Données projet'!$B$88,BD3+BC4-BL3)))</f>
        <v>1.1577536725165907</v>
      </c>
      <c r="BE4" s="14">
        <f>BD4*VLOOKUP('Données projet'!$B$11,Paramètres!$A$1:$I$89,3,0)*VLOOKUP('Données projet'!$B$11,Paramètres!$A$1:$I$89,5,0)</f>
        <v>0.84886499268916427</v>
      </c>
      <c r="BF4" s="14">
        <f>EXP(-1.0587+0.8836*LN(BE4)+0.284)</f>
        <v>0.39872537270470576</v>
      </c>
      <c r="BG4" s="22">
        <f t="shared" ref="BG4:BG67" si="7">(BE4+BF4)*0.475*44/12</f>
        <v>2.1728865530609904</v>
      </c>
      <c r="BH4" s="62">
        <f t="shared" ref="BH4:BH67" si="8">BG4+(AY4+AZ4)*44/12</f>
        <v>169.98532050598482</v>
      </c>
      <c r="BI4" s="62">
        <f ca="1">AVERAGE(OFFSET($BH$3,0,0,'Données projet'!$E$11+1,1))-AVERAGE(OFFSET($H$3,0,0,'Données projet'!$E$11+1,1))</f>
        <v>257.906524944431</v>
      </c>
      <c r="BJ4" s="62">
        <f>$BJ$3</f>
        <v>274.70390601173563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0.9</v>
      </c>
      <c r="BY4" s="13">
        <f>IF('Données projet'!$A$114&gt;35,BY3+BX4-CG3,IF(A4&lt;'Données projet'!$A$114,$BV$205^A4,IF(A4='Données projet'!$A$114,'Données projet'!$B$114,BY3+BX4-CG3)))</f>
        <v>1.2457309396155174</v>
      </c>
      <c r="BZ4" s="14">
        <f>BY4*VLOOKUP('Données projet'!$B$12,Paramètres!$A$1:$I$89,3,0)*VLOOKUP('Données projet'!$B$12,Paramètres!$A$1:$I$89,5,0)</f>
        <v>1.0105369382161078</v>
      </c>
      <c r="CA4" s="14">
        <f>EXP(-1.0587+0.8836*LN(BZ4)+0.284)</f>
        <v>0.46513003316107315</v>
      </c>
      <c r="CB4" s="22">
        <f t="shared" ref="CB4:CB67" si="10">(BZ4+CA4)*0.475*44/12</f>
        <v>2.5701199751485899</v>
      </c>
      <c r="CC4" s="62">
        <f t="shared" ref="CC4:CC67" si="11">CB4+(BT4+BU4)*44/12</f>
        <v>170.38255392807244</v>
      </c>
      <c r="CD4" s="62">
        <f ca="1">AVERAGE(OFFSET($CC$3,0,0,'Données projet'!$E$12+1,1))-AVERAGE(OFFSET($H$3,0,0,'Données projet'!$E$12+1,1))</f>
        <v>272.69564942740931</v>
      </c>
      <c r="CE4" s="62">
        <f>$CE$3</f>
        <v>316.57989180609252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4.615384615384615</v>
      </c>
      <c r="CT4" s="13">
        <f>IF('Données projet'!$A$140&gt;35,CT3+CS4-DB3,IF(A4&lt;'Données projet'!$A$140,$CQ$205^A4,IF(A4='Données projet'!$A$140,'Données projet'!$B$140,CT3+CS4-DB3)))</f>
        <v>1.3264369473759152</v>
      </c>
      <c r="CU4" s="18">
        <f>CT4*VLOOKUP('Données projet'!$B$13,Paramètres!$A$1:$I$89,3,0)*VLOOKUP('Données projet'!$B$13,Paramètres!$A$1:$I$89,5,0)</f>
        <v>1.2622373991229208</v>
      </c>
      <c r="CV4" s="14">
        <f>EXP(-1.0587+0.8836*LN(CU4)+0.284)</f>
        <v>0.56613537312312467</v>
      </c>
      <c r="CW4" s="22">
        <f t="shared" ref="CW4:CW67" si="13">(CU4+CV4)*0.475*44/12</f>
        <v>3.184415911661862</v>
      </c>
      <c r="CX4" s="62">
        <f t="shared" ref="CX4:CX67" si="14">CW4+(CO4+CP4)*44/12</f>
        <v>170.9968498645857</v>
      </c>
      <c r="CY4" s="62">
        <f ca="1">AVERAGE(OFFSET($CX$3,0,0,'Données projet'!$E$13+1,1))-AVERAGE(OFFSET($H$3,0,0,'Données projet'!$E$13+1,1))</f>
        <v>491.87038198656927</v>
      </c>
      <c r="CZ4" s="62">
        <f>$CZ$3</f>
        <v>406.49261644949559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3.65</v>
      </c>
      <c r="DO4" s="13">
        <f>IF('Données projet'!$A$166&gt;35,DO3+DN4-DW3,IF(A4&lt;'Données projet'!$A$166,$DL$205^A4,IF(A4='Données projet'!$A$166,'Données projet'!$B$166,DO3+DN4-DW3)))</f>
        <v>1.2392705892426346</v>
      </c>
      <c r="DP4" s="18">
        <f>DO4*VLOOKUP('Données projet'!$B$14,Paramètres!$A$1:$I$89,3,0)*VLOOKUP('Données projet'!$B$14,Paramètres!$A$1:$I$89,5,0)</f>
        <v>1.1986225139154763</v>
      </c>
      <c r="DQ4" s="14">
        <f>EXP(-1.0587+0.8836*LN(DP4)+0.284)</f>
        <v>0.54084878793982472</v>
      </c>
      <c r="DR4" s="22">
        <f t="shared" ref="DR4:DR67" si="16">(DP4+DQ4)*0.475*44/12</f>
        <v>3.0295791840646493</v>
      </c>
      <c r="DS4" s="62">
        <f t="shared" ref="DS4:DS67" si="17">DR4+(DJ4+DK4)*44/12</f>
        <v>170.8420131369885</v>
      </c>
      <c r="DT4" s="62">
        <f ca="1">AVERAGE(OFFSET($DS$3,0,0,'Données projet'!$E$14+1,1))-AVERAGE(OFFSET($H$3,0,0,'Données projet'!$E$14+1,1))</f>
        <v>603.52431522262032</v>
      </c>
      <c r="DU4" s="62">
        <f>$DU$3</f>
        <v>313.56299786481338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6.1333333333333337</v>
      </c>
      <c r="EJ4" s="13">
        <f>IF('Données projet'!$A$192&gt;35,EJ3+EI4-ER3,IF(A4&lt;'Données projet'!$A$192,$EG$205^A4,IF(A4='Données projet'!$A$192,'Données projet'!$B$192,EJ3+EI4-ER3)))</f>
        <v>1.351820999185372</v>
      </c>
      <c r="EK4" s="18">
        <f>EJ4*VLOOKUP('Données projet'!$B$15,Paramètres!$A$1:$I$89,3,0)*VLOOKUP('Données projet'!$B$15,Paramètres!$A$1:$I$89,5,0)</f>
        <v>1.075508786951882</v>
      </c>
      <c r="EL4" s="14">
        <f>EXP(-1.0587+0.8836*LN(EK4)+0.284)</f>
        <v>0.49145772114197073</v>
      </c>
      <c r="EM4" s="22">
        <f t="shared" ref="EM4:EM67" si="19">(EK4+EL4)*0.475*44/12</f>
        <v>2.7291333349301268</v>
      </c>
      <c r="EN4" s="62">
        <f t="shared" ref="EN4:EN67" si="20">EM4+(EE4+EF4)*44/12</f>
        <v>170.54156728785398</v>
      </c>
      <c r="EO4" s="62">
        <f ca="1">AVERAGE(OFFSET($EN$3,0,0,'Données projet'!$E$15+1,1))-AVERAGE(OFFSET($H$3,0,0,'Données projet'!$E$15+1,1))</f>
        <v>450.93388191845378</v>
      </c>
      <c r="EP4" s="62">
        <f>$EP$3</f>
        <v>483.33635017129325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2.6666666666666665</v>
      </c>
      <c r="FE4" s="13">
        <f>IF('Données projet'!$A$218&gt;35,FE3+FD4-FM3,IF(A4&lt;'Données projet'!$A$218,$FB$205^A4,IF(A4='Données projet'!$A$218,'Données projet'!$B$218,FE3+FD4-FM3)))</f>
        <v>1.2788040393997409</v>
      </c>
      <c r="FF4" s="18">
        <f>FE4*VLOOKUP('Données projet'!$B$16,Paramètres!$A$1:$I$89,3,0)*VLOOKUP('Données projet'!$B$16,Paramètres!$A$1:$I$89,5,0)</f>
        <v>0.99746715073179792</v>
      </c>
      <c r="FG4" s="14">
        <f>EXP(-1.0587+0.8836*LN(FF4)+0.284)</f>
        <v>0.45981048445793882</v>
      </c>
      <c r="FH4" s="22">
        <f t="shared" ref="FH4:FH67" si="22">(FF4+FG4)*0.475*44/12</f>
        <v>2.5380918812887914</v>
      </c>
      <c r="FI4" s="62">
        <f t="shared" ref="FI4:FI67" si="23">FH4+(EZ4+FA4)*44/12</f>
        <v>170.35052583421262</v>
      </c>
      <c r="FJ4" s="62">
        <f ca="1">AVERAGE(OFFSET($FI$3,0,0,'Données projet'!$E$16+1,1))-AVERAGE(OFFSET($H$3,0,0,'Données projet'!$E$16+1,1))</f>
        <v>309.21625451786218</v>
      </c>
      <c r="FK4" s="62">
        <f>$FK$3</f>
        <v>302.59481222418219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4.333333333333333</v>
      </c>
      <c r="N5" s="14">
        <f>IF('Données projet'!$A$36&gt;35,N4+M5-V4,IF(A5&lt;'Données projet'!$A$36,$K$205^A5,IF(A5='Données projet'!$A$36,'Données projet'!$B$36,N4+M5-V4)))</f>
        <v>1.7447040969367404</v>
      </c>
      <c r="O5" s="14">
        <f>N5*VLOOKUP('Données projet'!$B$9,Paramètres!$A$1:$I$89,3,0)*VLOOKUP('Données projet'!$B$9,Paramètres!$A$1:$I$89,5,0)</f>
        <v>1.3880865795228707</v>
      </c>
      <c r="P5" s="14">
        <f t="shared" ref="P5:P68" si="33">EXP(-1.0587+0.8836*LN(O5)+0.284)</f>
        <v>0.61573144482258502</v>
      </c>
      <c r="Q5" s="22">
        <f t="shared" si="2"/>
        <v>3.4899830590683352</v>
      </c>
      <c r="R5" s="62">
        <f t="shared" si="0"/>
        <v>174.08726434656916</v>
      </c>
      <c r="S5" s="62">
        <f ca="1">AVERAGE(OFFSET($R$3,0,0,'Données projet'!$E$9+1,1))-AVERAGE(OFFSET($H$3,0,0,'Données projet'!$E$9+1,1))</f>
        <v>394.70330963327166</v>
      </c>
      <c r="T5" s="62">
        <f t="shared" ref="T5:T68" si="34">$T$3</f>
        <v>424.06445894109982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2.6666666666666665</v>
      </c>
      <c r="AI5" s="14">
        <f>IF('Données projet'!$A$62&gt;35,AI4+AH5-AQ4,IF(A5&lt;'Données projet'!$A$62,$AF$205^A5,IF(A5='Données projet'!$A$62,'Données projet'!$B$62,AI4+AH5-AQ4)))</f>
        <v>1.6353397711850939</v>
      </c>
      <c r="AJ5" s="14">
        <f>AI5*VLOOKUP('Données projet'!$B$10,Paramètres!$A$1:$I$89,3,0)*VLOOKUP('Données projet'!$B$10,Paramètres!$A$1:$I$89,5,0)</f>
        <v>1.3265876223853483</v>
      </c>
      <c r="AK5" s="14">
        <f t="shared" ref="AK5:AK68" si="35">EXP(-1.0587+0.8836*LN(AJ5)+0.284)</f>
        <v>0.59156373482801727</v>
      </c>
      <c r="AL5" s="22">
        <f t="shared" si="4"/>
        <v>3.3407802804799442</v>
      </c>
      <c r="AM5" s="62">
        <f t="shared" si="5"/>
        <v>173.93806156798078</v>
      </c>
      <c r="AN5" s="62">
        <f ca="1">AVERAGE(OFFSET($AM$3,0,0,'Données projet'!$E$10+1,1))-AVERAGE(OFFSET($H$3,0,0,'Données projet'!$E$10+1,1))</f>
        <v>319.39055628111151</v>
      </c>
      <c r="AO5" s="62">
        <f t="shared" ref="AO5:AO68" si="36">$AO$3</f>
        <v>312.22190035638084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0.6</v>
      </c>
      <c r="BD5" s="13">
        <f>IF('Données projet'!$A$88&gt;35,BD4+BC5-BL4,IF(A5&lt;'Données projet'!$A$88,$BA$205^A5,IF(A5='Données projet'!$A$88,'Données projet'!$B$88,BD4+BC5-BL4)))</f>
        <v>1.340393566225653</v>
      </c>
      <c r="BE5" s="14">
        <f>BD5*VLOOKUP('Données projet'!$B$11,Paramètres!$A$1:$I$89,3,0)*VLOOKUP('Données projet'!$B$11,Paramètres!$A$1:$I$89,5,0)</f>
        <v>0.98277656275664871</v>
      </c>
      <c r="BF5" s="14">
        <f t="shared" ref="BF5:BF68" si="37">EXP(-1.0587+0.8836*LN(BE5)+0.284)</f>
        <v>0.45382155345822645</v>
      </c>
      <c r="BG5" s="22">
        <f t="shared" si="7"/>
        <v>2.5020750524075739</v>
      </c>
      <c r="BH5" s="62">
        <f t="shared" si="8"/>
        <v>173.09935633990841</v>
      </c>
      <c r="BI5" s="62">
        <f ca="1">AVERAGE(OFFSET($BH$3,0,0,'Données projet'!$E$11+1,1))-AVERAGE(OFFSET($H$3,0,0,'Données projet'!$E$11+1,1))</f>
        <v>257.906524944431</v>
      </c>
      <c r="BJ5" s="62">
        <f t="shared" ref="BJ5:BJ68" si="38">$BJ$3</f>
        <v>274.70390601173563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0.9</v>
      </c>
      <c r="BY5" s="13">
        <f>IF('Données projet'!$A$114&gt;35,BY4+BX5-CG4,IF(A5&lt;'Données projet'!$A$114,$BV$205^A5,IF(A5='Données projet'!$A$114,'Données projet'!$B$114,BY4+BX5-CG4)))</f>
        <v>1.5518455739153598</v>
      </c>
      <c r="BZ5" s="14">
        <f>BY5*VLOOKUP('Données projet'!$B$12,Paramètres!$A$1:$I$89,3,0)*VLOOKUP('Données projet'!$B$12,Paramètres!$A$1:$I$89,5,0)</f>
        <v>1.2588571295601401</v>
      </c>
      <c r="CA5" s="14">
        <f t="shared" ref="CA5:CA68" si="39">EXP(-1.0587+0.8836*LN(BZ5)+0.284)</f>
        <v>0.56479552972512193</v>
      </c>
      <c r="CB5" s="22">
        <f t="shared" si="10"/>
        <v>3.1761950482551646</v>
      </c>
      <c r="CC5" s="62">
        <f t="shared" si="11"/>
        <v>173.77347633575599</v>
      </c>
      <c r="CD5" s="62">
        <f ca="1">AVERAGE(OFFSET($CC$3,0,0,'Données projet'!$E$12+1,1))-AVERAGE(OFFSET($H$3,0,0,'Données projet'!$E$12+1,1))</f>
        <v>272.69564942740931</v>
      </c>
      <c r="CE5" s="62">
        <f t="shared" ref="CE5:CE68" si="40">$CE$3</f>
        <v>316.57989180609252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4.615384615384615</v>
      </c>
      <c r="CT5" s="13">
        <f>IF('Données projet'!$A$140&gt;35,CT4+CS5-DB4,IF(A5&lt;'Données projet'!$A$140,$CQ$205^A5,IF(A5='Données projet'!$A$140,'Données projet'!$B$140,CT4+CS5-DB4)))</f>
        <v>1.7594349753639364</v>
      </c>
      <c r="CU5" s="18">
        <f>CT5*VLOOKUP('Données projet'!$B$13,Paramètres!$A$1:$I$89,3,0)*VLOOKUP('Données projet'!$B$13,Paramètres!$A$1:$I$89,5,0)</f>
        <v>1.674278322556322</v>
      </c>
      <c r="CV5" s="14">
        <f t="shared" ref="CV5:CV68" si="41">EXP(-1.0587+0.8836*LN(CU5)+0.284)</f>
        <v>0.72665150976499415</v>
      </c>
      <c r="CW5" s="22">
        <f t="shared" si="13"/>
        <v>4.1816194579596262</v>
      </c>
      <c r="CX5" s="62">
        <f t="shared" si="14"/>
        <v>174.77890074546045</v>
      </c>
      <c r="CY5" s="62">
        <f ca="1">AVERAGE(OFFSET($CX$3,0,0,'Données projet'!$E$13+1,1))-AVERAGE(OFFSET($H$3,0,0,'Données projet'!$E$13+1,1))</f>
        <v>491.87038198656927</v>
      </c>
      <c r="CZ5" s="62">
        <f t="shared" ref="CZ5:CZ68" si="42">$CZ$3</f>
        <v>406.49261644949559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3.65</v>
      </c>
      <c r="DO5" s="13">
        <f>IF('Données projet'!$A$166&gt;35,DO4+DN5-DW4,IF(A5&lt;'Données projet'!$A$166,$DL$205^A5,IF(A5='Données projet'!$A$166,'Données projet'!$B$166,DO4+DN5-DW4)))</f>
        <v>1.5357915933617867</v>
      </c>
      <c r="DP5" s="18">
        <f>DO5*VLOOKUP('Données projet'!$B$14,Paramètres!$A$1:$I$89,3,0)*VLOOKUP('Données projet'!$B$14,Paramètres!$A$1:$I$89,5,0)</f>
        <v>1.4854176290995202</v>
      </c>
      <c r="DQ5" s="14">
        <f t="shared" ref="DQ5:DQ68" si="43">EXP(-1.0587+0.8836*LN(DP5)+0.284)</f>
        <v>0.65372856897250708</v>
      </c>
      <c r="DR5" s="22">
        <f t="shared" si="16"/>
        <v>3.725679628308781</v>
      </c>
      <c r="DS5" s="62">
        <f t="shared" si="17"/>
        <v>174.3229609158096</v>
      </c>
      <c r="DT5" s="62">
        <f ca="1">AVERAGE(OFFSET($DS$3,0,0,'Données projet'!$E$14+1,1))-AVERAGE(OFFSET($H$3,0,0,'Données projet'!$E$14+1,1))</f>
        <v>603.52431522262032</v>
      </c>
      <c r="DU5" s="62">
        <f t="shared" ref="DU5:DU68" si="44">$DU$3</f>
        <v>313.56299786481338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6.1333333333333337</v>
      </c>
      <c r="EJ5" s="13">
        <f>IF('Données projet'!$A$192&gt;35,EJ4+EI5-ER4,IF(A5&lt;'Données projet'!$A$192,$EG$205^A5,IF(A5='Données projet'!$A$192,'Données projet'!$B$192,EJ4+EI5-ER4)))</f>
        <v>1.8274200138385375</v>
      </c>
      <c r="EK5" s="18">
        <f>EJ5*VLOOKUP('Données projet'!$B$15,Paramètres!$A$1:$I$89,3,0)*VLOOKUP('Données projet'!$B$15,Paramètres!$A$1:$I$89,5,0)</f>
        <v>1.4538953630099405</v>
      </c>
      <c r="EL5" s="14">
        <f t="shared" ref="EL5:EL68" si="45">EXP(-1.0587+0.8836*LN(EK5)+0.284)</f>
        <v>0.64145524039867363</v>
      </c>
      <c r="EM5" s="22">
        <f t="shared" si="19"/>
        <v>3.6494023009366696</v>
      </c>
      <c r="EN5" s="62">
        <f t="shared" si="20"/>
        <v>174.24668358843749</v>
      </c>
      <c r="EO5" s="62">
        <f ca="1">AVERAGE(OFFSET($EN$3,0,0,'Données projet'!$E$15+1,1))-AVERAGE(OFFSET($H$3,0,0,'Données projet'!$E$15+1,1))</f>
        <v>450.93388191845378</v>
      </c>
      <c r="EP5" s="62">
        <f t="shared" ref="EP5:EP68" si="46">$EP$3</f>
        <v>483.33635017129325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2.6666666666666665</v>
      </c>
      <c r="FE5" s="13">
        <f>IF('Données projet'!$A$218&gt;35,FE4+FD5-FM4,IF(A5&lt;'Données projet'!$A$218,$FB$205^A5,IF(A5='Données projet'!$A$218,'Données projet'!$B$218,FE4+FD5-FM4)))</f>
        <v>1.6353397711850939</v>
      </c>
      <c r="FF5" s="18">
        <f>FE5*VLOOKUP('Données projet'!$B$16,Paramètres!$A$1:$I$89,3,0)*VLOOKUP('Données projet'!$B$16,Paramètres!$A$1:$I$89,5,0)</f>
        <v>1.2755650215243732</v>
      </c>
      <c r="FG5" s="14">
        <f t="shared" ref="FG5:FG68" si="47">EXP(-1.0587+0.8836*LN(FF5)+0.284)</f>
        <v>0.57141400910743001</v>
      </c>
      <c r="FH5" s="22">
        <f t="shared" si="22"/>
        <v>3.2168218116837237</v>
      </c>
      <c r="FI5" s="62">
        <f t="shared" si="23"/>
        <v>173.81410309918456</v>
      </c>
      <c r="FJ5" s="62">
        <f ca="1">AVERAGE(OFFSET($FI$3,0,0,'Données projet'!$E$16+1,1))-AVERAGE(OFFSET($H$3,0,0,'Données projet'!$E$16+1,1))</f>
        <v>309.21625451786218</v>
      </c>
      <c r="FK5" s="62">
        <f t="shared" ref="FK5:FK68" si="48">$FK$3</f>
        <v>302.59481222418219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4.333333333333333</v>
      </c>
      <c r="N6" s="14">
        <f>IF('Données projet'!$A$36&gt;35,N5+M6-V5,IF(A6&lt;'Données projet'!$A$36,$K$205^A6,IF(A6='Données projet'!$A$36,'Données projet'!$B$36,N5+M6-V5)))</f>
        <v>2.3045316198021402</v>
      </c>
      <c r="O6" s="14">
        <f>N6*VLOOKUP('Données projet'!$B$9,Paramètres!$A$1:$I$89,3,0)*VLOOKUP('Données projet'!$B$9,Paramètres!$A$1:$I$89,5,0)</f>
        <v>1.833485356714583</v>
      </c>
      <c r="P6" s="14">
        <f t="shared" si="33"/>
        <v>0.78737934142351296</v>
      </c>
      <c r="Q6" s="22">
        <f t="shared" si="2"/>
        <v>4.5646726825905164</v>
      </c>
      <c r="R6" s="62">
        <f t="shared" si="0"/>
        <v>177.91969325247541</v>
      </c>
      <c r="S6" s="62">
        <f ca="1">AVERAGE(OFFSET($R$3,0,0,'Données projet'!$E$9+1,1))-AVERAGE(OFFSET($H$3,0,0,'Données projet'!$E$9+1,1))</f>
        <v>394.70330963327166</v>
      </c>
      <c r="T6" s="62">
        <f t="shared" si="34"/>
        <v>424.06445894109982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2.6666666666666665</v>
      </c>
      <c r="AI6" s="14">
        <f>IF('Données projet'!$A$62&gt;35,AI5+AH6-AQ5,IF(A6&lt;'Données projet'!$A$62,$AF$205^A6,IF(A6='Données projet'!$A$62,'Données projet'!$B$62,AI5+AH6-AQ5)))</f>
        <v>2.0912791051825459</v>
      </c>
      <c r="AJ6" s="14">
        <f>AI6*VLOOKUP('Données projet'!$B$10,Paramètres!$A$1:$I$89,3,0)*VLOOKUP('Données projet'!$B$10,Paramètres!$A$1:$I$89,5,0)</f>
        <v>1.6964456101240815</v>
      </c>
      <c r="AK6" s="14">
        <f t="shared" si="35"/>
        <v>0.73514592812979451</v>
      </c>
      <c r="AL6" s="22">
        <f t="shared" si="4"/>
        <v>4.2350219291255007</v>
      </c>
      <c r="AM6" s="62">
        <f t="shared" si="5"/>
        <v>177.59004249901039</v>
      </c>
      <c r="AN6" s="62">
        <f ca="1">AVERAGE(OFFSET($AM$3,0,0,'Données projet'!$E$10+1,1))-AVERAGE(OFFSET($H$3,0,0,'Données projet'!$E$10+1,1))</f>
        <v>319.39055628111151</v>
      </c>
      <c r="AO6" s="62">
        <f t="shared" si="36"/>
        <v>312.22190035638084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0.6</v>
      </c>
      <c r="BD6" s="13">
        <f>IF('Données projet'!$A$88&gt;35,BD5+BC6-BL5,IF(A6&lt;'Données projet'!$A$88,$BA$205^A6,IF(A6='Données projet'!$A$88,'Données projet'!$B$88,BD5+BC6-BL5)))</f>
        <v>1.5518455739153598</v>
      </c>
      <c r="BE6" s="14">
        <f>BD6*VLOOKUP('Données projet'!$B$11,Paramètres!$A$1:$I$89,3,0)*VLOOKUP('Données projet'!$B$11,Paramètres!$A$1:$I$89,5,0)</f>
        <v>1.137813174794742</v>
      </c>
      <c r="BF6" s="14">
        <f t="shared" si="37"/>
        <v>0.51653096713202284</v>
      </c>
      <c r="BG6" s="22">
        <f t="shared" si="7"/>
        <v>2.8813160471891153</v>
      </c>
      <c r="BH6" s="62">
        <f t="shared" si="8"/>
        <v>176.23633661707399</v>
      </c>
      <c r="BI6" s="62">
        <f ca="1">AVERAGE(OFFSET($BH$3,0,0,'Données projet'!$E$11+1,1))-AVERAGE(OFFSET($H$3,0,0,'Données projet'!$E$11+1,1))</f>
        <v>257.906524944431</v>
      </c>
      <c r="BJ6" s="62">
        <f t="shared" si="38"/>
        <v>274.70390601173563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0.9</v>
      </c>
      <c r="BY6" s="13">
        <f>IF('Données projet'!$A$114&gt;35,BY5+BX6-CG5,IF(A6&lt;'Données projet'!$A$114,$BV$205^A6,IF(A6='Données projet'!$A$114,'Données projet'!$B$114,BY5+BX6-CG5)))</f>
        <v>1.9331820449317632</v>
      </c>
      <c r="BZ6" s="14">
        <f>BY6*VLOOKUP('Données projet'!$B$12,Paramètres!$A$1:$I$89,3,0)*VLOOKUP('Données projet'!$B$12,Paramètres!$A$1:$I$89,5,0)</f>
        <v>1.5681972748486466</v>
      </c>
      <c r="CA6" s="14">
        <f t="shared" si="39"/>
        <v>0.68581679886281277</v>
      </c>
      <c r="CB6" s="22">
        <f t="shared" si="10"/>
        <v>3.9257411783807914</v>
      </c>
      <c r="CC6" s="62">
        <f t="shared" si="11"/>
        <v>177.28076174826569</v>
      </c>
      <c r="CD6" s="62">
        <f ca="1">AVERAGE(OFFSET($CC$3,0,0,'Données projet'!$E$12+1,1))-AVERAGE(OFFSET($H$3,0,0,'Données projet'!$E$12+1,1))</f>
        <v>272.69564942740931</v>
      </c>
      <c r="CE6" s="62">
        <f t="shared" si="40"/>
        <v>316.57989180609252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4.615384615384615</v>
      </c>
      <c r="CT6" s="13">
        <f>IF('Données projet'!$A$140&gt;35,CT5+CS6-DB5,IF(A6&lt;'Données projet'!$A$140,$CQ$205^A6,IF(A6='Données projet'!$A$140,'Données projet'!$B$140,CT5+CS6-DB5)))</f>
        <v>2.3337795578281586</v>
      </c>
      <c r="CU6" s="18">
        <f>CT6*VLOOKUP('Données projet'!$B$13,Paramètres!$A$1:$I$89,3,0)*VLOOKUP('Données projet'!$B$13,Paramètres!$A$1:$I$89,5,0)</f>
        <v>2.2208246272292755</v>
      </c>
      <c r="CV6" s="14">
        <f t="shared" si="41"/>
        <v>0.93267872263637819</v>
      </c>
      <c r="CW6" s="22">
        <f t="shared" si="13"/>
        <v>5.4923516676826791</v>
      </c>
      <c r="CX6" s="62">
        <f t="shared" si="14"/>
        <v>178.84737223756755</v>
      </c>
      <c r="CY6" s="62">
        <f ca="1">AVERAGE(OFFSET($CX$3,0,0,'Données projet'!$E$13+1,1))-AVERAGE(OFFSET($H$3,0,0,'Données projet'!$E$13+1,1))</f>
        <v>491.87038198656927</v>
      </c>
      <c r="CZ6" s="62">
        <f t="shared" si="42"/>
        <v>406.49261644949559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3.65</v>
      </c>
      <c r="DO6" s="13">
        <f>IF('Données projet'!$A$166&gt;35,DO5+DN6-DW5,IF(A6&lt;'Données projet'!$A$166,$DL$205^A6,IF(A6='Données projet'!$A$166,'Données projet'!$B$166,DO5+DN6-DW5)))</f>
        <v>1.9032613528593461</v>
      </c>
      <c r="DP6" s="18">
        <f>DO6*VLOOKUP('Données projet'!$B$14,Paramètres!$A$1:$I$89,3,0)*VLOOKUP('Données projet'!$B$14,Paramètres!$A$1:$I$89,5,0)</f>
        <v>1.8408343804855598</v>
      </c>
      <c r="DQ6" s="14">
        <f t="shared" si="43"/>
        <v>0.79016732850363813</v>
      </c>
      <c r="DR6" s="22">
        <f t="shared" si="16"/>
        <v>4.5823279764895188</v>
      </c>
      <c r="DS6" s="62">
        <f t="shared" si="17"/>
        <v>177.93734854637441</v>
      </c>
      <c r="DT6" s="62">
        <f ca="1">AVERAGE(OFFSET($DS$3,0,0,'Données projet'!$E$14+1,1))-AVERAGE(OFFSET($H$3,0,0,'Données projet'!$E$14+1,1))</f>
        <v>603.52431522262032</v>
      </c>
      <c r="DU6" s="62">
        <f t="shared" si="44"/>
        <v>313.56299786481338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6.1333333333333337</v>
      </c>
      <c r="EJ6" s="13">
        <f>IF('Données projet'!$A$192&gt;35,EJ5+EI6-ER5,IF(A6&lt;'Données projet'!$A$192,$EG$205^A6,IF(A6='Données projet'!$A$192,'Données projet'!$B$192,EJ5+EI6-ER5)))</f>
        <v>2.4703447490385582</v>
      </c>
      <c r="EK6" s="18">
        <f>EJ6*VLOOKUP('Données projet'!$B$15,Paramètres!$A$1:$I$89,3,0)*VLOOKUP('Données projet'!$B$15,Paramètres!$A$1:$I$89,5,0)</f>
        <v>1.9654062823350769</v>
      </c>
      <c r="EL6" s="14">
        <f t="shared" si="45"/>
        <v>0.83723341344363067</v>
      </c>
      <c r="EM6" s="22">
        <f t="shared" si="19"/>
        <v>4.8812641368145817</v>
      </c>
      <c r="EN6" s="62">
        <f t="shared" si="20"/>
        <v>178.23628470669948</v>
      </c>
      <c r="EO6" s="62">
        <f ca="1">AVERAGE(OFFSET($EN$3,0,0,'Données projet'!$E$15+1,1))-AVERAGE(OFFSET($H$3,0,0,'Données projet'!$E$15+1,1))</f>
        <v>450.93388191845378</v>
      </c>
      <c r="EP6" s="62">
        <f t="shared" si="46"/>
        <v>483.33635017129325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2.6666666666666665</v>
      </c>
      <c r="FE6" s="13">
        <f>IF('Données projet'!$A$218&gt;35,FE5+FD6-FM5,IF(A6&lt;'Données projet'!$A$218,$FB$205^A6,IF(A6='Données projet'!$A$218,'Données projet'!$B$218,FE5+FD6-FM5)))</f>
        <v>2.0912791051825459</v>
      </c>
      <c r="FF6" s="18">
        <f>FE6*VLOOKUP('Données projet'!$B$16,Paramètres!$A$1:$I$89,3,0)*VLOOKUP('Données projet'!$B$16,Paramètres!$A$1:$I$89,5,0)</f>
        <v>1.6311977020423858</v>
      </c>
      <c r="FG6" s="14">
        <f t="shared" si="47"/>
        <v>0.71010553443370616</v>
      </c>
      <c r="FH6" s="22">
        <f t="shared" si="22"/>
        <v>4.0777698035291934</v>
      </c>
      <c r="FI6" s="62">
        <f t="shared" si="23"/>
        <v>177.43279037341409</v>
      </c>
      <c r="FJ6" s="62">
        <f ca="1">AVERAGE(OFFSET($FI$3,0,0,'Données projet'!$E$16+1,1))-AVERAGE(OFFSET($H$3,0,0,'Données projet'!$E$16+1,1))</f>
        <v>309.21625451786218</v>
      </c>
      <c r="FK6" s="62">
        <f t="shared" si="48"/>
        <v>302.59481222418219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4.333333333333333</v>
      </c>
      <c r="N7" s="14">
        <f>IF('Données projet'!$A$36&gt;35,N6+M7-V6,IF(A7&lt;'Données projet'!$A$36,$K$205^A7,IF(A7='Données projet'!$A$36,'Données projet'!$B$36,N6+M7-V6)))</f>
        <v>3.0439923858678468</v>
      </c>
      <c r="O7" s="14">
        <f>N7*VLOOKUP('Données projet'!$B$9,Paramètres!$A$1:$I$89,3,0)*VLOOKUP('Données projet'!$B$9,Paramètres!$A$1:$I$89,5,0)</f>
        <v>2.4218003421964593</v>
      </c>
      <c r="P7" s="14">
        <f t="shared" si="33"/>
        <v>1.0068776453006392</v>
      </c>
      <c r="Q7" s="22">
        <f t="shared" si="2"/>
        <v>5.9716141615574472</v>
      </c>
      <c r="R7" s="62">
        <f t="shared" si="0"/>
        <v>182.0577362257344</v>
      </c>
      <c r="S7" s="62">
        <f ca="1">AVERAGE(OFFSET($R$3,0,0,'Données projet'!$E$9+1,1))-AVERAGE(OFFSET($H$3,0,0,'Données projet'!$E$9+1,1))</f>
        <v>394.70330963327166</v>
      </c>
      <c r="T7" s="62">
        <f t="shared" si="34"/>
        <v>424.06445894109982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2.6666666666666665</v>
      </c>
      <c r="AI7" s="14">
        <f>IF('Données projet'!$A$62&gt;35,AI6+AH7-AQ6,IF(A7&lt;'Données projet'!$A$62,$AF$205^A7,IF(A7='Données projet'!$A$62,'Données projet'!$B$62,AI6+AH7-AQ6)))</f>
        <v>2.6743361672197152</v>
      </c>
      <c r="AJ7" s="14">
        <f>AI7*VLOOKUP('Données projet'!$B$10,Paramètres!$A$1:$I$89,3,0)*VLOOKUP('Données projet'!$B$10,Paramètres!$A$1:$I$89,5,0)</f>
        <v>2.1694214988486329</v>
      </c>
      <c r="AK7" s="14">
        <f t="shared" si="35"/>
        <v>0.91357786799242624</v>
      </c>
      <c r="AL7" s="22">
        <f t="shared" si="4"/>
        <v>5.3695572305815107</v>
      </c>
      <c r="AM7" s="62">
        <f t="shared" si="5"/>
        <v>181.45567929475845</v>
      </c>
      <c r="AN7" s="62">
        <f ca="1">AVERAGE(OFFSET($AM$3,0,0,'Données projet'!$E$10+1,1))-AVERAGE(OFFSET($H$3,0,0,'Données projet'!$E$10+1,1))</f>
        <v>319.39055628111151</v>
      </c>
      <c r="AO7" s="62">
        <f t="shared" si="36"/>
        <v>312.22190035638084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0.6</v>
      </c>
      <c r="BD7" s="13">
        <f>IF('Données projet'!$A$88&gt;35,BD6+BC7-BL6,IF(A7&lt;'Données projet'!$A$88,$BA$205^A7,IF(A7='Données projet'!$A$88,'Données projet'!$B$88,BD6+BC7-BL6)))</f>
        <v>1.796654912379124</v>
      </c>
      <c r="BE7" s="14">
        <f>BD7*VLOOKUP('Données projet'!$B$11,Paramètres!$A$1:$I$89,3,0)*VLOOKUP('Données projet'!$B$11,Paramètres!$A$1:$I$89,5,0)</f>
        <v>1.3173073817563736</v>
      </c>
      <c r="BF7" s="14">
        <f t="shared" si="37"/>
        <v>0.58790561614632908</v>
      </c>
      <c r="BG7" s="22">
        <f t="shared" si="7"/>
        <v>3.3182459713472077</v>
      </c>
      <c r="BH7" s="62">
        <f t="shared" si="8"/>
        <v>179.40436803552416</v>
      </c>
      <c r="BI7" s="62">
        <f ca="1">AVERAGE(OFFSET($BH$3,0,0,'Données projet'!$E$11+1,1))-AVERAGE(OFFSET($H$3,0,0,'Données projet'!$E$11+1,1))</f>
        <v>257.906524944431</v>
      </c>
      <c r="BJ7" s="62">
        <f t="shared" si="38"/>
        <v>274.70390601173563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0.9</v>
      </c>
      <c r="BY7" s="13">
        <f>IF('Données projet'!$A$114&gt;35,BY6+BX7-CG6,IF(A7&lt;'Données projet'!$A$114,$BV$205^A7,IF(A7='Données projet'!$A$114,'Données projet'!$B$114,BY6+BX7-CG6)))</f>
        <v>2.4082246852806923</v>
      </c>
      <c r="BZ7" s="14">
        <f>BY7*VLOOKUP('Données projet'!$B$12,Paramètres!$A$1:$I$89,3,0)*VLOOKUP('Données projet'!$B$12,Paramètres!$A$1:$I$89,5,0)</f>
        <v>1.9535518646996977</v>
      </c>
      <c r="CA7" s="14">
        <f t="shared" si="39"/>
        <v>0.83276983766381052</v>
      </c>
      <c r="CB7" s="22">
        <f t="shared" si="10"/>
        <v>4.8528436316164436</v>
      </c>
      <c r="CC7" s="62">
        <f t="shared" si="11"/>
        <v>180.9389656957934</v>
      </c>
      <c r="CD7" s="62">
        <f ca="1">AVERAGE(OFFSET($CC$3,0,0,'Données projet'!$E$12+1,1))-AVERAGE(OFFSET($H$3,0,0,'Données projet'!$E$12+1,1))</f>
        <v>272.69564942740931</v>
      </c>
      <c r="CE7" s="62">
        <f t="shared" si="40"/>
        <v>316.57989180609252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4.615384615384615</v>
      </c>
      <c r="CT7" s="13">
        <f>IF('Données projet'!$A$140&gt;35,CT6+CS7-DB6,IF(A7&lt;'Données projet'!$A$140,$CQ$205^A7,IF(A7='Données projet'!$A$140,'Données projet'!$B$140,CT6+CS7-DB6)))</f>
        <v>3.0956114325338957</v>
      </c>
      <c r="CU7" s="18">
        <f>CT7*VLOOKUP('Données projet'!$B$13,Paramètres!$A$1:$I$89,3,0)*VLOOKUP('Données projet'!$B$13,Paramètres!$A$1:$I$89,5,0)</f>
        <v>2.9457838391992555</v>
      </c>
      <c r="CV7" s="14">
        <f t="shared" si="41"/>
        <v>1.1971207490368478</v>
      </c>
      <c r="CW7" s="22">
        <f t="shared" si="13"/>
        <v>7.2155588245112128</v>
      </c>
      <c r="CX7" s="62">
        <f t="shared" si="14"/>
        <v>183.30168088868817</v>
      </c>
      <c r="CY7" s="62">
        <f ca="1">AVERAGE(OFFSET($CX$3,0,0,'Données projet'!$E$13+1,1))-AVERAGE(OFFSET($H$3,0,0,'Données projet'!$E$13+1,1))</f>
        <v>491.87038198656927</v>
      </c>
      <c r="CZ7" s="62">
        <f t="shared" si="42"/>
        <v>406.49261644949559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3.65</v>
      </c>
      <c r="DO7" s="13">
        <f>IF('Données projet'!$A$166&gt;35,DO6+DN7-DW6,IF(A7&lt;'Données projet'!$A$166,$DL$205^A7,IF(A7='Données projet'!$A$166,'Données projet'!$B$166,DO6+DN7-DW6)))</f>
        <v>2.3586558182407358</v>
      </c>
      <c r="DP7" s="18">
        <f>DO7*VLOOKUP('Données projet'!$B$14,Paramètres!$A$1:$I$89,3,0)*VLOOKUP('Données projet'!$B$14,Paramètres!$A$1:$I$89,5,0)</f>
        <v>2.2812919074024398</v>
      </c>
      <c r="DQ7" s="14">
        <f t="shared" si="43"/>
        <v>0.95508202741684722</v>
      </c>
      <c r="DR7" s="22">
        <f t="shared" si="16"/>
        <v>5.6366846031435918</v>
      </c>
      <c r="DS7" s="62">
        <f t="shared" si="17"/>
        <v>181.72280666732053</v>
      </c>
      <c r="DT7" s="62">
        <f ca="1">AVERAGE(OFFSET($DS$3,0,0,'Données projet'!$E$14+1,1))-AVERAGE(OFFSET($H$3,0,0,'Données projet'!$E$14+1,1))</f>
        <v>603.52431522262032</v>
      </c>
      <c r="DU7" s="62">
        <f t="shared" si="44"/>
        <v>313.56299786481338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6.1333333333333337</v>
      </c>
      <c r="EJ7" s="13">
        <f>IF('Données projet'!$A$192&gt;35,EJ6+EI7-ER6,IF(A7&lt;'Données projet'!$A$192,$EG$205^A7,IF(A7='Données projet'!$A$192,'Données projet'!$B$192,EJ6+EI7-ER6)))</f>
        <v>3.3394639069776404</v>
      </c>
      <c r="EK7" s="18">
        <f>EJ7*VLOOKUP('Données projet'!$B$15,Paramètres!$A$1:$I$89,3,0)*VLOOKUP('Données projet'!$B$15,Paramètres!$A$1:$I$89,5,0)</f>
        <v>2.6568774843914107</v>
      </c>
      <c r="EL7" s="14">
        <f t="shared" si="45"/>
        <v>1.0927649264363588</v>
      </c>
      <c r="EM7" s="22">
        <f t="shared" si="19"/>
        <v>6.5306271988583653</v>
      </c>
      <c r="EN7" s="62">
        <f t="shared" si="20"/>
        <v>182.6167492630353</v>
      </c>
      <c r="EO7" s="62">
        <f ca="1">AVERAGE(OFFSET($EN$3,0,0,'Données projet'!$E$15+1,1))-AVERAGE(OFFSET($H$3,0,0,'Données projet'!$E$15+1,1))</f>
        <v>450.93388191845378</v>
      </c>
      <c r="EP7" s="62">
        <f t="shared" si="46"/>
        <v>483.33635017129325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2.6666666666666665</v>
      </c>
      <c r="FE7" s="13">
        <f>IF('Données projet'!$A$218&gt;35,FE6+FD7-FM6,IF(A7&lt;'Données projet'!$A$218,$FB$205^A7,IF(A7='Données projet'!$A$218,'Données projet'!$B$218,FE6+FD7-FM6)))</f>
        <v>2.6743361672197152</v>
      </c>
      <c r="FF7" s="18">
        <f>FE7*VLOOKUP('Données projet'!$B$16,Paramètres!$A$1:$I$89,3,0)*VLOOKUP('Données projet'!$B$16,Paramètres!$A$1:$I$89,5,0)</f>
        <v>2.0859822104313781</v>
      </c>
      <c r="FG7" s="14">
        <f t="shared" si="47"/>
        <v>0.88245976121767966</v>
      </c>
      <c r="FH7" s="22">
        <f t="shared" si="22"/>
        <v>5.1700364339554419</v>
      </c>
      <c r="FI7" s="62">
        <f t="shared" si="23"/>
        <v>181.25615849813238</v>
      </c>
      <c r="FJ7" s="62">
        <f ca="1">AVERAGE(OFFSET($FI$3,0,0,'Données projet'!$E$16+1,1))-AVERAGE(OFFSET($H$3,0,0,'Données projet'!$E$16+1,1))</f>
        <v>309.21625451786218</v>
      </c>
      <c r="FK7" s="62">
        <f t="shared" si="48"/>
        <v>302.59481222418219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4.333333333333333</v>
      </c>
      <c r="N8" s="14">
        <f>IF('Données projet'!$A$36&gt;35,N7+M8-V7,IF(A8&lt;'Données projet'!$A$36,$K$205^A8,IF(A8='Données projet'!$A$36,'Données projet'!$B$36,N7+M8-V7)))</f>
        <v>4.0207257585890561</v>
      </c>
      <c r="O8" s="14">
        <f>N8*VLOOKUP('Données projet'!$B$9,Paramètres!$A$1:$I$89,3,0)*VLOOKUP('Données projet'!$B$9,Paramètres!$A$1:$I$89,5,0)</f>
        <v>3.1988894135334531</v>
      </c>
      <c r="P8" s="14">
        <f t="shared" si="33"/>
        <v>1.2875656488183871</v>
      </c>
      <c r="Q8" s="22">
        <f t="shared" si="2"/>
        <v>7.8139092335961218</v>
      </c>
      <c r="R8" s="62">
        <f t="shared" si="0"/>
        <v>186.60495711004347</v>
      </c>
      <c r="S8" s="62">
        <f ca="1">AVERAGE(OFFSET($R$3,0,0,'Données projet'!$E$9+1,1))-AVERAGE(OFFSET($H$3,0,0,'Données projet'!$E$9+1,1))</f>
        <v>394.70330963327166</v>
      </c>
      <c r="T8" s="62">
        <f t="shared" si="34"/>
        <v>424.06445894109982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2.6666666666666665</v>
      </c>
      <c r="AI8" s="14">
        <f>IF('Données projet'!$A$62&gt;35,AI7+AH8-AQ7,IF(A8&lt;'Données projet'!$A$62,$AF$205^A8,IF(A8='Données projet'!$A$62,'Données projet'!$B$62,AI7+AH8-AQ7)))</f>
        <v>3.4199518933533928</v>
      </c>
      <c r="AJ8" s="14">
        <f>AI8*VLOOKUP('Données projet'!$B$10,Paramètres!$A$1:$I$89,3,0)*VLOOKUP('Données projet'!$B$10,Paramètres!$A$1:$I$89,5,0)</f>
        <v>2.7742649758882725</v>
      </c>
      <c r="AK8" s="14">
        <f t="shared" si="35"/>
        <v>1.1353181578640659</v>
      </c>
      <c r="AL8" s="22">
        <f t="shared" si="4"/>
        <v>6.8091906246186555</v>
      </c>
      <c r="AM8" s="62">
        <f t="shared" si="5"/>
        <v>185.600238501066</v>
      </c>
      <c r="AN8" s="62">
        <f ca="1">AVERAGE(OFFSET($AM$3,0,0,'Données projet'!$E$10+1,1))-AVERAGE(OFFSET($H$3,0,0,'Données projet'!$E$10+1,1))</f>
        <v>319.39055628111151</v>
      </c>
      <c r="AO8" s="62">
        <f t="shared" si="36"/>
        <v>312.22190035638084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0.6</v>
      </c>
      <c r="BD8" s="13">
        <f>IF('Données projet'!$A$88&gt;35,BD7+BC8-BL7,IF(A8&lt;'Données projet'!$A$88,$BA$205^A8,IF(A8='Données projet'!$A$88,'Données projet'!$B$88,BD7+BC8-BL7)))</f>
        <v>2.0800838230519041</v>
      </c>
      <c r="BE8" s="14">
        <f>BD8*VLOOKUP('Données projet'!$B$11,Paramètres!$A$1:$I$89,3,0)*VLOOKUP('Données projet'!$B$11,Paramètres!$A$1:$I$89,5,0)</f>
        <v>1.5251174590616561</v>
      </c>
      <c r="BF8" s="14">
        <f t="shared" si="37"/>
        <v>0.66914286943042611</v>
      </c>
      <c r="BG8" s="22">
        <f t="shared" si="7"/>
        <v>3.8216700721237102</v>
      </c>
      <c r="BH8" s="62">
        <f t="shared" si="8"/>
        <v>182.61271794857106</v>
      </c>
      <c r="BI8" s="62">
        <f ca="1">AVERAGE(OFFSET($BH$3,0,0,'Données projet'!$E$11+1,1))-AVERAGE(OFFSET($H$3,0,0,'Données projet'!$E$11+1,1))</f>
        <v>257.906524944431</v>
      </c>
      <c r="BJ8" s="62">
        <f t="shared" si="38"/>
        <v>274.70390601173563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0.9</v>
      </c>
      <c r="BY8" s="13">
        <f>IF('Données projet'!$A$114&gt;35,BY7+BX8-CG7,IF(A8&lt;'Données projet'!$A$114,$BV$205^A8,IF(A8='Données projet'!$A$114,'Données projet'!$B$114,BY7+BX8-CG7)))</f>
        <v>3.0000000000000004</v>
      </c>
      <c r="BZ8" s="14">
        <f>BY8*VLOOKUP('Données projet'!$B$12,Paramètres!$A$1:$I$89,3,0)*VLOOKUP('Données projet'!$B$12,Paramètres!$A$1:$I$89,5,0)</f>
        <v>2.4336000000000007</v>
      </c>
      <c r="CA8" s="14">
        <f t="shared" si="39"/>
        <v>1.0112111626203177</v>
      </c>
      <c r="CB8" s="22">
        <f t="shared" si="10"/>
        <v>5.9997127748970547</v>
      </c>
      <c r="CC8" s="62">
        <f t="shared" si="11"/>
        <v>184.79076065134441</v>
      </c>
      <c r="CD8" s="62">
        <f ca="1">AVERAGE(OFFSET($CC$3,0,0,'Données projet'!$E$12+1,1))-AVERAGE(OFFSET($H$3,0,0,'Données projet'!$E$12+1,1))</f>
        <v>272.69564942740931</v>
      </c>
      <c r="CE8" s="62">
        <f t="shared" si="40"/>
        <v>316.57989180609252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4.615384615384615</v>
      </c>
      <c r="CT8" s="13">
        <f>IF('Données projet'!$A$140&gt;35,CT7+CS8-DB7,IF(A8&lt;'Données projet'!$A$140,$CQ$205^A8,IF(A8='Données projet'!$A$140,'Données projet'!$B$140,CT7+CS8-DB7)))</f>
        <v>4.1061333788322445</v>
      </c>
      <c r="CU8" s="18">
        <f>CT8*VLOOKUP('Données projet'!$B$13,Paramètres!$A$1:$I$89,3,0)*VLOOKUP('Données projet'!$B$13,Paramètres!$A$1:$I$89,5,0)</f>
        <v>3.907396523296764</v>
      </c>
      <c r="CV8" s="14">
        <f t="shared" si="41"/>
        <v>1.5365399177582215</v>
      </c>
      <c r="CW8" s="22">
        <f t="shared" si="13"/>
        <v>9.4815226348374324</v>
      </c>
      <c r="CX8" s="62">
        <f t="shared" si="14"/>
        <v>188.27257051128478</v>
      </c>
      <c r="CY8" s="62">
        <f ca="1">AVERAGE(OFFSET($CX$3,0,0,'Données projet'!$E$13+1,1))-AVERAGE(OFFSET($H$3,0,0,'Données projet'!$E$13+1,1))</f>
        <v>491.87038198656927</v>
      </c>
      <c r="CZ8" s="62">
        <f t="shared" si="42"/>
        <v>406.49261644949559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3.65</v>
      </c>
      <c r="DO8" s="13">
        <f>IF('Données projet'!$A$166&gt;35,DO7+DN8-DW7,IF(A8&lt;'Données projet'!$A$166,$DL$205^A8,IF(A8='Données projet'!$A$166,'Données projet'!$B$166,DO7+DN8-DW7)))</f>
        <v>2.9230127856917649</v>
      </c>
      <c r="DP8" s="18">
        <f>DO8*VLOOKUP('Données projet'!$B$14,Paramètres!$A$1:$I$89,3,0)*VLOOKUP('Données projet'!$B$14,Paramètres!$A$1:$I$89,5,0)</f>
        <v>2.8271379663210752</v>
      </c>
      <c r="DQ8" s="14">
        <f t="shared" si="43"/>
        <v>1.1544158385061292</v>
      </c>
      <c r="DR8" s="22">
        <f t="shared" si="16"/>
        <v>6.9345395434073795</v>
      </c>
      <c r="DS8" s="62">
        <f t="shared" si="17"/>
        <v>185.72558741985472</v>
      </c>
      <c r="DT8" s="62">
        <f ca="1">AVERAGE(OFFSET($DS$3,0,0,'Données projet'!$E$14+1,1))-AVERAGE(OFFSET($H$3,0,0,'Données projet'!$E$14+1,1))</f>
        <v>603.52431522262032</v>
      </c>
      <c r="DU8" s="62">
        <f t="shared" si="44"/>
        <v>313.56299786481338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6.1333333333333337</v>
      </c>
      <c r="EJ8" s="13">
        <f>IF('Données projet'!$A$192&gt;35,EJ7+EI8-ER7,IF(A8&lt;'Données projet'!$A$192,$EG$205^A8,IF(A8='Données projet'!$A$192,'Données projet'!$B$192,EJ7+EI8-ER7)))</f>
        <v>4.5143574354740004</v>
      </c>
      <c r="EK8" s="18">
        <f>EJ8*VLOOKUP('Données projet'!$B$15,Paramètres!$A$1:$I$89,3,0)*VLOOKUP('Données projet'!$B$15,Paramètres!$A$1:$I$89,5,0)</f>
        <v>3.5916227756631152</v>
      </c>
      <c r="EL8" s="14">
        <f t="shared" si="45"/>
        <v>1.4262870607825542</v>
      </c>
      <c r="EM8" s="22">
        <f t="shared" si="19"/>
        <v>8.739526298476207</v>
      </c>
      <c r="EN8" s="62">
        <f t="shared" si="20"/>
        <v>187.53057417492357</v>
      </c>
      <c r="EO8" s="62">
        <f ca="1">AVERAGE(OFFSET($EN$3,0,0,'Données projet'!$E$15+1,1))-AVERAGE(OFFSET($H$3,0,0,'Données projet'!$E$15+1,1))</f>
        <v>450.93388191845378</v>
      </c>
      <c r="EP8" s="62">
        <f t="shared" si="46"/>
        <v>483.33635017129325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2.6666666666666665</v>
      </c>
      <c r="FE8" s="13">
        <f>IF('Données projet'!$A$218&gt;35,FE7+FD8-FM7,IF(A8&lt;'Données projet'!$A$218,$FB$205^A8,IF(A8='Données projet'!$A$218,'Données projet'!$B$218,FE7+FD8-FM7)))</f>
        <v>3.4199518933533928</v>
      </c>
      <c r="FF8" s="18">
        <f>FE8*VLOOKUP('Données projet'!$B$16,Paramètres!$A$1:$I$89,3,0)*VLOOKUP('Données projet'!$B$16,Paramètres!$A$1:$I$89,5,0)</f>
        <v>2.6675624768156463</v>
      </c>
      <c r="FG8" s="14">
        <f t="shared" si="47"/>
        <v>1.0966471776471767</v>
      </c>
      <c r="FH8" s="22">
        <f t="shared" si="22"/>
        <v>6.5559984815227494</v>
      </c>
      <c r="FI8" s="62">
        <f t="shared" si="23"/>
        <v>185.3470463579701</v>
      </c>
      <c r="FJ8" s="62">
        <f ca="1">AVERAGE(OFFSET($FI$3,0,0,'Données projet'!$E$16+1,1))-AVERAGE(OFFSET($H$3,0,0,'Données projet'!$E$16+1,1))</f>
        <v>309.21625451786218</v>
      </c>
      <c r="FK8" s="62">
        <f t="shared" si="48"/>
        <v>302.59481222418219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4.333333333333333</v>
      </c>
      <c r="N9" s="14">
        <f>IF('Données projet'!$A$36&gt;35,N8+M9-V8,IF(A9&lt;'Données projet'!$A$36,$K$205^A9,IF(A9='Données projet'!$A$36,'Données projet'!$B$36,N8+M9-V8)))</f>
        <v>5.310865986667876</v>
      </c>
      <c r="O9" s="14">
        <f>N9*VLOOKUP('Données projet'!$B$9,Paramètres!$A$1:$I$89,3,0)*VLOOKUP('Données projet'!$B$9,Paramètres!$A$1:$I$89,5,0)</f>
        <v>4.2253249789929628</v>
      </c>
      <c r="P9" s="14">
        <f t="shared" si="33"/>
        <v>1.6465012484432624</v>
      </c>
      <c r="Q9" s="22">
        <f t="shared" si="2"/>
        <v>10.226764012784757</v>
      </c>
      <c r="R9" s="62">
        <f t="shared" si="0"/>
        <v>191.69701610904374</v>
      </c>
      <c r="S9" s="62">
        <f ca="1">AVERAGE(OFFSET($R$3,0,0,'Données projet'!$E$9+1,1))-AVERAGE(OFFSET($H$3,0,0,'Données projet'!$E$9+1,1))</f>
        <v>394.70330963327166</v>
      </c>
      <c r="T9" s="62">
        <f t="shared" si="34"/>
        <v>424.06445894109982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2.6666666666666665</v>
      </c>
      <c r="AI9" s="14">
        <f>IF('Données projet'!$A$62&gt;35,AI8+AH9-AQ8,IF(A9&lt;'Données projet'!$A$62,$AF$205^A9,IF(A9='Données projet'!$A$62,'Données projet'!$B$62,AI8+AH9-AQ8)))</f>
        <v>4.3734482957731098</v>
      </c>
      <c r="AJ9" s="14">
        <f>AI9*VLOOKUP('Données projet'!$B$10,Paramètres!$A$1:$I$89,3,0)*VLOOKUP('Données projet'!$B$10,Paramètres!$A$1:$I$89,5,0)</f>
        <v>3.5477412575311469</v>
      </c>
      <c r="AK9" s="14">
        <f t="shared" si="35"/>
        <v>1.4108784425878202</v>
      </c>
      <c r="AL9" s="22">
        <f t="shared" si="4"/>
        <v>8.6362626443738666</v>
      </c>
      <c r="AM9" s="62">
        <f t="shared" si="5"/>
        <v>190.10651474063283</v>
      </c>
      <c r="AN9" s="62">
        <f ca="1">AVERAGE(OFFSET($AM$3,0,0,'Données projet'!$E$10+1,1))-AVERAGE(OFFSET($H$3,0,0,'Données projet'!$E$10+1,1))</f>
        <v>319.39055628111151</v>
      </c>
      <c r="AO9" s="62">
        <f t="shared" si="36"/>
        <v>312.22190035638084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0.6</v>
      </c>
      <c r="BD9" s="13">
        <f>IF('Données projet'!$A$88&gt;35,BD8+BC9-BL8,IF(A9&lt;'Données projet'!$A$88,$BA$205^A9,IF(A9='Données projet'!$A$88,'Données projet'!$B$88,BD8+BC9-BL8)))</f>
        <v>2.4082246852806919</v>
      </c>
      <c r="BE9" s="14">
        <f>BD9*VLOOKUP('Données projet'!$B$11,Paramètres!$A$1:$I$89,3,0)*VLOOKUP('Données projet'!$B$11,Paramètres!$A$1:$I$89,5,0)</f>
        <v>1.7657103392478033</v>
      </c>
      <c r="BF9" s="14">
        <f t="shared" si="37"/>
        <v>0.7616055492794257</v>
      </c>
      <c r="BG9" s="22">
        <f t="shared" si="7"/>
        <v>4.4017418391849237</v>
      </c>
      <c r="BH9" s="62">
        <f t="shared" si="8"/>
        <v>185.8719939354439</v>
      </c>
      <c r="BI9" s="62">
        <f ca="1">AVERAGE(OFFSET($BH$3,0,0,'Données projet'!$E$11+1,1))-AVERAGE(OFFSET($H$3,0,0,'Données projet'!$E$11+1,1))</f>
        <v>257.906524944431</v>
      </c>
      <c r="BJ9" s="62">
        <f t="shared" si="38"/>
        <v>274.70390601173563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0.9</v>
      </c>
      <c r="BY9" s="13">
        <f>IF('Données projet'!$A$114&gt;35,BY8+BX9-CG8,IF(A9&lt;'Données projet'!$A$114,$BV$205^A9,IF(A9='Données projet'!$A$114,'Données projet'!$B$114,BY8+BX9-CG8)))</f>
        <v>3.7371928188465526</v>
      </c>
      <c r="BZ9" s="14">
        <f>BY9*VLOOKUP('Données projet'!$B$12,Paramètres!$A$1:$I$89,3,0)*VLOOKUP('Données projet'!$B$12,Paramètres!$A$1:$I$89,5,0)</f>
        <v>3.0316108146483236</v>
      </c>
      <c r="CA9" s="14">
        <f t="shared" si="39"/>
        <v>1.2278879099133964</v>
      </c>
      <c r="CB9" s="22">
        <f t="shared" si="10"/>
        <v>7.4186269452783291</v>
      </c>
      <c r="CC9" s="62">
        <f t="shared" si="11"/>
        <v>188.88887904153731</v>
      </c>
      <c r="CD9" s="62">
        <f ca="1">AVERAGE(OFFSET($CC$3,0,0,'Données projet'!$E$12+1,1))-AVERAGE(OFFSET($H$3,0,0,'Données projet'!$E$12+1,1))</f>
        <v>272.69564942740931</v>
      </c>
      <c r="CE9" s="62">
        <f t="shared" si="40"/>
        <v>316.57989180609252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4.615384615384615</v>
      </c>
      <c r="CT9" s="13">
        <f>IF('Données projet'!$A$140&gt;35,CT8+CS9-DB8,IF(A9&lt;'Données projet'!$A$140,$CQ$205^A9,IF(A9='Données projet'!$A$140,'Données projet'!$B$140,CT8+CS9-DB8)))</f>
        <v>5.4465270245365947</v>
      </c>
      <c r="CU9" s="18">
        <f>CT9*VLOOKUP('Données projet'!$B$13,Paramètres!$A$1:$I$89,3,0)*VLOOKUP('Données projet'!$B$13,Paramètres!$A$1:$I$89,5,0)</f>
        <v>5.1829151165490233</v>
      </c>
      <c r="CV9" s="14">
        <f t="shared" si="41"/>
        <v>1.9721944680718011</v>
      </c>
      <c r="CW9" s="22">
        <f t="shared" si="13"/>
        <v>12.461815859881268</v>
      </c>
      <c r="CX9" s="62">
        <f t="shared" si="14"/>
        <v>193.93206795614023</v>
      </c>
      <c r="CY9" s="62">
        <f ca="1">AVERAGE(OFFSET($CX$3,0,0,'Données projet'!$E$13+1,1))-AVERAGE(OFFSET($H$3,0,0,'Données projet'!$E$13+1,1))</f>
        <v>491.87038198656927</v>
      </c>
      <c r="CZ9" s="62">
        <f t="shared" si="42"/>
        <v>406.49261644949559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3.65</v>
      </c>
      <c r="DO9" s="13">
        <f>IF('Données projet'!$A$166&gt;35,DO8+DN9-DW8,IF(A9&lt;'Données projet'!$A$166,$DL$205^A9,IF(A9='Données projet'!$A$166,'Données projet'!$B$166,DO8+DN9-DW8)))</f>
        <v>3.6224037772879885</v>
      </c>
      <c r="DP9" s="18">
        <f>DO9*VLOOKUP('Données projet'!$B$14,Paramètres!$A$1:$I$89,3,0)*VLOOKUP('Données projet'!$B$14,Paramètres!$A$1:$I$89,5,0)</f>
        <v>3.5035889333929422</v>
      </c>
      <c r="DQ9" s="14">
        <f t="shared" si="43"/>
        <v>1.3953523257036018</v>
      </c>
      <c r="DR9" s="22">
        <f t="shared" si="16"/>
        <v>8.5323226929264795</v>
      </c>
      <c r="DS9" s="62">
        <f t="shared" si="17"/>
        <v>190.00257478918545</v>
      </c>
      <c r="DT9" s="62">
        <f ca="1">AVERAGE(OFFSET($DS$3,0,0,'Données projet'!$E$14+1,1))-AVERAGE(OFFSET($H$3,0,0,'Données projet'!$E$14+1,1))</f>
        <v>603.52431522262032</v>
      </c>
      <c r="DU9" s="62">
        <f t="shared" si="44"/>
        <v>313.56299786481338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6.1333333333333337</v>
      </c>
      <c r="EJ9" s="13">
        <f>IF('Données projet'!$A$192&gt;35,EJ8+EI9-ER8,IF(A9&lt;'Données projet'!$A$192,$EG$205^A9,IF(A9='Données projet'!$A$192,'Données projet'!$B$192,EJ8+EI9-ER8)))</f>
        <v>6.1026031791023758</v>
      </c>
      <c r="EK9" s="18">
        <f>EJ9*VLOOKUP('Données projet'!$B$15,Paramètres!$A$1:$I$89,3,0)*VLOOKUP('Données projet'!$B$15,Paramètres!$A$1:$I$89,5,0)</f>
        <v>4.8552310892938504</v>
      </c>
      <c r="EL9" s="14">
        <f t="shared" si="45"/>
        <v>1.8616032877169868</v>
      </c>
      <c r="EM9" s="22">
        <f t="shared" si="19"/>
        <v>11.698486539960541</v>
      </c>
      <c r="EN9" s="62">
        <f t="shared" si="20"/>
        <v>193.16873863621953</v>
      </c>
      <c r="EO9" s="62">
        <f ca="1">AVERAGE(OFFSET($EN$3,0,0,'Données projet'!$E$15+1,1))-AVERAGE(OFFSET($H$3,0,0,'Données projet'!$E$15+1,1))</f>
        <v>450.93388191845378</v>
      </c>
      <c r="EP9" s="62">
        <f t="shared" si="46"/>
        <v>483.33635017129325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2.6666666666666665</v>
      </c>
      <c r="FE9" s="13">
        <f>IF('Données projet'!$A$218&gt;35,FE8+FD9-FM8,IF(A9&lt;'Données projet'!$A$218,$FB$205^A9,IF(A9='Données projet'!$A$218,'Données projet'!$B$218,FE8+FD9-FM8)))</f>
        <v>4.3734482957731098</v>
      </c>
      <c r="FF9" s="18">
        <f>FE9*VLOOKUP('Données projet'!$B$16,Paramètres!$A$1:$I$89,3,0)*VLOOKUP('Données projet'!$B$16,Paramètres!$A$1:$I$89,5,0)</f>
        <v>3.4112896707030256</v>
      </c>
      <c r="FG9" s="14">
        <f t="shared" si="47"/>
        <v>1.3628213830192535</v>
      </c>
      <c r="FH9" s="22">
        <f t="shared" si="22"/>
        <v>8.3149100852329703</v>
      </c>
      <c r="FI9" s="62">
        <f t="shared" si="23"/>
        <v>189.78516218149196</v>
      </c>
      <c r="FJ9" s="62">
        <f ca="1">AVERAGE(OFFSET($FI$3,0,0,'Données projet'!$E$16+1,1))-AVERAGE(OFFSET($H$3,0,0,'Données projet'!$E$16+1,1))</f>
        <v>309.21625451786218</v>
      </c>
      <c r="FK9" s="62">
        <f t="shared" si="48"/>
        <v>302.59481222418219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4.333333333333333</v>
      </c>
      <c r="N10" s="14">
        <f>IF('Données projet'!$A$36&gt;35,N9+M10-V9,IF(A10&lt;'Données projet'!$A$36,$K$205^A10,IF(A10='Données projet'!$A$36,'Données projet'!$B$36,N9+M10-V9)))</f>
        <v>7.0149767036694106</v>
      </c>
      <c r="O10" s="14">
        <f>N10*VLOOKUP('Données projet'!$B$9,Paramètres!$A$1:$I$89,3,0)*VLOOKUP('Données projet'!$B$9,Paramètres!$A$1:$I$89,5,0)</f>
        <v>5.5811154654393826</v>
      </c>
      <c r="P10" s="14">
        <f t="shared" si="33"/>
        <v>2.1054975826771263</v>
      </c>
      <c r="Q10" s="22">
        <f t="shared" si="2"/>
        <v>13.387517725469587</v>
      </c>
      <c r="R10" s="62">
        <f t="shared" si="0"/>
        <v>197.51169866120583</v>
      </c>
      <c r="S10" s="62">
        <f ca="1">AVERAGE(OFFSET($R$3,0,0,'Données projet'!$E$9+1,1))-AVERAGE(OFFSET($H$3,0,0,'Données projet'!$E$9+1,1))</f>
        <v>394.70330963327166</v>
      </c>
      <c r="T10" s="62">
        <f t="shared" si="34"/>
        <v>424.06445894109982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2.6666666666666665</v>
      </c>
      <c r="AI10" s="14">
        <f>IF('Données projet'!$A$62&gt;35,AI9+AH10-AQ9,IF(A10&lt;'Données projet'!$A$62,$AF$205^A10,IF(A10='Données projet'!$A$62,'Données projet'!$B$62,AI9+AH10-AQ9)))</f>
        <v>5.5927833467405659</v>
      </c>
      <c r="AJ10" s="14">
        <f>AI10*VLOOKUP('Données projet'!$B$10,Paramètres!$A$1:$I$89,3,0)*VLOOKUP('Données projet'!$B$10,Paramètres!$A$1:$I$89,5,0)</f>
        <v>4.5368658508759481</v>
      </c>
      <c r="AK10" s="14">
        <f t="shared" si="35"/>
        <v>1.7533217151252238</v>
      </c>
      <c r="AL10" s="22">
        <f t="shared" si="4"/>
        <v>10.955410010785373</v>
      </c>
      <c r="AM10" s="62">
        <f t="shared" si="5"/>
        <v>195.07959094652162</v>
      </c>
      <c r="AN10" s="62">
        <f ca="1">AVERAGE(OFFSET($AM$3,0,0,'Données projet'!$E$10+1,1))-AVERAGE(OFFSET($H$3,0,0,'Données projet'!$E$10+1,1))</f>
        <v>319.39055628111151</v>
      </c>
      <c r="AO10" s="62">
        <f t="shared" si="36"/>
        <v>312.22190035638084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0.6</v>
      </c>
      <c r="BD10" s="13">
        <f>IF('Données projet'!$A$88&gt;35,BD9+BC10-BL9,IF(A10&lt;'Données projet'!$A$88,$BA$205^A10,IF(A10='Données projet'!$A$88,'Données projet'!$B$88,BD9+BC10-BL9)))</f>
        <v>2.788130973628832</v>
      </c>
      <c r="BE10" s="14">
        <f>BD10*VLOOKUP('Données projet'!$B$11,Paramètres!$A$1:$I$89,3,0)*VLOOKUP('Données projet'!$B$11,Paramètres!$A$1:$I$89,5,0)</f>
        <v>2.0442576298646595</v>
      </c>
      <c r="BF10" s="14">
        <f t="shared" si="37"/>
        <v>0.8668447938284809</v>
      </c>
      <c r="BG10" s="22">
        <f t="shared" si="7"/>
        <v>5.0701700545988864</v>
      </c>
      <c r="BH10" s="62">
        <f t="shared" si="8"/>
        <v>189.19435099033512</v>
      </c>
      <c r="BI10" s="62">
        <f ca="1">AVERAGE(OFFSET($BH$3,0,0,'Données projet'!$E$11+1,1))-AVERAGE(OFFSET($H$3,0,0,'Données projet'!$E$11+1,1))</f>
        <v>257.906524944431</v>
      </c>
      <c r="BJ10" s="62">
        <f t="shared" si="38"/>
        <v>274.70390601173563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0.9</v>
      </c>
      <c r="BY10" s="13">
        <f>IF('Données projet'!$A$114&gt;35,BY9+BX10-CG9,IF(A10&lt;'Données projet'!$A$114,$BV$205^A10,IF(A10='Données projet'!$A$114,'Données projet'!$B$114,BY9+BX10-CG9)))</f>
        <v>4.6555367217460804</v>
      </c>
      <c r="BZ10" s="14">
        <f>BY10*VLOOKUP('Données projet'!$B$12,Paramètres!$A$1:$I$89,3,0)*VLOOKUP('Données projet'!$B$12,Paramètres!$A$1:$I$89,5,0)</f>
        <v>3.7765713886804204</v>
      </c>
      <c r="CA10" s="14">
        <f t="shared" si="39"/>
        <v>1.490992954829151</v>
      </c>
      <c r="CB10" s="22">
        <f t="shared" si="10"/>
        <v>9.1743412316125035</v>
      </c>
      <c r="CC10" s="62">
        <f t="shared" si="11"/>
        <v>193.29852216734875</v>
      </c>
      <c r="CD10" s="62">
        <f ca="1">AVERAGE(OFFSET($CC$3,0,0,'Données projet'!$E$12+1,1))-AVERAGE(OFFSET($H$3,0,0,'Données projet'!$E$12+1,1))</f>
        <v>272.69564942740931</v>
      </c>
      <c r="CE10" s="62">
        <f t="shared" si="40"/>
        <v>316.57989180609252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4.615384615384615</v>
      </c>
      <c r="CT10" s="13">
        <f>IF('Données projet'!$A$140&gt;35,CT9+CS10-DB9,IF(A10&lt;'Données projet'!$A$140,$CQ$205^A10,IF(A10='Données projet'!$A$140,'Données projet'!$B$140,CT9+CS10-DB9)))</f>
        <v>7.2244746802267477</v>
      </c>
      <c r="CU10" s="18">
        <f>CT10*VLOOKUP('Données projet'!$B$13,Paramètres!$A$1:$I$89,3,0)*VLOOKUP('Données projet'!$B$13,Paramètres!$A$1:$I$89,5,0)</f>
        <v>6.8748101057037729</v>
      </c>
      <c r="CV10" s="14">
        <f t="shared" si="41"/>
        <v>2.5313699793545132</v>
      </c>
      <c r="CW10" s="22">
        <f t="shared" si="13"/>
        <v>16.382430314809849</v>
      </c>
      <c r="CX10" s="62">
        <f t="shared" si="14"/>
        <v>200.50661125054609</v>
      </c>
      <c r="CY10" s="62">
        <f ca="1">AVERAGE(OFFSET($CX$3,0,0,'Données projet'!$E$13+1,1))-AVERAGE(OFFSET($H$3,0,0,'Données projet'!$E$13+1,1))</f>
        <v>491.87038198656927</v>
      </c>
      <c r="CZ10" s="62">
        <f t="shared" si="42"/>
        <v>406.49261644949559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3.65</v>
      </c>
      <c r="DO10" s="13">
        <f>IF('Données projet'!$A$166&gt;35,DO9+DN10-DW9,IF(A10&lt;'Données projet'!$A$166,$DL$205^A10,IF(A10='Données projet'!$A$166,'Données projet'!$B$166,DO9+DN10-DW9)))</f>
        <v>4.4891384635544309</v>
      </c>
      <c r="DP10" s="18">
        <f>DO10*VLOOKUP('Données projet'!$B$14,Paramètres!$A$1:$I$89,3,0)*VLOOKUP('Données projet'!$B$14,Paramètres!$A$1:$I$89,5,0)</f>
        <v>4.3418947219498456</v>
      </c>
      <c r="DQ10" s="14">
        <f t="shared" si="43"/>
        <v>1.6865743243491664</v>
      </c>
      <c r="DR10" s="22">
        <f t="shared" si="16"/>
        <v>10.499583588970779</v>
      </c>
      <c r="DS10" s="62">
        <f t="shared" si="17"/>
        <v>194.62376452470701</v>
      </c>
      <c r="DT10" s="62">
        <f ca="1">AVERAGE(OFFSET($DS$3,0,0,'Données projet'!$E$14+1,1))-AVERAGE(OFFSET($H$3,0,0,'Données projet'!$E$14+1,1))</f>
        <v>603.52431522262032</v>
      </c>
      <c r="DU10" s="62">
        <f t="shared" si="44"/>
        <v>313.56299786481338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6.1333333333333337</v>
      </c>
      <c r="EJ10" s="13">
        <f>IF('Données projet'!$A$192&gt;35,EJ9+EI10-ER9,IF(A10&lt;'Données projet'!$A$192,$EG$205^A10,IF(A10='Données projet'!$A$192,'Données projet'!$B$192,EJ9+EI10-ER9)))</f>
        <v>8.2496271272060024</v>
      </c>
      <c r="EK10" s="18">
        <f>EJ10*VLOOKUP('Données projet'!$B$15,Paramètres!$A$1:$I$89,3,0)*VLOOKUP('Données projet'!$B$15,Paramètres!$A$1:$I$89,5,0)</f>
        <v>6.5634033424050955</v>
      </c>
      <c r="EL10" s="14">
        <f t="shared" si="45"/>
        <v>2.4297821217961957</v>
      </c>
      <c r="EM10" s="22">
        <f t="shared" si="19"/>
        <v>15.66313135015058</v>
      </c>
      <c r="EN10" s="62">
        <f t="shared" si="20"/>
        <v>199.78731228588683</v>
      </c>
      <c r="EO10" s="62">
        <f ca="1">AVERAGE(OFFSET($EN$3,0,0,'Données projet'!$E$15+1,1))-AVERAGE(OFFSET($H$3,0,0,'Données projet'!$E$15+1,1))</f>
        <v>450.93388191845378</v>
      </c>
      <c r="EP10" s="62">
        <f t="shared" si="46"/>
        <v>483.33635017129325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2.6666666666666665</v>
      </c>
      <c r="FE10" s="13">
        <f>IF('Données projet'!$A$218&gt;35,FE9+FD10-FM9,IF(A10&lt;'Données projet'!$A$218,$FB$205^A10,IF(A10='Données projet'!$A$218,'Données projet'!$B$218,FE9+FD10-FM9)))</f>
        <v>5.5927833467405659</v>
      </c>
      <c r="FF10" s="18">
        <f>FE10*VLOOKUP('Données projet'!$B$16,Paramètres!$A$1:$I$89,3,0)*VLOOKUP('Données projet'!$B$16,Paramètres!$A$1:$I$89,5,0)</f>
        <v>4.3623710104576414</v>
      </c>
      <c r="FG10" s="14">
        <f t="shared" si="47"/>
        <v>1.6936004212396314</v>
      </c>
      <c r="FH10" s="22">
        <f t="shared" si="22"/>
        <v>10.54748357687275</v>
      </c>
      <c r="FI10" s="62">
        <f t="shared" si="23"/>
        <v>194.67166451260897</v>
      </c>
      <c r="FJ10" s="62">
        <f ca="1">AVERAGE(OFFSET($FI$3,0,0,'Données projet'!$E$16+1,1))-AVERAGE(OFFSET($H$3,0,0,'Données projet'!$E$16+1,1))</f>
        <v>309.21625451786218</v>
      </c>
      <c r="FK10" s="62">
        <f t="shared" si="48"/>
        <v>302.59481222418219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4.333333333333333</v>
      </c>
      <c r="N11" s="14">
        <f>IF('Données projet'!$A$36&gt;35,N10+M11-V10,IF(A11&lt;'Données projet'!$A$36,$K$205^A11,IF(A11='Données projet'!$A$36,'Données projet'!$B$36,N10+M11-V10)))</f>
        <v>9.2658896452214261</v>
      </c>
      <c r="O11" s="14">
        <f>N11*VLOOKUP('Données projet'!$B$9,Paramètres!$A$1:$I$89,3,0)*VLOOKUP('Données projet'!$B$9,Paramètres!$A$1:$I$89,5,0)</f>
        <v>7.3719418017381662</v>
      </c>
      <c r="P11" s="14">
        <f t="shared" si="33"/>
        <v>2.6924486542908248</v>
      </c>
      <c r="Q11" s="22">
        <f t="shared" si="2"/>
        <v>17.528813377583827</v>
      </c>
      <c r="R11" s="62">
        <f t="shared" si="0"/>
        <v>204.28208624380437</v>
      </c>
      <c r="S11" s="62">
        <f ca="1">AVERAGE(OFFSET($R$3,0,0,'Données projet'!$E$9+1,1))-AVERAGE(OFFSET($H$3,0,0,'Données projet'!$E$9+1,1))</f>
        <v>394.70330963327166</v>
      </c>
      <c r="T11" s="62">
        <f t="shared" si="34"/>
        <v>424.06445894109982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2.6666666666666665</v>
      </c>
      <c r="AI11" s="14">
        <f>IF('Données projet'!$A$62&gt;35,AI10+AH11-AQ10,IF(A11&lt;'Données projet'!$A$62,$AF$205^A11,IF(A11='Données projet'!$A$62,'Données projet'!$B$62,AI10+AH11-AQ10)))</f>
        <v>7.1520739352994367</v>
      </c>
      <c r="AJ11" s="14">
        <f>AI11*VLOOKUP('Données projet'!$B$10,Paramètres!$A$1:$I$89,3,0)*VLOOKUP('Données projet'!$B$10,Paramètres!$A$1:$I$89,5,0)</f>
        <v>5.8017623763149038</v>
      </c>
      <c r="AK11" s="14">
        <f t="shared" si="35"/>
        <v>2.1788815704711619</v>
      </c>
      <c r="AL11" s="22">
        <f t="shared" si="4"/>
        <v>13.899621540652397</v>
      </c>
      <c r="AM11" s="62">
        <f t="shared" si="5"/>
        <v>200.65289440687295</v>
      </c>
      <c r="AN11" s="62">
        <f ca="1">AVERAGE(OFFSET($AM$3,0,0,'Données projet'!$E$10+1,1))-AVERAGE(OFFSET($H$3,0,0,'Données projet'!$E$10+1,1))</f>
        <v>319.39055628111151</v>
      </c>
      <c r="AO11" s="62">
        <f t="shared" si="36"/>
        <v>312.22190035638084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0.6</v>
      </c>
      <c r="BD11" s="13">
        <f>IF('Données projet'!$A$88&gt;35,BD10+BC11-BL10,IF(A11&lt;'Données projet'!$A$88,$BA$205^A11,IF(A11='Données projet'!$A$88,'Données projet'!$B$88,BD10+BC11-BL10)))</f>
        <v>3.227968874176038</v>
      </c>
      <c r="BE11" s="14">
        <f>BD11*VLOOKUP('Données projet'!$B$11,Paramètres!$A$1:$I$89,3,0)*VLOOKUP('Données projet'!$B$11,Paramètres!$A$1:$I$89,5,0)</f>
        <v>2.3667467785458709</v>
      </c>
      <c r="BF11" s="14">
        <f t="shared" si="37"/>
        <v>0.98662607868138441</v>
      </c>
      <c r="BG11" s="22">
        <f t="shared" si="7"/>
        <v>5.8404577263374691</v>
      </c>
      <c r="BH11" s="62">
        <f t="shared" si="8"/>
        <v>192.59373059255802</v>
      </c>
      <c r="BI11" s="62">
        <f ca="1">AVERAGE(OFFSET($BH$3,0,0,'Données projet'!$E$11+1,1))-AVERAGE(OFFSET($H$3,0,0,'Données projet'!$E$11+1,1))</f>
        <v>257.906524944431</v>
      </c>
      <c r="BJ11" s="62">
        <f t="shared" si="38"/>
        <v>274.70390601173563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0.9</v>
      </c>
      <c r="BY11" s="13">
        <f>IF('Données projet'!$A$114&gt;35,BY10+BX11-CG10,IF(A11&lt;'Données projet'!$A$114,$BV$205^A11,IF(A11='Données projet'!$A$114,'Données projet'!$B$114,BY10+BX11-CG10)))</f>
        <v>5.7995461347952899</v>
      </c>
      <c r="BZ11" s="14">
        <f>BY11*VLOOKUP('Données projet'!$B$12,Paramètres!$A$1:$I$89,3,0)*VLOOKUP('Données projet'!$B$12,Paramètres!$A$1:$I$89,5,0)</f>
        <v>4.7045918245459397</v>
      </c>
      <c r="CA11" s="14">
        <f t="shared" si="39"/>
        <v>1.8104746967554695</v>
      </c>
      <c r="CB11" s="22">
        <f t="shared" si="10"/>
        <v>11.347074191266621</v>
      </c>
      <c r="CC11" s="62">
        <f t="shared" si="11"/>
        <v>198.10034705748717</v>
      </c>
      <c r="CD11" s="62">
        <f ca="1">AVERAGE(OFFSET($CC$3,0,0,'Données projet'!$E$12+1,1))-AVERAGE(OFFSET($H$3,0,0,'Données projet'!$E$12+1,1))</f>
        <v>272.69564942740931</v>
      </c>
      <c r="CE11" s="62">
        <f t="shared" si="40"/>
        <v>316.57989180609252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4.615384615384615</v>
      </c>
      <c r="CT11" s="13">
        <f>IF('Données projet'!$A$140&gt;35,CT10+CS11-DB10,IF(A11&lt;'Données projet'!$A$140,$CQ$205^A11,IF(A11='Données projet'!$A$140,'Données projet'!$B$140,CT10+CS11-DB10)))</f>
        <v>9.5828101412345585</v>
      </c>
      <c r="CU11" s="18">
        <f>CT11*VLOOKUP('Données projet'!$B$13,Paramètres!$A$1:$I$89,3,0)*VLOOKUP('Données projet'!$B$13,Paramètres!$A$1:$I$89,5,0)</f>
        <v>9.1190021303988047</v>
      </c>
      <c r="CV11" s="14">
        <f t="shared" si="41"/>
        <v>3.2490883004261524</v>
      </c>
      <c r="CW11" s="22">
        <f t="shared" si="13"/>
        <v>21.541090833686795</v>
      </c>
      <c r="CX11" s="62">
        <f t="shared" si="14"/>
        <v>208.29436369990736</v>
      </c>
      <c r="CY11" s="62">
        <f ca="1">AVERAGE(OFFSET($CX$3,0,0,'Données projet'!$E$13+1,1))-AVERAGE(OFFSET($H$3,0,0,'Données projet'!$E$13+1,1))</f>
        <v>491.87038198656927</v>
      </c>
      <c r="CZ11" s="62">
        <f t="shared" si="42"/>
        <v>406.49261644949559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3.65</v>
      </c>
      <c r="DO11" s="13">
        <f>IF('Données projet'!$A$166&gt;35,DO10+DN11-DW10,IF(A11&lt;'Données projet'!$A$166,$DL$205^A11,IF(A11='Données projet'!$A$166,'Données projet'!$B$166,DO10+DN11-DW10)))</f>
        <v>5.563257268920875</v>
      </c>
      <c r="DP11" s="18">
        <f>DO11*VLOOKUP('Données projet'!$B$14,Paramètres!$A$1:$I$89,3,0)*VLOOKUP('Données projet'!$B$14,Paramètres!$A$1:$I$89,5,0)</f>
        <v>5.3807824305002701</v>
      </c>
      <c r="DQ11" s="14">
        <f t="shared" si="43"/>
        <v>2.0385768519929188</v>
      </c>
      <c r="DR11" s="22">
        <f t="shared" si="16"/>
        <v>12.922050750342303</v>
      </c>
      <c r="DS11" s="62">
        <f t="shared" si="17"/>
        <v>199.67532361656285</v>
      </c>
      <c r="DT11" s="62">
        <f ca="1">AVERAGE(OFFSET($DS$3,0,0,'Données projet'!$E$14+1,1))-AVERAGE(OFFSET($H$3,0,0,'Données projet'!$E$14+1,1))</f>
        <v>603.52431522262032</v>
      </c>
      <c r="DU11" s="62">
        <f t="shared" si="44"/>
        <v>313.56299786481338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6.1333333333333337</v>
      </c>
      <c r="EJ11" s="13">
        <f>IF('Données projet'!$A$192&gt;35,EJ10+EI11-ER10,IF(A11&lt;'Données projet'!$A$192,$EG$205^A11,IF(A11='Données projet'!$A$192,'Données projet'!$B$192,EJ10+EI11-ER10)))</f>
        <v>11.152019186006367</v>
      </c>
      <c r="EK11" s="18">
        <f>EJ11*VLOOKUP('Données projet'!$B$15,Paramètres!$A$1:$I$89,3,0)*VLOOKUP('Données projet'!$B$15,Paramètres!$A$1:$I$89,5,0)</f>
        <v>8.8725464643866658</v>
      </c>
      <c r="EL11" s="14">
        <f t="shared" si="45"/>
        <v>3.1713744804569584</v>
      </c>
      <c r="EM11" s="22">
        <f t="shared" si="19"/>
        <v>20.976495645602643</v>
      </c>
      <c r="EN11" s="62">
        <f t="shared" si="20"/>
        <v>207.72976851182321</v>
      </c>
      <c r="EO11" s="62">
        <f ca="1">AVERAGE(OFFSET($EN$3,0,0,'Données projet'!$E$15+1,1))-AVERAGE(OFFSET($H$3,0,0,'Données projet'!$E$15+1,1))</f>
        <v>450.93388191845378</v>
      </c>
      <c r="EP11" s="62">
        <f t="shared" si="46"/>
        <v>483.33635017129325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2.6666666666666665</v>
      </c>
      <c r="FE11" s="13">
        <f>IF('Données projet'!$A$218&gt;35,FE10+FD11-FM10,IF(A11&lt;'Données projet'!$A$218,$FB$205^A11,IF(A11='Données projet'!$A$218,'Données projet'!$B$218,FE10+FD11-FM10)))</f>
        <v>7.1520739352994367</v>
      </c>
      <c r="FF11" s="18">
        <f>FE11*VLOOKUP('Données projet'!$B$16,Paramètres!$A$1:$I$89,3,0)*VLOOKUP('Données projet'!$B$16,Paramètres!$A$1:$I$89,5,0)</f>
        <v>5.5786176695335605</v>
      </c>
      <c r="FG11" s="14">
        <f t="shared" si="47"/>
        <v>2.1046649418345189</v>
      </c>
      <c r="FH11" s="22">
        <f t="shared" si="22"/>
        <v>13.381717214799407</v>
      </c>
      <c r="FI11" s="62">
        <f t="shared" si="23"/>
        <v>200.13499008101996</v>
      </c>
      <c r="FJ11" s="62">
        <f ca="1">AVERAGE(OFFSET($FI$3,0,0,'Données projet'!$E$16+1,1))-AVERAGE(OFFSET($H$3,0,0,'Données projet'!$E$16+1,1))</f>
        <v>309.21625451786218</v>
      </c>
      <c r="FK11" s="62">
        <f t="shared" si="48"/>
        <v>302.59481222418219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4.333333333333333</v>
      </c>
      <c r="N12" s="14">
        <f>IF('Données projet'!$A$36&gt;35,N11+M12-V11,IF(A12&lt;'Données projet'!$A$36,$K$205^A12,IF(A12='Données projet'!$A$36,'Données projet'!$B$36,N11+M12-V11)))</f>
        <v>12.23905859480781</v>
      </c>
      <c r="O12" s="14">
        <f>N12*VLOOKUP('Données projet'!$B$9,Paramètres!$A$1:$I$89,3,0)*VLOOKUP('Données projet'!$B$9,Paramètres!$A$1:$I$89,5,0)</f>
        <v>9.737395018029094</v>
      </c>
      <c r="P12" s="14">
        <f t="shared" si="33"/>
        <v>3.4430244972188757</v>
      </c>
      <c r="Q12" s="22">
        <f t="shared" si="2"/>
        <v>22.955897322390214</v>
      </c>
      <c r="R12" s="62">
        <f t="shared" si="0"/>
        <v>212.31385607494627</v>
      </c>
      <c r="S12" s="62">
        <f ca="1">AVERAGE(OFFSET($R$3,0,0,'Données projet'!$E$9+1,1))-AVERAGE(OFFSET($H$3,0,0,'Données projet'!$E$9+1,1))</f>
        <v>394.70330963327166</v>
      </c>
      <c r="T12" s="62">
        <f t="shared" si="34"/>
        <v>424.06445894109982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2.6666666666666665</v>
      </c>
      <c r="AI12" s="14">
        <f>IF('Données projet'!$A$62&gt;35,AI11+AH12-AQ11,IF(A12&lt;'Données projet'!$A$62,$AF$205^A12,IF(A12='Données projet'!$A$62,'Données projet'!$B$62,AI11+AH12-AQ11)))</f>
        <v>9.1461010385465205</v>
      </c>
      <c r="AJ12" s="14">
        <f>AI12*VLOOKUP('Données projet'!$B$10,Paramètres!$A$1:$I$89,3,0)*VLOOKUP('Données projet'!$B$10,Paramètres!$A$1:$I$89,5,0)</f>
        <v>7.4193171624689374</v>
      </c>
      <c r="AK12" s="14">
        <f t="shared" si="35"/>
        <v>2.7077317626216724</v>
      </c>
      <c r="AL12" s="22">
        <f t="shared" si="4"/>
        <v>17.637943544532806</v>
      </c>
      <c r="AM12" s="62">
        <f t="shared" si="5"/>
        <v>206.99590229708889</v>
      </c>
      <c r="AN12" s="62">
        <f ca="1">AVERAGE(OFFSET($AM$3,0,0,'Données projet'!$E$10+1,1))-AVERAGE(OFFSET($H$3,0,0,'Données projet'!$E$10+1,1))</f>
        <v>319.39055628111151</v>
      </c>
      <c r="AO12" s="62">
        <f t="shared" si="36"/>
        <v>312.22190035638084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0.6</v>
      </c>
      <c r="BD12" s="13">
        <f>IF('Données projet'!$A$88&gt;35,BD11+BC12-BL11,IF(A12&lt;'Données projet'!$A$88,$BA$205^A12,IF(A12='Données projet'!$A$88,'Données projet'!$B$88,BD11+BC12-BL11)))</f>
        <v>3.7371928188465526</v>
      </c>
      <c r="BE12" s="14">
        <f>BD12*VLOOKUP('Données projet'!$B$11,Paramètres!$A$1:$I$89,3,0)*VLOOKUP('Données projet'!$B$11,Paramètres!$A$1:$I$89,5,0)</f>
        <v>2.7401097747782925</v>
      </c>
      <c r="BF12" s="14">
        <f t="shared" si="37"/>
        <v>1.1229588342279577</v>
      </c>
      <c r="BG12" s="22">
        <f t="shared" si="7"/>
        <v>6.7281778273525523</v>
      </c>
      <c r="BH12" s="62">
        <f t="shared" si="8"/>
        <v>196.08613657990861</v>
      </c>
      <c r="BI12" s="62">
        <f ca="1">AVERAGE(OFFSET($BH$3,0,0,'Données projet'!$E$11+1,1))-AVERAGE(OFFSET($H$3,0,0,'Données projet'!$E$11+1,1))</f>
        <v>257.906524944431</v>
      </c>
      <c r="BJ12" s="62">
        <f t="shared" si="38"/>
        <v>274.70390601173563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0.9</v>
      </c>
      <c r="BY12" s="13">
        <f>IF('Données projet'!$A$114&gt;35,BY11+BX12-CG11,IF(A12&lt;'Données projet'!$A$114,$BV$205^A12,IF(A12='Données projet'!$A$114,'Données projet'!$B$114,BY11+BX12-CG11)))</f>
        <v>7.2246740558420788</v>
      </c>
      <c r="BZ12" s="14">
        <f>BY12*VLOOKUP('Données projet'!$B$12,Paramètres!$A$1:$I$89,3,0)*VLOOKUP('Données projet'!$B$12,Paramètres!$A$1:$I$89,5,0)</f>
        <v>5.8606555940990948</v>
      </c>
      <c r="CA12" s="14">
        <f t="shared" si="39"/>
        <v>2.1984132231982314</v>
      </c>
      <c r="CB12" s="22">
        <f t="shared" si="10"/>
        <v>14.036211523459508</v>
      </c>
      <c r="CC12" s="62">
        <f t="shared" si="11"/>
        <v>203.39417027601559</v>
      </c>
      <c r="CD12" s="62">
        <f ca="1">AVERAGE(OFFSET($CC$3,0,0,'Données projet'!$E$12+1,1))-AVERAGE(OFFSET($H$3,0,0,'Données projet'!$E$12+1,1))</f>
        <v>272.69564942740931</v>
      </c>
      <c r="CE12" s="62">
        <f t="shared" si="40"/>
        <v>316.57989180609252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4.615384615384615</v>
      </c>
      <c r="CT12" s="13">
        <f>IF('Données projet'!$A$140&gt;35,CT11+CS12-DB11,IF(A12&lt;'Données projet'!$A$140,$CQ$205^A12,IF(A12='Données projet'!$A$140,'Données projet'!$B$140,CT11+CS12-DB11)))</f>
        <v>12.71099343102213</v>
      </c>
      <c r="CU12" s="18">
        <f>CT12*VLOOKUP('Données projet'!$B$13,Paramètres!$A$1:$I$89,3,0)*VLOOKUP('Données projet'!$B$13,Paramètres!$A$1:$I$89,5,0)</f>
        <v>12.095781348960658</v>
      </c>
      <c r="CV12" s="14">
        <f t="shared" si="41"/>
        <v>4.1703010109403191</v>
      </c>
      <c r="CW12" s="22">
        <f t="shared" si="13"/>
        <v>28.330093443494203</v>
      </c>
      <c r="CX12" s="62">
        <f t="shared" si="14"/>
        <v>217.68805219605028</v>
      </c>
      <c r="CY12" s="62">
        <f ca="1">AVERAGE(OFFSET($CX$3,0,0,'Données projet'!$E$13+1,1))-AVERAGE(OFFSET($H$3,0,0,'Données projet'!$E$13+1,1))</f>
        <v>491.87038198656927</v>
      </c>
      <c r="CZ12" s="62">
        <f t="shared" si="42"/>
        <v>406.49261644949559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3.65</v>
      </c>
      <c r="DO12" s="13">
        <f>IF('Données projet'!$A$166&gt;35,DO11+DN12-DW11,IF(A12&lt;'Données projet'!$A$166,$DL$205^A12,IF(A12='Données projet'!$A$166,'Données projet'!$B$166,DO11+DN12-DW11)))</f>
        <v>6.8943811137639424</v>
      </c>
      <c r="DP12" s="18">
        <f>DO12*VLOOKUP('Données projet'!$B$14,Paramètres!$A$1:$I$89,3,0)*VLOOKUP('Données projet'!$B$14,Paramètres!$A$1:$I$89,5,0)</f>
        <v>6.6682454132324853</v>
      </c>
      <c r="DQ12" s="14">
        <f t="shared" si="43"/>
        <v>2.4640453263659414</v>
      </c>
      <c r="DR12" s="22">
        <f t="shared" si="16"/>
        <v>15.905406371467258</v>
      </c>
      <c r="DS12" s="62">
        <f t="shared" si="17"/>
        <v>205.26336512402332</v>
      </c>
      <c r="DT12" s="62">
        <f ca="1">AVERAGE(OFFSET($DS$3,0,0,'Données projet'!$E$14+1,1))-AVERAGE(OFFSET($H$3,0,0,'Données projet'!$E$14+1,1))</f>
        <v>603.52431522262032</v>
      </c>
      <c r="DU12" s="62">
        <f t="shared" si="44"/>
        <v>313.56299786481338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6.1333333333333337</v>
      </c>
      <c r="EJ12" s="13">
        <f>IF('Données projet'!$A$192&gt;35,EJ11+EI12-ER11,IF(A12&lt;'Données projet'!$A$192,$EG$205^A12,IF(A12='Données projet'!$A$192,'Données projet'!$B$192,EJ11+EI12-ER11)))</f>
        <v>15.075533718961566</v>
      </c>
      <c r="EK12" s="18">
        <f>EJ12*VLOOKUP('Données projet'!$B$15,Paramètres!$A$1:$I$89,3,0)*VLOOKUP('Données projet'!$B$15,Paramètres!$A$1:$I$89,5,0)</f>
        <v>11.994094626805822</v>
      </c>
      <c r="EL12" s="14">
        <f t="shared" si="45"/>
        <v>4.1393078025689967</v>
      </c>
      <c r="EM12" s="22">
        <f t="shared" si="19"/>
        <v>28.099009231161144</v>
      </c>
      <c r="EN12" s="62">
        <f t="shared" si="20"/>
        <v>217.45696798371722</v>
      </c>
      <c r="EO12" s="62">
        <f ca="1">AVERAGE(OFFSET($EN$3,0,0,'Données projet'!$E$15+1,1))-AVERAGE(OFFSET($H$3,0,0,'Données projet'!$E$15+1,1))</f>
        <v>450.93388191845378</v>
      </c>
      <c r="EP12" s="62">
        <f t="shared" si="46"/>
        <v>483.33635017129325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2.6666666666666665</v>
      </c>
      <c r="FE12" s="13">
        <f>IF('Données projet'!$A$218&gt;35,FE11+FD12-FM11,IF(A12&lt;'Données projet'!$A$218,$FB$205^A12,IF(A12='Données projet'!$A$218,'Données projet'!$B$218,FE11+FD12-FM11)))</f>
        <v>9.1461010385465205</v>
      </c>
      <c r="FF12" s="18">
        <f>FE12*VLOOKUP('Données projet'!$B$16,Paramètres!$A$1:$I$89,3,0)*VLOOKUP('Données projet'!$B$16,Paramètres!$A$1:$I$89,5,0)</f>
        <v>7.1339588100662858</v>
      </c>
      <c r="FG12" s="14">
        <f t="shared" si="47"/>
        <v>2.6155015444227643</v>
      </c>
      <c r="FH12" s="22">
        <f t="shared" si="22"/>
        <v>16.980310117401761</v>
      </c>
      <c r="FI12" s="62">
        <f t="shared" si="23"/>
        <v>206.33826886995783</v>
      </c>
      <c r="FJ12" s="62">
        <f ca="1">AVERAGE(OFFSET($FI$3,0,0,'Données projet'!$E$16+1,1))-AVERAGE(OFFSET($H$3,0,0,'Données projet'!$E$16+1,1))</f>
        <v>309.21625451786218</v>
      </c>
      <c r="FK12" s="62">
        <f t="shared" si="48"/>
        <v>302.59481222418219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4.333333333333333</v>
      </c>
      <c r="N13" s="14">
        <f>IF('Données projet'!$A$36&gt;35,N12+M13-V12,IF(A13&lt;'Données projet'!$A$36,$K$205^A13,IF(A13='Données projet'!$A$36,'Données projet'!$B$36,N12+M13-V12)))</f>
        <v>16.166235625781542</v>
      </c>
      <c r="O13" s="14">
        <f>N13*VLOOKUP('Données projet'!$B$9,Paramètres!$A$1:$I$89,3,0)*VLOOKUP('Données projet'!$B$9,Paramètres!$A$1:$I$89,5,0)</f>
        <v>12.861857063871796</v>
      </c>
      <c r="P13" s="14">
        <f t="shared" si="33"/>
        <v>4.4028389063455258</v>
      </c>
      <c r="Q13" s="22">
        <f t="shared" si="2"/>
        <v>30.069345481461834</v>
      </c>
      <c r="R13" s="62">
        <f t="shared" si="0"/>
        <v>222.00800746650671</v>
      </c>
      <c r="S13" s="62">
        <f ca="1">AVERAGE(OFFSET($R$3,0,0,'Données projet'!$E$9+1,1))-AVERAGE(OFFSET($H$3,0,0,'Données projet'!$E$9+1,1))</f>
        <v>394.70330963327166</v>
      </c>
      <c r="T13" s="62">
        <f t="shared" si="34"/>
        <v>424.06445894109982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2.6666666666666665</v>
      </c>
      <c r="AI13" s="14">
        <f>IF('Données projet'!$A$62&gt;35,AI12+AH13-AQ12,IF(A13&lt;'Données projet'!$A$62,$AF$205^A13,IF(A13='Données projet'!$A$62,'Données projet'!$B$62,AI12+AH13-AQ12)))</f>
        <v>11.696070952851455</v>
      </c>
      <c r="AJ13" s="14">
        <f>AI13*VLOOKUP('Données projet'!$B$10,Paramètres!$A$1:$I$89,3,0)*VLOOKUP('Données projet'!$B$10,Paramètres!$A$1:$I$89,5,0)</f>
        <v>9.4878527569531013</v>
      </c>
      <c r="AK13" s="14">
        <f t="shared" si="35"/>
        <v>3.3649425456037227</v>
      </c>
      <c r="AL13" s="22">
        <f t="shared" si="4"/>
        <v>22.385285151953138</v>
      </c>
      <c r="AM13" s="62">
        <f t="shared" si="5"/>
        <v>214.32394713699802</v>
      </c>
      <c r="AN13" s="62">
        <f ca="1">AVERAGE(OFFSET($AM$3,0,0,'Données projet'!$E$10+1,1))-AVERAGE(OFFSET($H$3,0,0,'Données projet'!$E$10+1,1))</f>
        <v>319.39055628111151</v>
      </c>
      <c r="AO13" s="62">
        <f t="shared" si="36"/>
        <v>312.22190035638084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0.6</v>
      </c>
      <c r="BD13" s="13">
        <f>IF('Données projet'!$A$88&gt;35,BD12+BC13-BL12,IF(A13&lt;'Données projet'!$A$88,$BA$205^A13,IF(A13='Données projet'!$A$88,'Données projet'!$B$88,BD12+BC13-BL12)))</f>
        <v>4.3267487109222253</v>
      </c>
      <c r="BE13" s="14">
        <f>BD13*VLOOKUP('Données projet'!$B$11,Paramètres!$A$1:$I$89,3,0)*VLOOKUP('Données projet'!$B$11,Paramètres!$A$1:$I$89,5,0)</f>
        <v>3.1723721548481754</v>
      </c>
      <c r="BF13" s="14">
        <f t="shared" si="37"/>
        <v>1.2781301555052913</v>
      </c>
      <c r="BG13" s="22">
        <f t="shared" si="7"/>
        <v>7.7512915238656204</v>
      </c>
      <c r="BH13" s="62">
        <f t="shared" si="8"/>
        <v>199.68995350891052</v>
      </c>
      <c r="BI13" s="62">
        <f ca="1">AVERAGE(OFFSET($BH$3,0,0,'Données projet'!$E$11+1,1))-AVERAGE(OFFSET($H$3,0,0,'Données projet'!$E$11+1,1))</f>
        <v>257.906524944431</v>
      </c>
      <c r="BJ13" s="62">
        <f t="shared" si="38"/>
        <v>274.70390601173563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9</v>
      </c>
      <c r="BW13" s="13">
        <f>VLOOKUP(A13,'Données projet'!$A$113:$I$133,9,0)</f>
        <v>0.9</v>
      </c>
      <c r="BX13" s="13">
        <f t="array" ref="BX13">INDEX(BW:BW,MIN(IF(ISNUMBER(BW13:BW209),ROW(BW13:BW209),"")))</f>
        <v>0.9</v>
      </c>
      <c r="BY13" s="13">
        <f>IF('Données projet'!$A$114&gt;35,BY12+BX13-CG12,IF(A13&lt;'Données projet'!$A$114,$BV$205^A13,IF(A13='Données projet'!$A$114,'Données projet'!$B$114,BY12+BX13-CG12)))</f>
        <v>9</v>
      </c>
      <c r="BZ13" s="14">
        <f>BY13*VLOOKUP('Données projet'!$B$12,Paramètres!$A$1:$I$89,3,0)*VLOOKUP('Données projet'!$B$12,Paramètres!$A$1:$I$89,5,0)</f>
        <v>7.3007999999999997</v>
      </c>
      <c r="CA13" s="14">
        <f t="shared" si="39"/>
        <v>2.6694770761469542</v>
      </c>
      <c r="CB13" s="22">
        <f t="shared" si="10"/>
        <v>17.364899240955943</v>
      </c>
      <c r="CC13" s="62">
        <f t="shared" si="11"/>
        <v>209.30356122600082</v>
      </c>
      <c r="CD13" s="62">
        <f ca="1">AVERAGE(OFFSET($CC$3,0,0,'Données projet'!$E$12+1,1))-AVERAGE(OFFSET($H$3,0,0,'Données projet'!$E$12+1,1))</f>
        <v>272.69564942740931</v>
      </c>
      <c r="CE13" s="62">
        <f t="shared" si="40"/>
        <v>316.57989180609252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4.615384615384615</v>
      </c>
      <c r="CT13" s="13">
        <f>IF('Données projet'!$A$140&gt;35,CT12+CS13-DB12,IF(A13&lt;'Données projet'!$A$140,$CQ$205^A13,IF(A13='Données projet'!$A$140,'Données projet'!$B$140,CT12+CS13-DB12)))</f>
        <v>16.860331324760306</v>
      </c>
      <c r="CU13" s="18">
        <f>CT13*VLOOKUP('Données projet'!$B$13,Paramètres!$A$1:$I$89,3,0)*VLOOKUP('Données projet'!$B$13,Paramètres!$A$1:$I$89,5,0)</f>
        <v>16.044291288641908</v>
      </c>
      <c r="CV13" s="14">
        <f t="shared" si="41"/>
        <v>5.3527047940090728</v>
      </c>
      <c r="CW13" s="22">
        <f t="shared" si="13"/>
        <v>37.266434843950456</v>
      </c>
      <c r="CX13" s="62">
        <f t="shared" si="14"/>
        <v>229.20509682899535</v>
      </c>
      <c r="CY13" s="62">
        <f ca="1">AVERAGE(OFFSET($CX$3,0,0,'Données projet'!$E$13+1,1))-AVERAGE(OFFSET($H$3,0,0,'Données projet'!$E$13+1,1))</f>
        <v>491.87038198656927</v>
      </c>
      <c r="CZ13" s="62">
        <f t="shared" si="42"/>
        <v>406.49261644949559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3.65</v>
      </c>
      <c r="DO13" s="13">
        <f>IF('Données projet'!$A$166&gt;35,DO12+DN13-DW12,IF(A13&lt;'Données projet'!$A$166,$DL$205^A13,IF(A13='Données projet'!$A$166,'Données projet'!$B$166,DO12+DN13-DW12)))</f>
        <v>8.5440037453175322</v>
      </c>
      <c r="DP13" s="18">
        <f>DO13*VLOOKUP('Données projet'!$B$14,Paramètres!$A$1:$I$89,3,0)*VLOOKUP('Données projet'!$B$14,Paramètres!$A$1:$I$89,5,0)</f>
        <v>8.2637604224711172</v>
      </c>
      <c r="DQ13" s="14">
        <f t="shared" si="43"/>
        <v>2.9783127206856603</v>
      </c>
      <c r="DR13" s="22">
        <f t="shared" si="16"/>
        <v>19.579944057664719</v>
      </c>
      <c r="DS13" s="62">
        <f t="shared" si="17"/>
        <v>211.51860604270962</v>
      </c>
      <c r="DT13" s="62">
        <f ca="1">AVERAGE(OFFSET($DS$3,0,0,'Données projet'!$E$14+1,1))-AVERAGE(OFFSET($H$3,0,0,'Données projet'!$E$14+1,1))</f>
        <v>603.52431522262032</v>
      </c>
      <c r="DU13" s="62">
        <f t="shared" si="44"/>
        <v>313.56299786481338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6.1333333333333337</v>
      </c>
      <c r="EJ13" s="13">
        <f>IF('Données projet'!$A$192&gt;35,EJ12+EI13-ER12,IF(A13&lt;'Données projet'!$A$192,$EG$205^A13,IF(A13='Données projet'!$A$192,'Données projet'!$B$192,EJ12+EI13-ER12)))</f>
        <v>20.379423055219391</v>
      </c>
      <c r="EK13" s="18">
        <f>EJ13*VLOOKUP('Données projet'!$B$15,Paramètres!$A$1:$I$89,3,0)*VLOOKUP('Données projet'!$B$15,Paramètres!$A$1:$I$89,5,0)</f>
        <v>16.213868982732549</v>
      </c>
      <c r="EL13" s="14">
        <f t="shared" si="45"/>
        <v>5.4026634791927108</v>
      </c>
      <c r="EM13" s="22">
        <f t="shared" si="19"/>
        <v>37.648794037853158</v>
      </c>
      <c r="EN13" s="62">
        <f t="shared" si="20"/>
        <v>229.58745602289804</v>
      </c>
      <c r="EO13" s="62">
        <f ca="1">AVERAGE(OFFSET($EN$3,0,0,'Données projet'!$E$15+1,1))-AVERAGE(OFFSET($H$3,0,0,'Données projet'!$E$15+1,1))</f>
        <v>450.93388191845378</v>
      </c>
      <c r="EP13" s="62">
        <f t="shared" si="46"/>
        <v>483.33635017129325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2.6666666666666665</v>
      </c>
      <c r="FE13" s="13">
        <f>IF('Données projet'!$A$218&gt;35,FE12+FD13-FM12,IF(A13&lt;'Données projet'!$A$218,$FB$205^A13,IF(A13='Données projet'!$A$218,'Données projet'!$B$218,FE12+FD13-FM12)))</f>
        <v>11.696070952851455</v>
      </c>
      <c r="FF13" s="18">
        <f>FE13*VLOOKUP('Données projet'!$B$16,Paramètres!$A$1:$I$89,3,0)*VLOOKUP('Données projet'!$B$16,Paramètres!$A$1:$I$89,5,0)</f>
        <v>9.1229353432241354</v>
      </c>
      <c r="FG13" s="14">
        <f t="shared" si="47"/>
        <v>3.2503265450485803</v>
      </c>
      <c r="FH13" s="22">
        <f t="shared" si="22"/>
        <v>21.550097788741649</v>
      </c>
      <c r="FI13" s="62">
        <f t="shared" si="23"/>
        <v>213.48875977378654</v>
      </c>
      <c r="FJ13" s="62">
        <f ca="1">AVERAGE(OFFSET($FI$3,0,0,'Données projet'!$E$16+1,1))-AVERAGE(OFFSET($H$3,0,0,'Données projet'!$E$16+1,1))</f>
        <v>309.21625451786218</v>
      </c>
      <c r="FK13" s="62">
        <f t="shared" si="48"/>
        <v>302.59481222418219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4.333333333333333</v>
      </c>
      <c r="N14" s="14">
        <f>IF('Données projet'!$A$36&gt;35,N13+M14-V13,IF(A14&lt;'Données projet'!$A$36,$K$205^A14,IF(A14='Données projet'!$A$36,'Données projet'!$B$36,N13+M14-V13)))</f>
        <v>21.353535673010011</v>
      </c>
      <c r="O14" s="14">
        <f>N14*VLOOKUP('Données projet'!$B$9,Paramètres!$A$1:$I$89,3,0)*VLOOKUP('Données projet'!$B$9,Paramètres!$A$1:$I$89,5,0)</f>
        <v>16.988872981446764</v>
      </c>
      <c r="P14" s="14">
        <f t="shared" si="33"/>
        <v>5.6302214668783828</v>
      </c>
      <c r="Q14" s="22">
        <f t="shared" si="2"/>
        <v>39.394922830832961</v>
      </c>
      <c r="R14" s="62">
        <f t="shared" si="0"/>
        <v>233.8907214399471</v>
      </c>
      <c r="S14" s="62">
        <f ca="1">AVERAGE(OFFSET($R$3,0,0,'Données projet'!$E$9+1,1))-AVERAGE(OFFSET($H$3,0,0,'Données projet'!$E$9+1,1))</f>
        <v>394.70330963327166</v>
      </c>
      <c r="T14" s="62">
        <f t="shared" si="34"/>
        <v>424.06445894109982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2.6666666666666665</v>
      </c>
      <c r="AI14" s="14">
        <f>IF('Données projet'!$A$62&gt;35,AI13+AH14-AQ13,IF(A14&lt;'Données projet'!$A$62,$AF$205^A14,IF(A14='Données projet'!$A$62,'Données projet'!$B$62,AI13+AH14-AQ13)))</f>
        <v>14.956982779612416</v>
      </c>
      <c r="AJ14" s="14">
        <f>AI14*VLOOKUP('Données projet'!$B$10,Paramètres!$A$1:$I$89,3,0)*VLOOKUP('Données projet'!$B$10,Paramètres!$A$1:$I$89,5,0)</f>
        <v>12.133104430821591</v>
      </c>
      <c r="AK14" s="14">
        <f t="shared" si="35"/>
        <v>4.1816691341135996</v>
      </c>
      <c r="AL14" s="22">
        <f t="shared" si="4"/>
        <v>28.414897292262125</v>
      </c>
      <c r="AM14" s="62">
        <f t="shared" si="5"/>
        <v>222.91069590137624</v>
      </c>
      <c r="AN14" s="62">
        <f ca="1">AVERAGE(OFFSET($AM$3,0,0,'Données projet'!$E$10+1,1))-AVERAGE(OFFSET($H$3,0,0,'Données projet'!$E$10+1,1))</f>
        <v>319.39055628111151</v>
      </c>
      <c r="AO14" s="62">
        <f t="shared" si="36"/>
        <v>312.22190035638084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0.6</v>
      </c>
      <c r="BD14" s="13">
        <f>IF('Données projet'!$A$88&gt;35,BD13+BC14-BL13,IF(A14&lt;'Données projet'!$A$88,$BA$205^A14,IF(A14='Données projet'!$A$88,'Données projet'!$B$88,BD13+BC14-BL13)))</f>
        <v>5.0093092101266317</v>
      </c>
      <c r="BE14" s="14">
        <f>BD14*VLOOKUP('Données projet'!$B$11,Paramètres!$A$1:$I$89,3,0)*VLOOKUP('Données projet'!$B$11,Paramètres!$A$1:$I$89,5,0)</f>
        <v>3.6728255128648462</v>
      </c>
      <c r="BF14" s="14">
        <f t="shared" si="37"/>
        <v>1.4547431701137148</v>
      </c>
      <c r="BG14" s="22">
        <f t="shared" si="7"/>
        <v>8.9305154561876599</v>
      </c>
      <c r="BH14" s="62">
        <f t="shared" si="8"/>
        <v>203.4263140653018</v>
      </c>
      <c r="BI14" s="62">
        <f ca="1">AVERAGE(OFFSET($BH$3,0,0,'Données projet'!$E$11+1,1))-AVERAGE(OFFSET($H$3,0,0,'Données projet'!$E$11+1,1))</f>
        <v>257.906524944431</v>
      </c>
      <c r="BJ14" s="62">
        <f t="shared" si="38"/>
        <v>274.70390601173563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8</v>
      </c>
      <c r="BY14" s="13">
        <f>IF('Données projet'!$A$114&gt;35,BY13+BX14-CG13,IF(A14&lt;'Données projet'!$A$114,$BV$205^A14,IF(A14='Données projet'!$A$114,'Données projet'!$B$114,BY13+BX14-CG13)))</f>
        <v>17</v>
      </c>
      <c r="BZ14" s="14">
        <f>BY14*VLOOKUP('Données projet'!$B$12,Paramètres!$A$1:$I$89,3,0)*VLOOKUP('Données projet'!$B$12,Paramètres!$A$1:$I$89,5,0)</f>
        <v>13.7904</v>
      </c>
      <c r="CA14" s="14">
        <f t="shared" si="39"/>
        <v>4.6825473896592289</v>
      </c>
      <c r="CB14" s="22">
        <f t="shared" si="10"/>
        <v>32.173716703656488</v>
      </c>
      <c r="CC14" s="62">
        <f t="shared" si="11"/>
        <v>226.66951531277061</v>
      </c>
      <c r="CD14" s="62">
        <f ca="1">AVERAGE(OFFSET($CC$3,0,0,'Données projet'!$E$12+1,1))-AVERAGE(OFFSET($H$3,0,0,'Données projet'!$E$12+1,1))</f>
        <v>272.69564942740931</v>
      </c>
      <c r="CE14" s="62">
        <f t="shared" si="40"/>
        <v>316.57989180609252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4.615384615384615</v>
      </c>
      <c r="CT14" s="13">
        <f>IF('Données projet'!$A$140&gt;35,CT13+CS14-DB13,IF(A14&lt;'Données projet'!$A$140,$CQ$205^A14,IF(A14='Données projet'!$A$140,'Données projet'!$B$140,CT13+CS14-DB13)))</f>
        <v>22.364166414161581</v>
      </c>
      <c r="CU14" s="18">
        <f>CT14*VLOOKUP('Données projet'!$B$13,Paramètres!$A$1:$I$89,3,0)*VLOOKUP('Données projet'!$B$13,Paramètres!$A$1:$I$89,5,0)</f>
        <v>21.281740759716158</v>
      </c>
      <c r="CV14" s="14">
        <f t="shared" si="41"/>
        <v>6.8703550503054363</v>
      </c>
      <c r="CW14" s="22">
        <f t="shared" si="13"/>
        <v>49.03156686912093</v>
      </c>
      <c r="CX14" s="62">
        <f t="shared" si="14"/>
        <v>243.52736547823505</v>
      </c>
      <c r="CY14" s="62">
        <f ca="1">AVERAGE(OFFSET($CX$3,0,0,'Données projet'!$E$13+1,1))-AVERAGE(OFFSET($H$3,0,0,'Données projet'!$E$13+1,1))</f>
        <v>491.87038198656927</v>
      </c>
      <c r="CZ14" s="62">
        <f t="shared" si="42"/>
        <v>406.49261644949559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3.65</v>
      </c>
      <c r="DO14" s="13">
        <f>IF('Données projet'!$A$166&gt;35,DO13+DN14-DW13,IF(A14&lt;'Données projet'!$A$166,$DL$205^A14,IF(A14='Données projet'!$A$166,'Données projet'!$B$166,DO13+DN14-DW13)))</f>
        <v>10.588332555950936</v>
      </c>
      <c r="DP14" s="18">
        <f>DO14*VLOOKUP('Données projet'!$B$14,Paramètres!$A$1:$I$89,3,0)*VLOOKUP('Données projet'!$B$14,Paramètres!$A$1:$I$89,5,0)</f>
        <v>10.241035248115747</v>
      </c>
      <c r="DQ14" s="14">
        <f t="shared" si="43"/>
        <v>3.5999121311945652</v>
      </c>
      <c r="DR14" s="22">
        <f t="shared" si="16"/>
        <v>24.106316685632123</v>
      </c>
      <c r="DS14" s="62">
        <f t="shared" si="17"/>
        <v>218.60211529474626</v>
      </c>
      <c r="DT14" s="62">
        <f ca="1">AVERAGE(OFFSET($DS$3,0,0,'Données projet'!$E$14+1,1))-AVERAGE(OFFSET($H$3,0,0,'Données projet'!$E$14+1,1))</f>
        <v>603.52431522262032</v>
      </c>
      <c r="DU14" s="62">
        <f t="shared" si="44"/>
        <v>313.56299786481338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6.1333333333333337</v>
      </c>
      <c r="EJ14" s="13">
        <f>IF('Données projet'!$A$192&gt;35,EJ13+EI14-ER13,IF(A14&lt;'Données projet'!$A$192,$EG$205^A14,IF(A14='Données projet'!$A$192,'Données projet'!$B$192,EJ13+EI14-ER13)))</f>
        <v>27.549332037328085</v>
      </c>
      <c r="EK14" s="18">
        <f>EJ14*VLOOKUP('Données projet'!$B$15,Paramètres!$A$1:$I$89,3,0)*VLOOKUP('Données projet'!$B$15,Paramètres!$A$1:$I$89,5,0)</f>
        <v>21.918248568898225</v>
      </c>
      <c r="EL14" s="14">
        <f t="shared" si="45"/>
        <v>7.0516071917355676</v>
      </c>
      <c r="EM14" s="22">
        <f t="shared" si="19"/>
        <v>50.455832116437186</v>
      </c>
      <c r="EN14" s="62">
        <f t="shared" si="20"/>
        <v>244.95163072555133</v>
      </c>
      <c r="EO14" s="62">
        <f ca="1">AVERAGE(OFFSET($EN$3,0,0,'Données projet'!$E$15+1,1))-AVERAGE(OFFSET($H$3,0,0,'Données projet'!$E$15+1,1))</f>
        <v>450.93388191845378</v>
      </c>
      <c r="EP14" s="62">
        <f t="shared" si="46"/>
        <v>483.33635017129325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2.6666666666666665</v>
      </c>
      <c r="FE14" s="13">
        <f>IF('Données projet'!$A$218&gt;35,FE13+FD14-FM13,IF(A14&lt;'Données projet'!$A$218,$FB$205^A14,IF(A14='Données projet'!$A$218,'Données projet'!$B$218,FE13+FD14-FM13)))</f>
        <v>14.956982779612416</v>
      </c>
      <c r="FF14" s="18">
        <f>FE14*VLOOKUP('Données projet'!$B$16,Paramètres!$A$1:$I$89,3,0)*VLOOKUP('Données projet'!$B$16,Paramètres!$A$1:$I$89,5,0)</f>
        <v>11.666446568097685</v>
      </c>
      <c r="FG14" s="14">
        <f t="shared" si="47"/>
        <v>4.0392339557111736</v>
      </c>
      <c r="FH14" s="22">
        <f t="shared" si="22"/>
        <v>27.354060245633761</v>
      </c>
      <c r="FI14" s="62">
        <f t="shared" si="23"/>
        <v>221.84985885474788</v>
      </c>
      <c r="FJ14" s="62">
        <f ca="1">AVERAGE(OFFSET($FI$3,0,0,'Données projet'!$E$16+1,1))-AVERAGE(OFFSET($H$3,0,0,'Données projet'!$E$16+1,1))</f>
        <v>309.21625451786218</v>
      </c>
      <c r="FK14" s="62">
        <f t="shared" si="48"/>
        <v>302.59481222418219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4.333333333333333</v>
      </c>
      <c r="N15" s="14">
        <f>IF('Données projet'!$A$36&gt;35,N14+M15-V14,IF(A15&lt;'Données projet'!$A$36,$K$205^A15,IF(A15='Données projet'!$A$36,'Données projet'!$B$36,N14+M15-V14)))</f>
        <v>28.205297528345746</v>
      </c>
      <c r="O15" s="14">
        <f>N15*VLOOKUP('Données projet'!$B$9,Paramètres!$A$1:$I$89,3,0)*VLOOKUP('Données projet'!$B$9,Paramètres!$A$1:$I$89,5,0)</f>
        <v>22.440134713551878</v>
      </c>
      <c r="P15" s="14">
        <f t="shared" si="33"/>
        <v>7.1997623443392129</v>
      </c>
      <c r="Q15" s="22">
        <f t="shared" si="2"/>
        <v>51.622820709160315</v>
      </c>
      <c r="R15" s="62">
        <f t="shared" si="0"/>
        <v>248.6525981618932</v>
      </c>
      <c r="S15" s="62">
        <f ca="1">AVERAGE(OFFSET($R$3,0,0,'Données projet'!$E$9+1,1))-AVERAGE(OFFSET($H$3,0,0,'Données projet'!$E$9+1,1))</f>
        <v>394.70330963327166</v>
      </c>
      <c r="T15" s="62">
        <f t="shared" si="34"/>
        <v>424.06445894109982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2.6666666666666665</v>
      </c>
      <c r="AI15" s="14">
        <f>IF('Données projet'!$A$62&gt;35,AI14+AH15-AQ14,IF(A15&lt;'Données projet'!$A$62,$AF$205^A15,IF(A15='Données projet'!$A$62,'Données projet'!$B$62,AI14+AH15-AQ14)))</f>
        <v>19.127049995800721</v>
      </c>
      <c r="AJ15" s="14">
        <f>AI15*VLOOKUP('Données projet'!$B$10,Paramètres!$A$1:$I$89,3,0)*VLOOKUP('Données projet'!$B$10,Paramètres!$A$1:$I$89,5,0)</f>
        <v>15.515862956593548</v>
      </c>
      <c r="AK15" s="14">
        <f t="shared" si="35"/>
        <v>5.1966286229891843</v>
      </c>
      <c r="AL15" s="22">
        <f t="shared" si="4"/>
        <v>36.074256167773257</v>
      </c>
      <c r="AM15" s="62">
        <f t="shared" si="5"/>
        <v>233.10403362050613</v>
      </c>
      <c r="AN15" s="62">
        <f ca="1">AVERAGE(OFFSET($AM$3,0,0,'Données projet'!$E$10+1,1))-AVERAGE(OFFSET($H$3,0,0,'Données projet'!$E$10+1,1))</f>
        <v>319.39055628111151</v>
      </c>
      <c r="AO15" s="62">
        <f t="shared" si="36"/>
        <v>312.22190035638084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0.6</v>
      </c>
      <c r="BD15" s="13">
        <f>IF('Données projet'!$A$88&gt;35,BD14+BC15-BL14,IF(A15&lt;'Données projet'!$A$88,$BA$205^A15,IF(A15='Données projet'!$A$88,'Données projet'!$B$88,BD14+BC15-BL14)))</f>
        <v>5.799546134795289</v>
      </c>
      <c r="BE15" s="14">
        <f>BD15*VLOOKUP('Données projet'!$B$11,Paramètres!$A$1:$I$89,3,0)*VLOOKUP('Données projet'!$B$11,Paramètres!$A$1:$I$89,5,0)</f>
        <v>4.2522272260319056</v>
      </c>
      <c r="BF15" s="14">
        <f t="shared" si="37"/>
        <v>1.6557607078411023</v>
      </c>
      <c r="BG15" s="22">
        <f t="shared" si="7"/>
        <v>10.289745651495487</v>
      </c>
      <c r="BH15" s="62">
        <f t="shared" si="8"/>
        <v>207.31952310422835</v>
      </c>
      <c r="BI15" s="62">
        <f ca="1">AVERAGE(OFFSET($BH$3,0,0,'Données projet'!$E$11+1,1))-AVERAGE(OFFSET($H$3,0,0,'Données projet'!$E$11+1,1))</f>
        <v>257.906524944431</v>
      </c>
      <c r="BJ15" s="62">
        <f t="shared" si="38"/>
        <v>274.70390601173563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8</v>
      </c>
      <c r="BY15" s="13">
        <f>IF('Données projet'!$A$114&gt;35,BY14+BX15-CG14,IF(A15&lt;'Données projet'!$A$114,$BV$205^A15,IF(A15='Données projet'!$A$114,'Données projet'!$B$114,BY14+BX15-CG14)))</f>
        <v>25</v>
      </c>
      <c r="BZ15" s="14">
        <f>BY15*VLOOKUP('Données projet'!$B$12,Paramètres!$A$1:$I$89,3,0)*VLOOKUP('Données projet'!$B$12,Paramètres!$A$1:$I$89,5,0)</f>
        <v>20.28</v>
      </c>
      <c r="CA15" s="14">
        <f t="shared" si="39"/>
        <v>6.5838102554415308</v>
      </c>
      <c r="CB15" s="22">
        <f t="shared" si="10"/>
        <v>46.787802861560664</v>
      </c>
      <c r="CC15" s="62">
        <f t="shared" si="11"/>
        <v>243.81758031429354</v>
      </c>
      <c r="CD15" s="62">
        <f ca="1">AVERAGE(OFFSET($CC$3,0,0,'Données projet'!$E$12+1,1))-AVERAGE(OFFSET($H$3,0,0,'Données projet'!$E$12+1,1))</f>
        <v>272.69564942740931</v>
      </c>
      <c r="CE15" s="62">
        <f t="shared" si="40"/>
        <v>316.57989180609252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4.615384615384615</v>
      </c>
      <c r="CT15" s="13">
        <f>IF('Données projet'!$A$140&gt;35,CT14+CS15-DB14,IF(A15&lt;'Données projet'!$A$140,$CQ$205^A15,IF(A15='Données projet'!$A$140,'Données projet'!$B$140,CT14+CS15-DB14)))</f>
        <v>29.664656629007457</v>
      </c>
      <c r="CU15" s="18">
        <f>CT15*VLOOKUP('Données projet'!$B$13,Paramètres!$A$1:$I$89,3,0)*VLOOKUP('Données projet'!$B$13,Paramètres!$A$1:$I$89,5,0)</f>
        <v>28.228887248163495</v>
      </c>
      <c r="CV15" s="14">
        <f t="shared" si="41"/>
        <v>8.8183040787317974</v>
      </c>
      <c r="CW15" s="22">
        <f t="shared" si="13"/>
        <v>64.523858227675973</v>
      </c>
      <c r="CX15" s="62">
        <f t="shared" si="14"/>
        <v>261.55363568040883</v>
      </c>
      <c r="CY15" s="62">
        <f ca="1">AVERAGE(OFFSET($CX$3,0,0,'Données projet'!$E$13+1,1))-AVERAGE(OFFSET($H$3,0,0,'Données projet'!$E$13+1,1))</f>
        <v>491.87038198656927</v>
      </c>
      <c r="CZ15" s="62">
        <f t="shared" si="42"/>
        <v>406.49261644949559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3.65</v>
      </c>
      <c r="DO15" s="13">
        <f>IF('Données projet'!$A$166&gt;35,DO14+DN15-DW14,IF(A15&lt;'Données projet'!$A$166,$DL$205^A15,IF(A15='Données projet'!$A$166,'Données projet'!$B$166,DO14+DN15-DW14)))</f>
        <v>13.121809125710287</v>
      </c>
      <c r="DP15" s="18">
        <f>DO15*VLOOKUP('Données projet'!$B$14,Paramètres!$A$1:$I$89,3,0)*VLOOKUP('Données projet'!$B$14,Paramètres!$A$1:$I$89,5,0)</f>
        <v>12.69141378638699</v>
      </c>
      <c r="DQ15" s="14">
        <f t="shared" si="43"/>
        <v>4.3512446702837533</v>
      </c>
      <c r="DR15" s="22">
        <f t="shared" si="16"/>
        <v>29.682630145368211</v>
      </c>
      <c r="DS15" s="62">
        <f t="shared" si="17"/>
        <v>226.71240759810109</v>
      </c>
      <c r="DT15" s="62">
        <f ca="1">AVERAGE(OFFSET($DS$3,0,0,'Données projet'!$E$14+1,1))-AVERAGE(OFFSET($H$3,0,0,'Données projet'!$E$14+1,1))</f>
        <v>603.52431522262032</v>
      </c>
      <c r="DU15" s="62">
        <f t="shared" si="44"/>
        <v>313.56299786481338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6.1333333333333337</v>
      </c>
      <c r="EJ15" s="13">
        <f>IF('Données projet'!$A$192&gt;35,EJ14+EI15-ER14,IF(A15&lt;'Données projet'!$A$192,$EG$205^A15,IF(A15='Données projet'!$A$192,'Données projet'!$B$192,EJ14+EI15-ER14)))</f>
        <v>37.241765561590427</v>
      </c>
      <c r="EK15" s="18">
        <f>EJ15*VLOOKUP('Données projet'!$B$15,Paramètres!$A$1:$I$89,3,0)*VLOOKUP('Données projet'!$B$15,Paramètres!$A$1:$I$89,5,0)</f>
        <v>29.629548680801346</v>
      </c>
      <c r="EL15" s="14">
        <f t="shared" si="45"/>
        <v>9.2038240356896974</v>
      </c>
      <c r="EM15" s="22">
        <f t="shared" si="19"/>
        <v>67.634790814555217</v>
      </c>
      <c r="EN15" s="62">
        <f t="shared" si="20"/>
        <v>264.66456826728808</v>
      </c>
      <c r="EO15" s="62">
        <f ca="1">AVERAGE(OFFSET($EN$3,0,0,'Données projet'!$E$15+1,1))-AVERAGE(OFFSET($H$3,0,0,'Données projet'!$E$15+1,1))</f>
        <v>450.93388191845378</v>
      </c>
      <c r="EP15" s="62">
        <f t="shared" si="46"/>
        <v>483.33635017129325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2.6666666666666665</v>
      </c>
      <c r="FE15" s="13">
        <f>IF('Données projet'!$A$218&gt;35,FE14+FD15-FM14,IF(A15&lt;'Données projet'!$A$218,$FB$205^A15,IF(A15='Données projet'!$A$218,'Données projet'!$B$218,FE14+FD15-FM14)))</f>
        <v>19.127049995800721</v>
      </c>
      <c r="FF15" s="18">
        <f>FE15*VLOOKUP('Données projet'!$B$16,Paramètres!$A$1:$I$89,3,0)*VLOOKUP('Données projet'!$B$16,Paramètres!$A$1:$I$89,5,0)</f>
        <v>14.919098996724562</v>
      </c>
      <c r="FG15" s="14">
        <f t="shared" si="47"/>
        <v>5.019622097301081</v>
      </c>
      <c r="FH15" s="22">
        <f t="shared" si="22"/>
        <v>34.726605905427995</v>
      </c>
      <c r="FI15" s="62">
        <f t="shared" si="23"/>
        <v>231.75638335816086</v>
      </c>
      <c r="FJ15" s="62">
        <f ca="1">AVERAGE(OFFSET($FI$3,0,0,'Données projet'!$E$16+1,1))-AVERAGE(OFFSET($H$3,0,0,'Données projet'!$E$16+1,1))</f>
        <v>309.21625451786218</v>
      </c>
      <c r="FK15" s="62">
        <f t="shared" si="48"/>
        <v>302.59481222418219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4.333333333333333</v>
      </c>
      <c r="N16" s="14">
        <f>IF('Données projet'!$A$36&gt;35,N15+M16-V15,IF(A16&lt;'Données projet'!$A$36,$K$205^A16,IF(A16='Données projet'!$A$36,'Données projet'!$B$36,N15+M16-V15)))</f>
        <v>37.255601172785397</v>
      </c>
      <c r="O16" s="14">
        <f>N16*VLOOKUP('Données projet'!$B$9,Paramètres!$A$1:$I$89,3,0)*VLOOKUP('Données projet'!$B$9,Paramètres!$A$1:$I$89,5,0)</f>
        <v>29.640556293068066</v>
      </c>
      <c r="P16" s="14">
        <f t="shared" si="33"/>
        <v>9.2068452582035114</v>
      </c>
      <c r="Q16" s="22">
        <f t="shared" si="2"/>
        <v>67.659224368464649</v>
      </c>
      <c r="R16" s="62">
        <f t="shared" si="0"/>
        <v>267.20022462008347</v>
      </c>
      <c r="S16" s="62">
        <f ca="1">AVERAGE(OFFSET($R$3,0,0,'Données projet'!$E$9+1,1))-AVERAGE(OFFSET($H$3,0,0,'Données projet'!$E$9+1,1))</f>
        <v>394.70330963327166</v>
      </c>
      <c r="T16" s="62">
        <f t="shared" si="34"/>
        <v>424.06445894109982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2.6666666666666665</v>
      </c>
      <c r="AI16" s="14">
        <f>IF('Données projet'!$A$62&gt;35,AI15+AH16-AQ15,IF(A16&lt;'Données projet'!$A$62,$AF$205^A16,IF(A16='Données projet'!$A$62,'Données projet'!$B$62,AI15+AH16-AQ15)))</f>
        <v>24.459748796430759</v>
      </c>
      <c r="AJ16" s="14">
        <f>AI16*VLOOKUP('Données projet'!$B$10,Paramètres!$A$1:$I$89,3,0)*VLOOKUP('Données projet'!$B$10,Paramètres!$A$1:$I$89,5,0)</f>
        <v>19.841748223664634</v>
      </c>
      <c r="AK16" s="14">
        <f t="shared" si="35"/>
        <v>6.4579353791927296</v>
      </c>
      <c r="AL16" s="22">
        <f t="shared" si="4"/>
        <v>45.805282274976577</v>
      </c>
      <c r="AM16" s="62">
        <f t="shared" si="5"/>
        <v>245.34628252659539</v>
      </c>
      <c r="AN16" s="62">
        <f ca="1">AVERAGE(OFFSET($AM$3,0,0,'Données projet'!$E$10+1,1))-AVERAGE(OFFSET($H$3,0,0,'Données projet'!$E$10+1,1))</f>
        <v>319.39055628111151</v>
      </c>
      <c r="AO16" s="62">
        <f t="shared" si="36"/>
        <v>312.22190035638084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0.6</v>
      </c>
      <c r="BD16" s="13">
        <f>IF('Données projet'!$A$88&gt;35,BD15+BC16-BL15,IF(A16&lt;'Données projet'!$A$88,$BA$205^A16,IF(A16='Données projet'!$A$88,'Données projet'!$B$88,BD15+BC16-BL15)))</f>
        <v>6.7144458364886441</v>
      </c>
      <c r="BE16" s="14">
        <f>BD16*VLOOKUP('Données projet'!$B$11,Paramètres!$A$1:$I$89,3,0)*VLOOKUP('Données projet'!$B$11,Paramètres!$A$1:$I$89,5,0)</f>
        <v>4.9230316873134736</v>
      </c>
      <c r="BF16" s="14">
        <f t="shared" si="37"/>
        <v>1.8845550045896882</v>
      </c>
      <c r="BG16" s="22">
        <f t="shared" si="7"/>
        <v>11.856546821731341</v>
      </c>
      <c r="BH16" s="62">
        <f t="shared" si="8"/>
        <v>211.39754707335015</v>
      </c>
      <c r="BI16" s="62">
        <f ca="1">AVERAGE(OFFSET($BH$3,0,0,'Données projet'!$E$11+1,1))-AVERAGE(OFFSET($H$3,0,0,'Données projet'!$E$11+1,1))</f>
        <v>257.906524944431</v>
      </c>
      <c r="BJ16" s="62">
        <f t="shared" si="38"/>
        <v>274.70390601173563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8</v>
      </c>
      <c r="BY16" s="13">
        <f>IF('Données projet'!$A$114&gt;35,BY15+BX16-CG15,IF(A16&lt;'Données projet'!$A$114,$BV$205^A16,IF(A16='Données projet'!$A$114,'Données projet'!$B$114,BY15+BX16-CG15)))</f>
        <v>33</v>
      </c>
      <c r="BZ16" s="14">
        <f>BY16*VLOOKUP('Données projet'!$B$12,Paramètres!$A$1:$I$89,3,0)*VLOOKUP('Données projet'!$B$12,Paramètres!$A$1:$I$89,5,0)</f>
        <v>26.769600000000001</v>
      </c>
      <c r="CA16" s="14">
        <f t="shared" si="39"/>
        <v>8.4142697673415618</v>
      </c>
      <c r="CB16" s="22">
        <f t="shared" si="10"/>
        <v>61.278573178119878</v>
      </c>
      <c r="CC16" s="62">
        <f t="shared" si="11"/>
        <v>260.81957342973868</v>
      </c>
      <c r="CD16" s="62">
        <f ca="1">AVERAGE(OFFSET($CC$3,0,0,'Données projet'!$E$12+1,1))-AVERAGE(OFFSET($H$3,0,0,'Données projet'!$E$12+1,1))</f>
        <v>272.69564942740931</v>
      </c>
      <c r="CE16" s="62">
        <f t="shared" si="40"/>
        <v>316.57989180609252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4.615384615384615</v>
      </c>
      <c r="CT16" s="13">
        <f>IF('Données projet'!$A$140&gt;35,CT15+CS16-DB15,IF(A16&lt;'Données projet'!$A$140,$CQ$205^A16,IF(A16='Données projet'!$A$140,'Données projet'!$B$140,CT15+CS16-DB15)))</f>
        <v>39.348296583935358</v>
      </c>
      <c r="CU16" s="18">
        <f>CT16*VLOOKUP('Données projet'!$B$13,Paramètres!$A$1:$I$89,3,0)*VLOOKUP('Données projet'!$B$13,Paramètres!$A$1:$I$89,5,0)</f>
        <v>37.443839029272887</v>
      </c>
      <c r="CV16" s="14">
        <f t="shared" si="41"/>
        <v>11.318554318604061</v>
      </c>
      <c r="CW16" s="22">
        <f t="shared" si="13"/>
        <v>84.927835080885686</v>
      </c>
      <c r="CX16" s="62">
        <f t="shared" si="14"/>
        <v>284.46883533250451</v>
      </c>
      <c r="CY16" s="62">
        <f ca="1">AVERAGE(OFFSET($CX$3,0,0,'Données projet'!$E$13+1,1))-AVERAGE(OFFSET($H$3,0,0,'Données projet'!$E$13+1,1))</f>
        <v>491.87038198656927</v>
      </c>
      <c r="CZ16" s="62">
        <f t="shared" si="42"/>
        <v>406.49261644949559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3.65</v>
      </c>
      <c r="DO16" s="13">
        <f>IF('Données projet'!$A$166&gt;35,DO15+DN16-DW15,IF(A16&lt;'Données projet'!$A$166,$DL$205^A16,IF(A16='Données projet'!$A$166,'Données projet'!$B$166,DO15+DN16-DW15)))</f>
        <v>16.261472127148366</v>
      </c>
      <c r="DP16" s="18">
        <f>DO16*VLOOKUP('Données projet'!$B$14,Paramètres!$A$1:$I$89,3,0)*VLOOKUP('Données projet'!$B$14,Paramètres!$A$1:$I$89,5,0)</f>
        <v>15.728095841377899</v>
      </c>
      <c r="DQ16" s="14">
        <f t="shared" si="43"/>
        <v>5.2593867546400634</v>
      </c>
      <c r="DR16" s="22">
        <f t="shared" si="16"/>
        <v>36.553198854731285</v>
      </c>
      <c r="DS16" s="62">
        <f t="shared" si="17"/>
        <v>236.09419910635009</v>
      </c>
      <c r="DT16" s="62">
        <f ca="1">AVERAGE(OFFSET($DS$3,0,0,'Données projet'!$E$14+1,1))-AVERAGE(OFFSET($H$3,0,0,'Données projet'!$E$14+1,1))</f>
        <v>603.52431522262032</v>
      </c>
      <c r="DU16" s="62">
        <f t="shared" si="44"/>
        <v>313.56299786481338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6.1333333333333337</v>
      </c>
      <c r="EJ16" s="13">
        <f>IF('Données projet'!$A$192&gt;35,EJ15+EI16-ER15,IF(A16&lt;'Données projet'!$A$192,$EG$205^A16,IF(A16='Données projet'!$A$192,'Données projet'!$B$192,EJ15+EI16-ER15)))</f>
        <v>50.344200732896553</v>
      </c>
      <c r="EK16" s="18">
        <f>EJ16*VLOOKUP('Données projet'!$B$15,Paramètres!$A$1:$I$89,3,0)*VLOOKUP('Données projet'!$B$15,Paramètres!$A$1:$I$89,5,0)</f>
        <v>40.053846103092503</v>
      </c>
      <c r="EL16" s="14">
        <f t="shared" si="45"/>
        <v>12.012917704664449</v>
      </c>
      <c r="EM16" s="22">
        <f t="shared" si="19"/>
        <v>90.682946965176697</v>
      </c>
      <c r="EN16" s="62">
        <f t="shared" si="20"/>
        <v>290.22394721679552</v>
      </c>
      <c r="EO16" s="62">
        <f ca="1">AVERAGE(OFFSET($EN$3,0,0,'Données projet'!$E$15+1,1))-AVERAGE(OFFSET($H$3,0,0,'Données projet'!$E$15+1,1))</f>
        <v>450.93388191845378</v>
      </c>
      <c r="EP16" s="62">
        <f t="shared" si="46"/>
        <v>483.33635017129325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2.6666666666666665</v>
      </c>
      <c r="FE16" s="13">
        <f>IF('Données projet'!$A$218&gt;35,FE15+FD16-FM15,IF(A16&lt;'Données projet'!$A$218,$FB$205^A16,IF(A16='Données projet'!$A$218,'Données projet'!$B$218,FE15+FD16-FM15)))</f>
        <v>24.459748796430759</v>
      </c>
      <c r="FF16" s="18">
        <f>FE16*VLOOKUP('Données projet'!$B$16,Paramètres!$A$1:$I$89,3,0)*VLOOKUP('Données projet'!$B$16,Paramètres!$A$1:$I$89,5,0)</f>
        <v>19.078604061215994</v>
      </c>
      <c r="FG16" s="14">
        <f t="shared" si="47"/>
        <v>6.2379664748280286</v>
      </c>
      <c r="FH16" s="22">
        <f t="shared" si="22"/>
        <v>44.093027016943331</v>
      </c>
      <c r="FI16" s="62">
        <f t="shared" si="23"/>
        <v>243.63402726856214</v>
      </c>
      <c r="FJ16" s="62">
        <f ca="1">AVERAGE(OFFSET($FI$3,0,0,'Données projet'!$E$16+1,1))-AVERAGE(OFFSET($H$3,0,0,'Données projet'!$E$16+1,1))</f>
        <v>309.21625451786218</v>
      </c>
      <c r="FK16" s="62">
        <f t="shared" si="48"/>
        <v>302.59481222418219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4.333333333333333</v>
      </c>
      <c r="N17" s="14">
        <f>IF('Données projet'!$A$36&gt;35,N16+M17-V16,IF(A17&lt;'Données projet'!$A$36,$K$205^A17,IF(A17='Données projet'!$A$36,'Données projet'!$B$36,N16+M17-V16)))</f>
        <v>49.209898153024547</v>
      </c>
      <c r="O17" s="14">
        <f>N17*VLOOKUP('Données projet'!$B$9,Paramètres!$A$1:$I$89,3,0)*VLOOKUP('Données projet'!$B$9,Paramètres!$A$1:$I$89,5,0)</f>
        <v>39.151394970546335</v>
      </c>
      <c r="P17" s="14">
        <f t="shared" si="33"/>
        <v>11.773444115853561</v>
      </c>
      <c r="Q17" s="22">
        <f t="shared" si="2"/>
        <v>88.69409474214649</v>
      </c>
      <c r="R17" s="62">
        <f t="shared" si="0"/>
        <v>290.72395651441968</v>
      </c>
      <c r="S17" s="62">
        <f ca="1">AVERAGE(OFFSET($R$3,0,0,'Données projet'!$E$9+1,1))-AVERAGE(OFFSET($H$3,0,0,'Données projet'!$E$9+1,1))</f>
        <v>394.70330963327166</v>
      </c>
      <c r="T17" s="62">
        <f t="shared" si="34"/>
        <v>424.06445894109982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2.6666666666666665</v>
      </c>
      <c r="AI17" s="14">
        <f>IF('Données projet'!$A$62&gt;35,AI16+AH17-AQ16,IF(A17&lt;'Données projet'!$A$62,$AF$205^A17,IF(A17='Données projet'!$A$62,'Données projet'!$B$62,AI16+AH17-AQ16)))</f>
        <v>31.279225563578599</v>
      </c>
      <c r="AJ17" s="14">
        <f>AI17*VLOOKUP('Données projet'!$B$10,Paramètres!$A$1:$I$89,3,0)*VLOOKUP('Données projet'!$B$10,Paramètres!$A$1:$I$89,5,0)</f>
        <v>25.37370777717496</v>
      </c>
      <c r="AK17" s="14">
        <f t="shared" si="35"/>
        <v>8.0253819134452193</v>
      </c>
      <c r="AL17" s="22">
        <f t="shared" si="4"/>
        <v>58.170081211163478</v>
      </c>
      <c r="AM17" s="62">
        <f t="shared" si="5"/>
        <v>260.1999429834367</v>
      </c>
      <c r="AN17" s="62">
        <f ca="1">AVERAGE(OFFSET($AM$3,0,0,'Données projet'!$E$10+1,1))-AVERAGE(OFFSET($H$3,0,0,'Données projet'!$E$10+1,1))</f>
        <v>319.39055628111151</v>
      </c>
      <c r="AO17" s="62">
        <f t="shared" si="36"/>
        <v>312.22190035638084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0.6</v>
      </c>
      <c r="BD17" s="13">
        <f>IF('Données projet'!$A$88&gt;35,BD16+BC17-BL16,IF(A17&lt;'Données projet'!$A$88,$BA$205^A17,IF(A17='Données projet'!$A$88,'Données projet'!$B$88,BD16+BC17-BL16)))</f>
        <v>7.7736743261084582</v>
      </c>
      <c r="BE17" s="14">
        <f>BD17*VLOOKUP('Données projet'!$B$11,Paramètres!$A$1:$I$89,3,0)*VLOOKUP('Données projet'!$B$11,Paramètres!$A$1:$I$89,5,0)</f>
        <v>5.6996580159027213</v>
      </c>
      <c r="BF17" s="14">
        <f t="shared" si="37"/>
        <v>2.1449642744299671</v>
      </c>
      <c r="BG17" s="22">
        <f t="shared" si="7"/>
        <v>13.662717155662767</v>
      </c>
      <c r="BH17" s="62">
        <f t="shared" si="8"/>
        <v>215.69257892793595</v>
      </c>
      <c r="BI17" s="62">
        <f ca="1">AVERAGE(OFFSET($BH$3,0,0,'Données projet'!$E$11+1,1))-AVERAGE(OFFSET($H$3,0,0,'Données projet'!$E$11+1,1))</f>
        <v>257.906524944431</v>
      </c>
      <c r="BJ17" s="62">
        <f t="shared" si="38"/>
        <v>274.70390601173563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8</v>
      </c>
      <c r="BY17" s="13">
        <f>IF('Données projet'!$A$114&gt;35,BY16+BX17-CG16,IF(A17&lt;'Données projet'!$A$114,$BV$205^A17,IF(A17='Données projet'!$A$114,'Données projet'!$B$114,BY16+BX17-CG16)))</f>
        <v>41</v>
      </c>
      <c r="BZ17" s="14">
        <f>BY17*VLOOKUP('Données projet'!$B$12,Paramètres!$A$1:$I$89,3,0)*VLOOKUP('Données projet'!$B$12,Paramètres!$A$1:$I$89,5,0)</f>
        <v>33.2592</v>
      </c>
      <c r="CA17" s="14">
        <f t="shared" si="39"/>
        <v>10.193265358024187</v>
      </c>
      <c r="CB17" s="22">
        <f t="shared" si="10"/>
        <v>75.679710498558791</v>
      </c>
      <c r="CC17" s="62">
        <f t="shared" si="11"/>
        <v>277.70957227083198</v>
      </c>
      <c r="CD17" s="62">
        <f ca="1">AVERAGE(OFFSET($CC$3,0,0,'Données projet'!$E$12+1,1))-AVERAGE(OFFSET($H$3,0,0,'Données projet'!$E$12+1,1))</f>
        <v>272.69564942740931</v>
      </c>
      <c r="CE17" s="62">
        <f t="shared" si="40"/>
        <v>316.57989180609252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4.615384615384615</v>
      </c>
      <c r="CT17" s="13">
        <f>IF('Données projet'!$A$140&gt;35,CT16+CS17-DB16,IF(A17&lt;'Données projet'!$A$140,$CQ$205^A17,IF(A17='Données projet'!$A$140,'Données projet'!$B$140,CT16+CS17-DB16)))</f>
        <v>52.193034405237363</v>
      </c>
      <c r="CU17" s="18">
        <f>CT17*VLOOKUP('Données projet'!$B$13,Paramètres!$A$1:$I$89,3,0)*VLOOKUP('Données projet'!$B$13,Paramètres!$A$1:$I$89,5,0)</f>
        <v>49.666891540023876</v>
      </c>
      <c r="CV17" s="14">
        <f t="shared" si="41"/>
        <v>14.527699512218989</v>
      </c>
      <c r="CW17" s="22">
        <f t="shared" si="13"/>
        <v>111.80557941598965</v>
      </c>
      <c r="CX17" s="62">
        <f t="shared" si="14"/>
        <v>313.83544118826285</v>
      </c>
      <c r="CY17" s="62">
        <f ca="1">AVERAGE(OFFSET($CX$3,0,0,'Données projet'!$E$13+1,1))-AVERAGE(OFFSET($H$3,0,0,'Données projet'!$E$13+1,1))</f>
        <v>491.87038198656927</v>
      </c>
      <c r="CZ17" s="62">
        <f t="shared" si="42"/>
        <v>406.49261644949559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3.65</v>
      </c>
      <c r="DO17" s="13">
        <f>IF('Données projet'!$A$166&gt;35,DO16+DN17-DW16,IF(A17&lt;'Données projet'!$A$166,$DL$205^A17,IF(A17='Données projet'!$A$166,'Données projet'!$B$166,DO16+DN17-DW16)))</f>
        <v>20.152364144963837</v>
      </c>
      <c r="DP17" s="18">
        <f>DO17*VLOOKUP('Données projet'!$B$14,Paramètres!$A$1:$I$89,3,0)*VLOOKUP('Données projet'!$B$14,Paramètres!$A$1:$I$89,5,0)</f>
        <v>19.491366601009023</v>
      </c>
      <c r="DQ17" s="14">
        <f t="shared" si="43"/>
        <v>6.3570658813537859</v>
      </c>
      <c r="DR17" s="22">
        <f t="shared" si="16"/>
        <v>45.01935324011523</v>
      </c>
      <c r="DS17" s="62">
        <f t="shared" si="17"/>
        <v>247.04921501238843</v>
      </c>
      <c r="DT17" s="62">
        <f ca="1">AVERAGE(OFFSET($DS$3,0,0,'Données projet'!$E$14+1,1))-AVERAGE(OFFSET($H$3,0,0,'Données projet'!$E$14+1,1))</f>
        <v>603.52431522262032</v>
      </c>
      <c r="DU17" s="62">
        <f t="shared" si="44"/>
        <v>313.56299786481338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6.1333333333333337</v>
      </c>
      <c r="EJ17" s="13">
        <f>IF('Données projet'!$A$192&gt;35,EJ16+EI17-ER16,IF(A17&lt;'Données projet'!$A$192,$EG$205^A17,IF(A17='Données projet'!$A$192,'Données projet'!$B$192,EJ16+EI17-ER16)))</f>
        <v>68.056347737933137</v>
      </c>
      <c r="EK17" s="18">
        <f>EJ17*VLOOKUP('Données projet'!$B$15,Paramètres!$A$1:$I$89,3,0)*VLOOKUP('Données projet'!$B$15,Paramètres!$A$1:$I$89,5,0)</f>
        <v>54.145630260299605</v>
      </c>
      <c r="EL17" s="14">
        <f t="shared" si="45"/>
        <v>15.679373184390368</v>
      </c>
      <c r="EM17" s="22">
        <f t="shared" si="19"/>
        <v>121.61188099950169</v>
      </c>
      <c r="EN17" s="62">
        <f t="shared" si="20"/>
        <v>323.64174277177489</v>
      </c>
      <c r="EO17" s="62">
        <f ca="1">AVERAGE(OFFSET($EN$3,0,0,'Données projet'!$E$15+1,1))-AVERAGE(OFFSET($H$3,0,0,'Données projet'!$E$15+1,1))</f>
        <v>450.93388191845378</v>
      </c>
      <c r="EP17" s="62">
        <f t="shared" si="46"/>
        <v>483.33635017129325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2.6666666666666665</v>
      </c>
      <c r="FE17" s="13">
        <f>IF('Données projet'!$A$218&gt;35,FE16+FD17-FM16,IF(A17&lt;'Données projet'!$A$218,$FB$205^A17,IF(A17='Données projet'!$A$218,'Données projet'!$B$218,FE16+FD17-FM16)))</f>
        <v>31.279225563578599</v>
      </c>
      <c r="FF17" s="18">
        <f>FE17*VLOOKUP('Données projet'!$B$16,Paramètres!$A$1:$I$89,3,0)*VLOOKUP('Données projet'!$B$16,Paramètres!$A$1:$I$89,5,0)</f>
        <v>24.397795939591308</v>
      </c>
      <c r="FG17" s="14">
        <f t="shared" si="47"/>
        <v>7.75202295846145</v>
      </c>
      <c r="FH17" s="22">
        <f t="shared" si="22"/>
        <v>55.994267914108548</v>
      </c>
      <c r="FI17" s="62">
        <f t="shared" si="23"/>
        <v>258.02412968638174</v>
      </c>
      <c r="FJ17" s="62">
        <f ca="1">AVERAGE(OFFSET($FI$3,0,0,'Données projet'!$E$16+1,1))-AVERAGE(OFFSET($H$3,0,0,'Données projet'!$E$16+1,1))</f>
        <v>309.21625451786218</v>
      </c>
      <c r="FK17" s="62">
        <f t="shared" si="48"/>
        <v>302.59481222418219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65</v>
      </c>
      <c r="L18" s="13">
        <f>VLOOKUP(A18,'Données projet'!$A$35:$I$55,9,0)</f>
        <v>4.333333333333333</v>
      </c>
      <c r="M18" s="13">
        <f t="array" ref="M18">INDEX(L:L,MIN(IF(ISNUMBER(L18:L214),ROW(L18:L214),"")))</f>
        <v>4.333333333333333</v>
      </c>
      <c r="N18" s="14">
        <f>IF('Données projet'!$A$36&gt;35,N17+M18-V17,IF(A18&lt;'Données projet'!$A$36,$K$205^A18,IF(A18='Données projet'!$A$36,'Données projet'!$B$36,N17+M18-V17)))</f>
        <v>65</v>
      </c>
      <c r="O18" s="14">
        <f>N18*VLOOKUP('Données projet'!$B$9,Paramètres!$A$1:$I$89,3,0)*VLOOKUP('Données projet'!$B$9,Paramètres!$A$1:$I$89,5,0)</f>
        <v>51.713999999999999</v>
      </c>
      <c r="P18" s="14">
        <f t="shared" si="33"/>
        <v>15.055535578337075</v>
      </c>
      <c r="Q18" s="22">
        <f t="shared" si="2"/>
        <v>116.29027446560372</v>
      </c>
      <c r="R18" s="62">
        <f t="shared" si="0"/>
        <v>320.78702439848473</v>
      </c>
      <c r="S18" s="62">
        <f ca="1">AVERAGE(OFFSET($R$3,0,0,'Données projet'!$E$9+1,1))-AVERAGE(OFFSET($H$3,0,0,'Données projet'!$E$9+1,1))</f>
        <v>394.70330963327166</v>
      </c>
      <c r="T18" s="62">
        <f t="shared" si="34"/>
        <v>424.06445894109982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40</v>
      </c>
      <c r="AG18" s="13">
        <f>VLOOKUP(A18,'Données projet'!$A$61:$I$81,9,0)</f>
        <v>2.6666666666666665</v>
      </c>
      <c r="AH18" s="13">
        <f t="array" ref="AH18">INDEX(AG:AG,MIN(IF(ISNUMBER(AG18:AG214),ROW(AG18:AG214),"")))</f>
        <v>2.6666666666666665</v>
      </c>
      <c r="AI18" s="14">
        <f>IF('Données projet'!$A$62&gt;35,AI17+AH18-AQ17,IF(A18&lt;'Données projet'!$A$62,$AF$205^A18,IF(A18='Données projet'!$A$62,'Données projet'!$B$62,AI17+AH18-AQ17)))</f>
        <v>40</v>
      </c>
      <c r="AJ18" s="14">
        <f>AI18*VLOOKUP('Données projet'!$B$10,Paramètres!$A$1:$I$89,3,0)*VLOOKUP('Données projet'!$B$10,Paramètres!$A$1:$I$89,5,0)</f>
        <v>32.448</v>
      </c>
      <c r="AK18" s="14">
        <f t="shared" si="35"/>
        <v>9.9732733567093899</v>
      </c>
      <c r="AL18" s="22">
        <f t="shared" si="4"/>
        <v>73.883717762935518</v>
      </c>
      <c r="AM18" s="62">
        <f t="shared" si="5"/>
        <v>278.38046769581655</v>
      </c>
      <c r="AN18" s="62">
        <f ca="1">AVERAGE(OFFSET($AM$3,0,0,'Données projet'!$E$10+1,1))-AVERAGE(OFFSET($H$3,0,0,'Données projet'!$E$10+1,1))</f>
        <v>319.39055628111151</v>
      </c>
      <c r="AO18" s="62">
        <f t="shared" si="36"/>
        <v>312.22190035638084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9</v>
      </c>
      <c r="BB18" s="13">
        <f>VLOOKUP(A18,'Données projet'!$A$87:$I$107,9,0)</f>
        <v>0.6</v>
      </c>
      <c r="BC18" s="13">
        <f t="array" ref="BC18">INDEX(BB:BB,MIN(IF(ISNUMBER(BB18:BB214),ROW(BB18:BB214),"")))</f>
        <v>0.6</v>
      </c>
      <c r="BD18" s="13">
        <f>IF('Données projet'!$A$88&gt;35,BD17+BC18-BL17,IF(A18&lt;'Données projet'!$A$88,$BA$205^A18,IF(A18='Données projet'!$A$88,'Données projet'!$B$88,BD17+BC18-BL17)))</f>
        <v>9</v>
      </c>
      <c r="BE18" s="14">
        <f>BD18*VLOOKUP('Données projet'!$B$11,Paramètres!$A$1:$I$89,3,0)*VLOOKUP('Données projet'!$B$11,Paramètres!$A$1:$I$89,5,0)</f>
        <v>6.5987999999999998</v>
      </c>
      <c r="BF18" s="14">
        <f t="shared" si="37"/>
        <v>2.4413570988248194</v>
      </c>
      <c r="BG18" s="22">
        <f t="shared" si="7"/>
        <v>15.744940280453227</v>
      </c>
      <c r="BH18" s="62">
        <f t="shared" si="8"/>
        <v>220.24169021333427</v>
      </c>
      <c r="BI18" s="62">
        <f ca="1">AVERAGE(OFFSET($BH$3,0,0,'Données projet'!$E$11+1,1))-AVERAGE(OFFSET($H$3,0,0,'Données projet'!$E$11+1,1))</f>
        <v>257.906524944431</v>
      </c>
      <c r="BJ18" s="62">
        <f t="shared" si="38"/>
        <v>274.70390601173563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49</v>
      </c>
      <c r="BW18" s="13">
        <f>VLOOKUP(A18,'Données projet'!$A$113:$I$133,9,0)</f>
        <v>8</v>
      </c>
      <c r="BX18" s="13">
        <f t="array" ref="BX18">INDEX(BW:BW,MIN(IF(ISNUMBER(BW18:BW214),ROW(BW18:BW214),"")))</f>
        <v>8</v>
      </c>
      <c r="BY18" s="13">
        <f>IF('Données projet'!$A$114&gt;35,BY17+BX18-CG17,IF(A18&lt;'Données projet'!$A$114,$BV$205^A18,IF(A18='Données projet'!$A$114,'Données projet'!$B$114,BY17+BX18-CG17)))</f>
        <v>49</v>
      </c>
      <c r="BZ18" s="14">
        <f>BY18*VLOOKUP('Données projet'!$B$12,Paramètres!$A$1:$I$89,3,0)*VLOOKUP('Données projet'!$B$12,Paramètres!$A$1:$I$89,5,0)</f>
        <v>39.748800000000003</v>
      </c>
      <c r="CA18" s="14">
        <f t="shared" si="39"/>
        <v>11.932041927023215</v>
      </c>
      <c r="CB18" s="22">
        <f t="shared" si="10"/>
        <v>90.010799689565431</v>
      </c>
      <c r="CC18" s="62">
        <f t="shared" si="11"/>
        <v>294.5075496224465</v>
      </c>
      <c r="CD18" s="62">
        <f ca="1">AVERAGE(OFFSET($CC$3,0,0,'Données projet'!$E$12+1,1))-AVERAGE(OFFSET($H$3,0,0,'Données projet'!$E$12+1,1))</f>
        <v>272.69564942740931</v>
      </c>
      <c r="CE18" s="62">
        <f t="shared" si="40"/>
        <v>316.57989180609252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69.230769230769226</v>
      </c>
      <c r="CR18" s="13">
        <f>VLOOKUP(A18,'Données projet'!$A$139:$I$159,9,0)</f>
        <v>4.615384615384615</v>
      </c>
      <c r="CS18" s="13">
        <f t="array" ref="CS18">INDEX(CR:CR,MIN(IF(ISNUMBER(CR18:CR214),ROW(CR18:CR214),"")))</f>
        <v>4.615384615384615</v>
      </c>
      <c r="CT18" s="13">
        <f>IF('Données projet'!$A$140&gt;35,CT17+CS18-DB17,IF(A18&lt;'Données projet'!$A$140,$CQ$205^A18,IF(A18='Données projet'!$A$140,'Données projet'!$B$140,CT17+CS18-DB17)))</f>
        <v>69.230769230769226</v>
      </c>
      <c r="CU18" s="18">
        <f>CT18*VLOOKUP('Données projet'!$B$13,Paramètres!$A$1:$I$89,3,0)*VLOOKUP('Données projet'!$B$13,Paramètres!$A$1:$I$89,5,0)</f>
        <v>65.88</v>
      </c>
      <c r="CV18" s="14">
        <f t="shared" si="41"/>
        <v>18.64673236319793</v>
      </c>
      <c r="CW18" s="22">
        <f t="shared" si="13"/>
        <v>147.21739219923637</v>
      </c>
      <c r="CX18" s="62">
        <f t="shared" si="14"/>
        <v>351.71414213211744</v>
      </c>
      <c r="CY18" s="62">
        <f ca="1">AVERAGE(OFFSET($CX$3,0,0,'Données projet'!$E$13+1,1))-AVERAGE(OFFSET($H$3,0,0,'Données projet'!$E$13+1,1))</f>
        <v>491.87038198656927</v>
      </c>
      <c r="CZ18" s="62">
        <f t="shared" si="42"/>
        <v>406.49261644949559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3.65</v>
      </c>
      <c r="DO18" s="13">
        <f>IF('Données projet'!$A$166&gt;35,DO17+DN18-DW17,IF(A18&lt;'Données projet'!$A$166,$DL$205^A18,IF(A18='Données projet'!$A$166,'Données projet'!$B$166,DO17+DN18-DW17)))</f>
        <v>24.974232188561476</v>
      </c>
      <c r="DP18" s="18">
        <f>DO18*VLOOKUP('Données projet'!$B$14,Paramètres!$A$1:$I$89,3,0)*VLOOKUP('Données projet'!$B$14,Paramètres!$A$1:$I$89,5,0)</f>
        <v>24.155077372776663</v>
      </c>
      <c r="DQ18" s="14">
        <f t="shared" si="43"/>
        <v>7.6838400568695304</v>
      </c>
      <c r="DR18" s="22">
        <f t="shared" si="16"/>
        <v>55.452781189967119</v>
      </c>
      <c r="DS18" s="62">
        <f t="shared" si="17"/>
        <v>259.94953112284816</v>
      </c>
      <c r="DT18" s="62">
        <f ca="1">AVERAGE(OFFSET($DS$3,0,0,'Données projet'!$E$14+1,1))-AVERAGE(OFFSET($H$3,0,0,'Données projet'!$E$14+1,1))</f>
        <v>603.52431522262032</v>
      </c>
      <c r="DU18" s="62">
        <f t="shared" si="44"/>
        <v>313.56299786481338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92</v>
      </c>
      <c r="EH18" s="13">
        <f>VLOOKUP(A18,'Données projet'!$A$191:$I$211,9,0)</f>
        <v>6.1333333333333337</v>
      </c>
      <c r="EI18" s="13">
        <f t="array" ref="EI18">INDEX(EH:EH,MIN(IF(ISNUMBER(EH18:EH214),ROW(EH18:EH214),"")))</f>
        <v>6.1333333333333337</v>
      </c>
      <c r="EJ18" s="13">
        <f>IF('Données projet'!$A$192&gt;35,EJ17+EI18-ER17,IF(A18&lt;'Données projet'!$A$192,$EG$205^A18,IF(A18='Données projet'!$A$192,'Données projet'!$B$192,EJ17+EI18-ER17)))</f>
        <v>92</v>
      </c>
      <c r="EK18" s="18">
        <f>EJ18*VLOOKUP('Données projet'!$B$15,Paramètres!$A$1:$I$89,3,0)*VLOOKUP('Données projet'!$B$15,Paramètres!$A$1:$I$89,5,0)</f>
        <v>73.1952</v>
      </c>
      <c r="EL18" s="14">
        <f t="shared" si="45"/>
        <v>20.464865364050787</v>
      </c>
      <c r="EM18" s="22">
        <f t="shared" si="19"/>
        <v>163.12461384238844</v>
      </c>
      <c r="EN18" s="62">
        <f t="shared" si="20"/>
        <v>367.62136377526951</v>
      </c>
      <c r="EO18" s="62">
        <f ca="1">AVERAGE(OFFSET($EN$3,0,0,'Données projet'!$E$15+1,1))-AVERAGE(OFFSET($H$3,0,0,'Données projet'!$E$15+1,1))</f>
        <v>450.93388191845378</v>
      </c>
      <c r="EP18" s="62">
        <f t="shared" si="46"/>
        <v>483.33635017129325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40</v>
      </c>
      <c r="FC18" s="13">
        <f>VLOOKUP(A18,'Données projet'!$A$217:$I$237,9,0)</f>
        <v>2.6666666666666665</v>
      </c>
      <c r="FD18" s="13">
        <f t="array" ref="FD18">INDEX(FC:FC,MIN(IF(ISNUMBER(FC18:FC214),ROW(FC18:FC214),"")))</f>
        <v>2.6666666666666665</v>
      </c>
      <c r="FE18" s="13">
        <f>IF('Données projet'!$A$218&gt;35,FE17+FD18-FM17,IF(A18&lt;'Données projet'!$A$218,$FB$205^A18,IF(A18='Données projet'!$A$218,'Données projet'!$B$218,FE17+FD18-FM17)))</f>
        <v>40</v>
      </c>
      <c r="FF18" s="18">
        <f>FE18*VLOOKUP('Données projet'!$B$16,Paramètres!$A$1:$I$89,3,0)*VLOOKUP('Données projet'!$B$16,Paramètres!$A$1:$I$89,5,0)</f>
        <v>31.200000000000003</v>
      </c>
      <c r="FG18" s="14">
        <f t="shared" si="47"/>
        <v>9.6335657126419925</v>
      </c>
      <c r="FH18" s="22">
        <f t="shared" si="22"/>
        <v>71.118460282851473</v>
      </c>
      <c r="FI18" s="62">
        <f t="shared" si="23"/>
        <v>275.61521021573253</v>
      </c>
      <c r="FJ18" s="62">
        <f ca="1">AVERAGE(OFFSET($FI$3,0,0,'Données projet'!$E$16+1,1))-AVERAGE(OFFSET($H$3,0,0,'Données projet'!$E$16+1,1))</f>
        <v>309.21625451786218</v>
      </c>
      <c r="FK18" s="62">
        <f t="shared" si="48"/>
        <v>302.59481222418219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13.8</v>
      </c>
      <c r="N19" s="14">
        <f>IF('Données projet'!$A$36&gt;35,N18+M19-V18,IF(A19&lt;'Données projet'!$A$36,$K$205^A19,IF(A19='Données projet'!$A$36,'Données projet'!$B$36,N18+M19-V18)))</f>
        <v>78.8</v>
      </c>
      <c r="O19" s="14">
        <f>N19*VLOOKUP('Données projet'!$B$9,Paramètres!$A$1:$I$89,3,0)*VLOOKUP('Données projet'!$B$9,Paramètres!$A$1:$I$89,5,0)</f>
        <v>62.693280000000009</v>
      </c>
      <c r="P19" s="14">
        <f t="shared" si="33"/>
        <v>17.847464769732898</v>
      </c>
      <c r="Q19" s="22">
        <f t="shared" si="2"/>
        <v>140.27513047395146</v>
      </c>
      <c r="R19" s="62">
        <f t="shared" si="0"/>
        <v>347.2171763960655</v>
      </c>
      <c r="S19" s="62">
        <f ca="1">AVERAGE(OFFSET($R$3,0,0,'Données projet'!$E$9+1,1))-AVERAGE(OFFSET($H$3,0,0,'Données projet'!$E$9+1,1))</f>
        <v>394.70330963327166</v>
      </c>
      <c r="T19" s="62">
        <f t="shared" si="34"/>
        <v>424.06445894109982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9.6</v>
      </c>
      <c r="AI19" s="14">
        <f>IF('Données projet'!$A$62&gt;35,AI18+AH19-AQ18,IF(A19&lt;'Données projet'!$A$62,$AF$205^A19,IF(A19='Données projet'!$A$62,'Données projet'!$B$62,AI18+AH19-AQ18)))</f>
        <v>49.6</v>
      </c>
      <c r="AJ19" s="14">
        <f>AI19*VLOOKUP('Données projet'!$B$10,Paramètres!$A$1:$I$89,3,0)*VLOOKUP('Données projet'!$B$10,Paramètres!$A$1:$I$89,5,0)</f>
        <v>40.235520000000001</v>
      </c>
      <c r="AK19" s="14">
        <f t="shared" si="35"/>
        <v>12.061050163607481</v>
      </c>
      <c r="AL19" s="22">
        <f t="shared" si="4"/>
        <v>91.083193034949701</v>
      </c>
      <c r="AM19" s="62">
        <f t="shared" si="5"/>
        <v>298.02523895706378</v>
      </c>
      <c r="AN19" s="62">
        <f ca="1">AVERAGE(OFFSET($AM$3,0,0,'Données projet'!$E$10+1,1))-AVERAGE(OFFSET($H$3,0,0,'Données projet'!$E$10+1,1))</f>
        <v>319.39055628111151</v>
      </c>
      <c r="AO19" s="62">
        <f t="shared" si="36"/>
        <v>312.22190035638084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9.6</v>
      </c>
      <c r="BD19" s="13">
        <f>IF('Données projet'!$A$88&gt;35,BD18+BC19-BL18,IF(A19&lt;'Données projet'!$A$88,$BA$205^A19,IF(A19='Données projet'!$A$88,'Données projet'!$B$88,BD18+BC19-BL18)))</f>
        <v>18.600000000000001</v>
      </c>
      <c r="BE19" s="14">
        <f>BD19*VLOOKUP('Données projet'!$B$11,Paramètres!$A$1:$I$89,3,0)*VLOOKUP('Données projet'!$B$11,Paramètres!$A$1:$I$89,5,0)</f>
        <v>13.637520000000002</v>
      </c>
      <c r="BF19" s="14">
        <f t="shared" si="37"/>
        <v>4.6366494723377283</v>
      </c>
      <c r="BG19" s="22">
        <f t="shared" si="7"/>
        <v>31.827511830988218</v>
      </c>
      <c r="BH19" s="62">
        <f t="shared" si="8"/>
        <v>238.76955775310228</v>
      </c>
      <c r="BI19" s="62">
        <f ca="1">AVERAGE(OFFSET($BH$3,0,0,'Données projet'!$E$11+1,1))-AVERAGE(OFFSET($H$3,0,0,'Données projet'!$E$11+1,1))</f>
        <v>257.906524944431</v>
      </c>
      <c r="BJ19" s="62">
        <f t="shared" si="38"/>
        <v>274.70390601173563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10</v>
      </c>
      <c r="BY19" s="13">
        <f>IF('Données projet'!$A$114&gt;35,BY18+BX19-CG18,IF(A19&lt;'Données projet'!$A$114,$BV$205^A19,IF(A19='Données projet'!$A$114,'Données projet'!$B$114,BY18+BX19-CG18)))</f>
        <v>59</v>
      </c>
      <c r="BZ19" s="14">
        <f>BY19*VLOOKUP('Données projet'!$B$12,Paramètres!$A$1:$I$89,3,0)*VLOOKUP('Données projet'!$B$12,Paramètres!$A$1:$I$89,5,0)</f>
        <v>47.860800000000005</v>
      </c>
      <c r="CA19" s="14">
        <f t="shared" si="39"/>
        <v>14.059903887836867</v>
      </c>
      <c r="CB19" s="22">
        <f t="shared" si="10"/>
        <v>107.84522593798255</v>
      </c>
      <c r="CC19" s="62">
        <f t="shared" si="11"/>
        <v>314.78727186009661</v>
      </c>
      <c r="CD19" s="62">
        <f ca="1">AVERAGE(OFFSET($CC$3,0,0,'Données projet'!$E$12+1,1))-AVERAGE(OFFSET($H$3,0,0,'Données projet'!$E$12+1,1))</f>
        <v>272.69564942740931</v>
      </c>
      <c r="CE19" s="62">
        <f t="shared" si="40"/>
        <v>316.57989180609252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9.1025641025641022</v>
      </c>
      <c r="CT19" s="13">
        <f>IF('Données projet'!$A$140&gt;35,CT18+CS19-DB18,IF(A19&lt;'Données projet'!$A$140,$CQ$205^A19,IF(A19='Données projet'!$A$140,'Données projet'!$B$140,CT18+CS19-DB18)))</f>
        <v>78.333333333333329</v>
      </c>
      <c r="CU19" s="18">
        <f>CT19*VLOOKUP('Données projet'!$B$13,Paramètres!$A$1:$I$89,3,0)*VLOOKUP('Données projet'!$B$13,Paramètres!$A$1:$I$89,5,0)</f>
        <v>74.542000000000002</v>
      </c>
      <c r="CV19" s="14">
        <f t="shared" si="41"/>
        <v>20.797236217950161</v>
      </c>
      <c r="CW19" s="22">
        <f t="shared" si="13"/>
        <v>166.04916974626317</v>
      </c>
      <c r="CX19" s="62">
        <f t="shared" si="14"/>
        <v>372.99121566837721</v>
      </c>
      <c r="CY19" s="62">
        <f ca="1">AVERAGE(OFFSET($CX$3,0,0,'Données projet'!$E$13+1,1))-AVERAGE(OFFSET($H$3,0,0,'Données projet'!$E$13+1,1))</f>
        <v>491.87038198656927</v>
      </c>
      <c r="CZ19" s="62">
        <f t="shared" si="42"/>
        <v>406.49261644949559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3.65</v>
      </c>
      <c r="DO19" s="13">
        <f>IF('Données projet'!$A$166&gt;35,DO18+DN19-DW18,IF(A19&lt;'Données projet'!$A$166,$DL$205^A19,IF(A19='Données projet'!$A$166,'Données projet'!$B$166,DO18+DN19-DW18)))</f>
        <v>30.949831440200953</v>
      </c>
      <c r="DP19" s="18">
        <f>DO19*VLOOKUP('Données projet'!$B$14,Paramètres!$A$1:$I$89,3,0)*VLOOKUP('Données projet'!$B$14,Paramètres!$A$1:$I$89,5,0)</f>
        <v>29.934676968962361</v>
      </c>
      <c r="DQ19" s="14">
        <f t="shared" si="43"/>
        <v>9.2875233828754098</v>
      </c>
      <c r="DR19" s="22">
        <f t="shared" si="16"/>
        <v>68.311998946117441</v>
      </c>
      <c r="DS19" s="62">
        <f t="shared" si="17"/>
        <v>275.25404486823152</v>
      </c>
      <c r="DT19" s="62">
        <f ca="1">AVERAGE(OFFSET($DS$3,0,0,'Données projet'!$E$14+1,1))-AVERAGE(OFFSET($H$3,0,0,'Données projet'!$E$14+1,1))</f>
        <v>603.52431522262032</v>
      </c>
      <c r="DU19" s="62">
        <f t="shared" si="44"/>
        <v>313.56299786481338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16</v>
      </c>
      <c r="EJ19" s="13">
        <f>IF('Données projet'!$A$192&gt;35,EJ18+EI19-ER18,IF(A19&lt;'Données projet'!$A$192,$EG$205^A19,IF(A19='Données projet'!$A$192,'Données projet'!$B$192,EJ18+EI19-ER18)))</f>
        <v>108</v>
      </c>
      <c r="EK19" s="18">
        <f>EJ19*VLOOKUP('Données projet'!$B$15,Paramètres!$A$1:$I$89,3,0)*VLOOKUP('Données projet'!$B$15,Paramètres!$A$1:$I$89,5,0)</f>
        <v>85.924800000000005</v>
      </c>
      <c r="EL19" s="14">
        <f t="shared" si="45"/>
        <v>23.579750090592171</v>
      </c>
      <c r="EM19" s="22">
        <f t="shared" si="19"/>
        <v>190.7204247411147</v>
      </c>
      <c r="EN19" s="62">
        <f t="shared" si="20"/>
        <v>397.66247066322876</v>
      </c>
      <c r="EO19" s="62">
        <f ca="1">AVERAGE(OFFSET($EN$3,0,0,'Données projet'!$E$15+1,1))-AVERAGE(OFFSET($H$3,0,0,'Données projet'!$E$15+1,1))</f>
        <v>450.93388191845378</v>
      </c>
      <c r="EP19" s="62">
        <f t="shared" si="46"/>
        <v>483.33635017129325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9.6</v>
      </c>
      <c r="FE19" s="13">
        <f>IF('Données projet'!$A$218&gt;35,FE18+FD19-FM18,IF(A19&lt;'Données projet'!$A$218,$FB$205^A19,IF(A19='Données projet'!$A$218,'Données projet'!$B$218,FE18+FD19-FM18)))</f>
        <v>49.6</v>
      </c>
      <c r="FF19" s="18">
        <f>FE19*VLOOKUP('Données projet'!$B$16,Paramètres!$A$1:$I$89,3,0)*VLOOKUP('Données projet'!$B$16,Paramètres!$A$1:$I$89,5,0)</f>
        <v>38.688000000000002</v>
      </c>
      <c r="FG19" s="14">
        <f t="shared" si="47"/>
        <v>11.650229083154354</v>
      </c>
      <c r="FH19" s="22">
        <f t="shared" si="22"/>
        <v>87.672415653160499</v>
      </c>
      <c r="FI19" s="62">
        <f t="shared" si="23"/>
        <v>294.61446157527456</v>
      </c>
      <c r="FJ19" s="62">
        <f ca="1">AVERAGE(OFFSET($FI$3,0,0,'Données projet'!$E$16+1,1))-AVERAGE(OFFSET($H$3,0,0,'Données projet'!$E$16+1,1))</f>
        <v>309.21625451786218</v>
      </c>
      <c r="FK19" s="62">
        <f t="shared" si="48"/>
        <v>302.59481222418219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13.8</v>
      </c>
      <c r="N20" s="14">
        <f>IF('Données projet'!$A$36&gt;35,N19+M20-V19,IF(A20&lt;'Données projet'!$A$36,$K$205^A20,IF(A20='Données projet'!$A$36,'Données projet'!$B$36,N19+M20-V19)))</f>
        <v>92.6</v>
      </c>
      <c r="O20" s="14">
        <f>N20*VLOOKUP('Données projet'!$B$9,Paramètres!$A$1:$I$89,3,0)*VLOOKUP('Données projet'!$B$9,Paramètres!$A$1:$I$89,5,0)</f>
        <v>73.672560000000004</v>
      </c>
      <c r="P20" s="14">
        <f t="shared" si="33"/>
        <v>20.582751720906476</v>
      </c>
      <c r="Q20" s="22">
        <f t="shared" si="2"/>
        <v>164.16133458057877</v>
      </c>
      <c r="R20" s="62">
        <f t="shared" si="0"/>
        <v>373.52745889645149</v>
      </c>
      <c r="S20" s="62">
        <f ca="1">AVERAGE(OFFSET($R$3,0,0,'Données projet'!$E$9+1,1))-AVERAGE(OFFSET($H$3,0,0,'Données projet'!$E$9+1,1))</f>
        <v>394.70330963327166</v>
      </c>
      <c r="T20" s="62">
        <f t="shared" si="34"/>
        <v>424.06445894109982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9.6</v>
      </c>
      <c r="AI20" s="14">
        <f>IF('Données projet'!$A$62&gt;35,AI19+AH20-AQ19,IF(A20&lt;'Données projet'!$A$62,$AF$205^A20,IF(A20='Données projet'!$A$62,'Données projet'!$B$62,AI19+AH20-AQ19)))</f>
        <v>59.2</v>
      </c>
      <c r="AJ20" s="14">
        <f>AI20*VLOOKUP('Données projet'!$B$10,Paramètres!$A$1:$I$89,3,0)*VLOOKUP('Données projet'!$B$10,Paramètres!$A$1:$I$89,5,0)</f>
        <v>48.023040000000009</v>
      </c>
      <c r="AK20" s="14">
        <f t="shared" si="35"/>
        <v>14.102008576602165</v>
      </c>
      <c r="AL20" s="22">
        <f t="shared" si="4"/>
        <v>108.20112627091545</v>
      </c>
      <c r="AM20" s="62">
        <f t="shared" si="5"/>
        <v>317.56725058678819</v>
      </c>
      <c r="AN20" s="62">
        <f ca="1">AVERAGE(OFFSET($AM$3,0,0,'Données projet'!$E$10+1,1))-AVERAGE(OFFSET($H$3,0,0,'Données projet'!$E$10+1,1))</f>
        <v>319.39055628111151</v>
      </c>
      <c r="AO20" s="62">
        <f t="shared" si="36"/>
        <v>312.22190035638084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9.6</v>
      </c>
      <c r="BD20" s="13">
        <f>IF('Données projet'!$A$88&gt;35,BD19+BC20-BL19,IF(A20&lt;'Données projet'!$A$88,$BA$205^A20,IF(A20='Données projet'!$A$88,'Données projet'!$B$88,BD19+BC20-BL19)))</f>
        <v>28.200000000000003</v>
      </c>
      <c r="BE20" s="14">
        <f>BD20*VLOOKUP('Données projet'!$B$11,Paramètres!$A$1:$I$89,3,0)*VLOOKUP('Données projet'!$B$11,Paramètres!$A$1:$I$89,5,0)</f>
        <v>20.676240000000004</v>
      </c>
      <c r="BF20" s="14">
        <f t="shared" si="37"/>
        <v>6.6973460495067982</v>
      </c>
      <c r="BG20" s="22">
        <f t="shared" si="7"/>
        <v>47.675662369557671</v>
      </c>
      <c r="BH20" s="62">
        <f t="shared" si="8"/>
        <v>257.0417866854304</v>
      </c>
      <c r="BI20" s="62">
        <f ca="1">AVERAGE(OFFSET($BH$3,0,0,'Données projet'!$E$11+1,1))-AVERAGE(OFFSET($H$3,0,0,'Données projet'!$E$11+1,1))</f>
        <v>257.906524944431</v>
      </c>
      <c r="BJ20" s="62">
        <f t="shared" si="38"/>
        <v>274.70390601173563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10</v>
      </c>
      <c r="BY20" s="13">
        <f>IF('Données projet'!$A$114&gt;35,BY19+BX20-CG19,IF(A20&lt;'Données projet'!$A$114,$BV$205^A20,IF(A20='Données projet'!$A$114,'Données projet'!$B$114,BY19+BX20-CG19)))</f>
        <v>69</v>
      </c>
      <c r="BZ20" s="14">
        <f>BY20*VLOOKUP('Données projet'!$B$12,Paramètres!$A$1:$I$89,3,0)*VLOOKUP('Données projet'!$B$12,Paramètres!$A$1:$I$89,5,0)</f>
        <v>55.972800000000007</v>
      </c>
      <c r="CA20" s="14">
        <f t="shared" si="39"/>
        <v>16.145985978099571</v>
      </c>
      <c r="CB20" s="22">
        <f t="shared" si="10"/>
        <v>125.60688557852342</v>
      </c>
      <c r="CC20" s="62">
        <f t="shared" si="11"/>
        <v>334.97300989439611</v>
      </c>
      <c r="CD20" s="62">
        <f ca="1">AVERAGE(OFFSET($CC$3,0,0,'Données projet'!$E$12+1,1))-AVERAGE(OFFSET($H$3,0,0,'Données projet'!$E$12+1,1))</f>
        <v>272.69564942740931</v>
      </c>
      <c r="CE20" s="62">
        <f t="shared" si="40"/>
        <v>316.57989180609252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9.1025641025641022</v>
      </c>
      <c r="CT20" s="13">
        <f>IF('Données projet'!$A$140&gt;35,CT19+CS20-DB19,IF(A20&lt;'Données projet'!$A$140,$CQ$205^A20,IF(A20='Données projet'!$A$140,'Données projet'!$B$140,CT19+CS20-DB19)))</f>
        <v>87.435897435897431</v>
      </c>
      <c r="CU20" s="18">
        <f>CT20*VLOOKUP('Données projet'!$B$13,Paramètres!$A$1:$I$89,3,0)*VLOOKUP('Données projet'!$B$13,Paramètres!$A$1:$I$89,5,0)</f>
        <v>83.203999999999994</v>
      </c>
      <c r="CV20" s="14">
        <f t="shared" si="41"/>
        <v>22.918779415103987</v>
      </c>
      <c r="CW20" s="22">
        <f t="shared" si="13"/>
        <v>184.83050748130609</v>
      </c>
      <c r="CX20" s="62">
        <f t="shared" si="14"/>
        <v>394.19663179717884</v>
      </c>
      <c r="CY20" s="62">
        <f ca="1">AVERAGE(OFFSET($CX$3,0,0,'Données projet'!$E$13+1,1))-AVERAGE(OFFSET($H$3,0,0,'Données projet'!$E$13+1,1))</f>
        <v>491.87038198656927</v>
      </c>
      <c r="CZ20" s="62">
        <f t="shared" si="42"/>
        <v>406.49261644949559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3.65</v>
      </c>
      <c r="DO20" s="13">
        <f>IF('Données projet'!$A$166&gt;35,DO19+DN20-DW19,IF(A20&lt;'Données projet'!$A$166,$DL$205^A20,IF(A20='Données projet'!$A$166,'Données projet'!$B$166,DO19+DN20-DW19)))</f>
        <v>38.355215845858055</v>
      </c>
      <c r="DP20" s="18">
        <f>DO20*VLOOKUP('Données projet'!$B$14,Paramètres!$A$1:$I$89,3,0)*VLOOKUP('Données projet'!$B$14,Paramètres!$A$1:$I$89,5,0)</f>
        <v>37.097164766113913</v>
      </c>
      <c r="DQ20" s="14">
        <f t="shared" si="43"/>
        <v>11.225909174194843</v>
      </c>
      <c r="DR20" s="22">
        <f t="shared" si="16"/>
        <v>84.162687112704418</v>
      </c>
      <c r="DS20" s="62">
        <f t="shared" si="17"/>
        <v>293.52881142857711</v>
      </c>
      <c r="DT20" s="62">
        <f ca="1">AVERAGE(OFFSET($DS$3,0,0,'Données projet'!$E$14+1,1))-AVERAGE(OFFSET($H$3,0,0,'Données projet'!$E$14+1,1))</f>
        <v>603.52431522262032</v>
      </c>
      <c r="DU20" s="62">
        <f t="shared" si="44"/>
        <v>313.56299786481338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16</v>
      </c>
      <c r="EJ20" s="13">
        <f>IF('Données projet'!$A$192&gt;35,EJ19+EI20-ER19,IF(A20&lt;'Données projet'!$A$192,$EG$205^A20,IF(A20='Données projet'!$A$192,'Données projet'!$B$192,EJ19+EI20-ER19)))</f>
        <v>124</v>
      </c>
      <c r="EK20" s="18">
        <f>EJ20*VLOOKUP('Données projet'!$B$15,Paramètres!$A$1:$I$89,3,0)*VLOOKUP('Données projet'!$B$15,Paramètres!$A$1:$I$89,5,0)</f>
        <v>98.65440000000001</v>
      </c>
      <c r="EL20" s="14">
        <f t="shared" si="45"/>
        <v>26.641174586135573</v>
      </c>
      <c r="EM20" s="22">
        <f t="shared" si="19"/>
        <v>218.22312573751947</v>
      </c>
      <c r="EN20" s="62">
        <f t="shared" si="20"/>
        <v>427.58925005339222</v>
      </c>
      <c r="EO20" s="62">
        <f ca="1">AVERAGE(OFFSET($EN$3,0,0,'Données projet'!$E$15+1,1))-AVERAGE(OFFSET($H$3,0,0,'Données projet'!$E$15+1,1))</f>
        <v>450.93388191845378</v>
      </c>
      <c r="EP20" s="62">
        <f t="shared" si="46"/>
        <v>483.33635017129325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9.6</v>
      </c>
      <c r="FE20" s="13">
        <f>IF('Données projet'!$A$218&gt;35,FE19+FD20-FM19,IF(A20&lt;'Données projet'!$A$218,$FB$205^A20,IF(A20='Données projet'!$A$218,'Données projet'!$B$218,FE19+FD20-FM19)))</f>
        <v>59.2</v>
      </c>
      <c r="FF20" s="18">
        <f>FE20*VLOOKUP('Données projet'!$B$16,Paramètres!$A$1:$I$89,3,0)*VLOOKUP('Données projet'!$B$16,Paramètres!$A$1:$I$89,5,0)</f>
        <v>46.176000000000002</v>
      </c>
      <c r="FG20" s="14">
        <f t="shared" si="47"/>
        <v>13.621668778540489</v>
      </c>
      <c r="FH20" s="22">
        <f t="shared" si="22"/>
        <v>104.14760645595801</v>
      </c>
      <c r="FI20" s="62">
        <f t="shared" si="23"/>
        <v>313.51373077183075</v>
      </c>
      <c r="FJ20" s="62">
        <f ca="1">AVERAGE(OFFSET($FI$3,0,0,'Données projet'!$E$16+1,1))-AVERAGE(OFFSET($H$3,0,0,'Données projet'!$E$16+1,1))</f>
        <v>309.21625451786218</v>
      </c>
      <c r="FK20" s="62">
        <f t="shared" si="48"/>
        <v>302.59481222418219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13.8</v>
      </c>
      <c r="N21" s="14">
        <f>IF('Données projet'!$A$36&gt;35,N20+M21-V20,IF(A21&lt;'Données projet'!$A$36,$K$205^A21,IF(A21='Données projet'!$A$36,'Données projet'!$B$36,N20+M21-V20)))</f>
        <v>106.39999999999999</v>
      </c>
      <c r="O21" s="14">
        <f>N21*VLOOKUP('Données projet'!$B$9,Paramètres!$A$1:$I$89,3,0)*VLOOKUP('Données projet'!$B$9,Paramètres!$A$1:$I$89,5,0)</f>
        <v>84.651839999999993</v>
      </c>
      <c r="P21" s="14">
        <f t="shared" si="33"/>
        <v>23.2708148096863</v>
      </c>
      <c r="Q21" s="22">
        <f t="shared" si="2"/>
        <v>187.96529046020362</v>
      </c>
      <c r="R21" s="62">
        <f t="shared" si="0"/>
        <v>399.73464365220673</v>
      </c>
      <c r="S21" s="62">
        <f ca="1">AVERAGE(OFFSET($R$3,0,0,'Données projet'!$E$9+1,1))-AVERAGE(OFFSET($H$3,0,0,'Données projet'!$E$9+1,1))</f>
        <v>394.70330963327166</v>
      </c>
      <c r="T21" s="62">
        <f t="shared" si="34"/>
        <v>424.06445894109982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9.6</v>
      </c>
      <c r="AI21" s="14">
        <f>IF('Données projet'!$A$62&gt;35,AI20+AH21-AQ20,IF(A21&lt;'Données projet'!$A$62,$AF$205^A21,IF(A21='Données projet'!$A$62,'Données projet'!$B$62,AI20+AH21-AQ20)))</f>
        <v>68.8</v>
      </c>
      <c r="AJ21" s="14">
        <f>AI21*VLOOKUP('Données projet'!$B$10,Paramètres!$A$1:$I$89,3,0)*VLOOKUP('Données projet'!$B$10,Paramètres!$A$1:$I$89,5,0)</f>
        <v>55.810559999999995</v>
      </c>
      <c r="AK21" s="14">
        <f t="shared" si="35"/>
        <v>16.1046265504982</v>
      </c>
      <c r="AL21" s="22">
        <f t="shared" si="4"/>
        <v>125.25228324211768</v>
      </c>
      <c r="AM21" s="62">
        <f t="shared" si="5"/>
        <v>337.02163643412081</v>
      </c>
      <c r="AN21" s="62">
        <f ca="1">AVERAGE(OFFSET($AM$3,0,0,'Données projet'!$E$10+1,1))-AVERAGE(OFFSET($H$3,0,0,'Données projet'!$E$10+1,1))</f>
        <v>319.39055628111151</v>
      </c>
      <c r="AO21" s="62">
        <f t="shared" si="36"/>
        <v>312.22190035638084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9.6</v>
      </c>
      <c r="BD21" s="13">
        <f>IF('Données projet'!$A$88&gt;35,BD20+BC21-BL20,IF(A21&lt;'Données projet'!$A$88,$BA$205^A21,IF(A21='Données projet'!$A$88,'Données projet'!$B$88,BD20+BC21-BL20)))</f>
        <v>37.800000000000004</v>
      </c>
      <c r="BE21" s="14">
        <f>BD21*VLOOKUP('Données projet'!$B$11,Paramètres!$A$1:$I$89,3,0)*VLOOKUP('Données projet'!$B$11,Paramètres!$A$1:$I$89,5,0)</f>
        <v>27.714960000000005</v>
      </c>
      <c r="BF21" s="14">
        <f t="shared" si="37"/>
        <v>8.6762964320028821</v>
      </c>
      <c r="BG21" s="22">
        <f t="shared" si="7"/>
        <v>63.381438285738369</v>
      </c>
      <c r="BH21" s="62">
        <f t="shared" si="8"/>
        <v>275.15079147774145</v>
      </c>
      <c r="BI21" s="62">
        <f ca="1">AVERAGE(OFFSET($BH$3,0,0,'Données projet'!$E$11+1,1))-AVERAGE(OFFSET($H$3,0,0,'Données projet'!$E$11+1,1))</f>
        <v>257.906524944431</v>
      </c>
      <c r="BJ21" s="62">
        <f t="shared" si="38"/>
        <v>274.70390601173563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10</v>
      </c>
      <c r="BY21" s="13">
        <f>IF('Données projet'!$A$114&gt;35,BY20+BX21-CG20,IF(A21&lt;'Données projet'!$A$114,$BV$205^A21,IF(A21='Données projet'!$A$114,'Données projet'!$B$114,BY20+BX21-CG20)))</f>
        <v>79</v>
      </c>
      <c r="BZ21" s="14">
        <f>BY21*VLOOKUP('Données projet'!$B$12,Paramètres!$A$1:$I$89,3,0)*VLOOKUP('Données projet'!$B$12,Paramètres!$A$1:$I$89,5,0)</f>
        <v>64.084800000000001</v>
      </c>
      <c r="CA21" s="14">
        <f t="shared" si="39"/>
        <v>18.197042620605469</v>
      </c>
      <c r="CB21" s="22">
        <f t="shared" si="10"/>
        <v>143.30754256422119</v>
      </c>
      <c r="CC21" s="62">
        <f t="shared" si="11"/>
        <v>355.0768957562243</v>
      </c>
      <c r="CD21" s="62">
        <f ca="1">AVERAGE(OFFSET($CC$3,0,0,'Données projet'!$E$12+1,1))-AVERAGE(OFFSET($H$3,0,0,'Données projet'!$E$12+1,1))</f>
        <v>272.69564942740931</v>
      </c>
      <c r="CE21" s="62">
        <f t="shared" si="40"/>
        <v>316.57989180609252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9.1025641025641022</v>
      </c>
      <c r="CT21" s="13">
        <f>IF('Données projet'!$A$140&gt;35,CT20+CS21-DB20,IF(A21&lt;'Données projet'!$A$140,$CQ$205^A21,IF(A21='Données projet'!$A$140,'Données projet'!$B$140,CT20+CS21-DB20)))</f>
        <v>96.538461538461533</v>
      </c>
      <c r="CU21" s="18">
        <f>CT21*VLOOKUP('Données projet'!$B$13,Paramètres!$A$1:$I$89,3,0)*VLOOKUP('Données projet'!$B$13,Paramètres!$A$1:$I$89,5,0)</f>
        <v>91.866</v>
      </c>
      <c r="CV21" s="14">
        <f t="shared" si="41"/>
        <v>25.014720357915166</v>
      </c>
      <c r="CW21" s="22">
        <f t="shared" si="13"/>
        <v>203.56725462336894</v>
      </c>
      <c r="CX21" s="62">
        <f t="shared" si="14"/>
        <v>415.33660781537208</v>
      </c>
      <c r="CY21" s="62">
        <f ca="1">AVERAGE(OFFSET($CX$3,0,0,'Données projet'!$E$13+1,1))-AVERAGE(OFFSET($H$3,0,0,'Données projet'!$E$13+1,1))</f>
        <v>491.87038198656927</v>
      </c>
      <c r="CZ21" s="62">
        <f t="shared" si="42"/>
        <v>406.49261644949559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3.65</v>
      </c>
      <c r="DO21" s="13">
        <f>IF('Données projet'!$A$166&gt;35,DO20+DN21-DW20,IF(A21&lt;'Données projet'!$A$166,$DL$205^A21,IF(A21='Données projet'!$A$166,'Données projet'!$B$166,DO20+DN21-DW20)))</f>
        <v>47.532490941824946</v>
      </c>
      <c r="DP21" s="18">
        <f>DO21*VLOOKUP('Données projet'!$B$14,Paramètres!$A$1:$I$89,3,0)*VLOOKUP('Données projet'!$B$14,Paramètres!$A$1:$I$89,5,0)</f>
        <v>45.973425238933089</v>
      </c>
      <c r="DQ21" s="14">
        <f t="shared" si="43"/>
        <v>13.56885270616201</v>
      </c>
      <c r="DR21" s="22">
        <f t="shared" si="16"/>
        <v>103.70280075437397</v>
      </c>
      <c r="DS21" s="62">
        <f t="shared" si="17"/>
        <v>315.47215394637709</v>
      </c>
      <c r="DT21" s="62">
        <f ca="1">AVERAGE(OFFSET($DS$3,0,0,'Données projet'!$E$14+1,1))-AVERAGE(OFFSET($H$3,0,0,'Données projet'!$E$14+1,1))</f>
        <v>603.52431522262032</v>
      </c>
      <c r="DU21" s="62">
        <f t="shared" si="44"/>
        <v>313.56299786481338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16</v>
      </c>
      <c r="EJ21" s="13">
        <f>IF('Données projet'!$A$192&gt;35,EJ20+EI21-ER20,IF(A21&lt;'Données projet'!$A$192,$EG$205^A21,IF(A21='Données projet'!$A$192,'Données projet'!$B$192,EJ20+EI21-ER20)))</f>
        <v>140</v>
      </c>
      <c r="EK21" s="18">
        <f>EJ21*VLOOKUP('Données projet'!$B$15,Paramètres!$A$1:$I$89,3,0)*VLOOKUP('Données projet'!$B$15,Paramètres!$A$1:$I$89,5,0)</f>
        <v>111.38400000000001</v>
      </c>
      <c r="EL21" s="14">
        <f t="shared" si="45"/>
        <v>29.656828101147433</v>
      </c>
      <c r="EM21" s="22">
        <f t="shared" si="19"/>
        <v>245.6461089428318</v>
      </c>
      <c r="EN21" s="62">
        <f t="shared" si="20"/>
        <v>457.41546213483491</v>
      </c>
      <c r="EO21" s="62">
        <f ca="1">AVERAGE(OFFSET($EN$3,0,0,'Données projet'!$E$15+1,1))-AVERAGE(OFFSET($H$3,0,0,'Données projet'!$E$15+1,1))</f>
        <v>450.93388191845378</v>
      </c>
      <c r="EP21" s="62">
        <f t="shared" si="46"/>
        <v>483.33635017129325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9.6</v>
      </c>
      <c r="FE21" s="13">
        <f>IF('Données projet'!$A$218&gt;35,FE20+FD21-FM20,IF(A21&lt;'Données projet'!$A$218,$FB$205^A21,IF(A21='Données projet'!$A$218,'Données projet'!$B$218,FE20+FD21-FM20)))</f>
        <v>68.8</v>
      </c>
      <c r="FF21" s="18">
        <f>FE21*VLOOKUP('Données projet'!$B$16,Paramètres!$A$1:$I$89,3,0)*VLOOKUP('Données projet'!$B$16,Paramètres!$A$1:$I$89,5,0)</f>
        <v>53.664000000000001</v>
      </c>
      <c r="FG21" s="14">
        <f t="shared" si="47"/>
        <v>15.556073979202782</v>
      </c>
      <c r="FH21" s="22">
        <f t="shared" si="22"/>
        <v>120.55829551377816</v>
      </c>
      <c r="FI21" s="62">
        <f t="shared" si="23"/>
        <v>332.32764870578126</v>
      </c>
      <c r="FJ21" s="62">
        <f ca="1">AVERAGE(OFFSET($FI$3,0,0,'Données projet'!$E$16+1,1))-AVERAGE(OFFSET($H$3,0,0,'Données projet'!$E$16+1,1))</f>
        <v>309.21625451786218</v>
      </c>
      <c r="FK21" s="62">
        <f t="shared" si="48"/>
        <v>302.59481222418219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13.8</v>
      </c>
      <c r="N22" s="14">
        <f>IF('Données projet'!$A$36&gt;35,N21+M22-V21,IF(A22&lt;'Données projet'!$A$36,$K$205^A22,IF(A22='Données projet'!$A$36,'Données projet'!$B$36,N21+M22-V21)))</f>
        <v>120.19999999999999</v>
      </c>
      <c r="O22" s="14">
        <f>N22*VLOOKUP('Données projet'!$B$9,Paramètres!$A$1:$I$89,3,0)*VLOOKUP('Données projet'!$B$9,Paramètres!$A$1:$I$89,5,0)</f>
        <v>95.631119999999996</v>
      </c>
      <c r="P22" s="14">
        <f t="shared" si="33"/>
        <v>25.918481589892259</v>
      </c>
      <c r="Q22" s="22">
        <f t="shared" si="2"/>
        <v>211.698889435729</v>
      </c>
      <c r="R22" s="62">
        <f t="shared" si="0"/>
        <v>425.85098367875253</v>
      </c>
      <c r="S22" s="62">
        <f ca="1">AVERAGE(OFFSET($R$3,0,0,'Données projet'!$E$9+1,1))-AVERAGE(OFFSET($H$3,0,0,'Données projet'!$E$9+1,1))</f>
        <v>394.70330963327166</v>
      </c>
      <c r="T22" s="62">
        <f t="shared" si="34"/>
        <v>424.06445894109982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9.6</v>
      </c>
      <c r="AI22" s="14">
        <f>IF('Données projet'!$A$62&gt;35,AI21+AH22-AQ21,IF(A22&lt;'Données projet'!$A$62,$AF$205^A22,IF(A22='Données projet'!$A$62,'Données projet'!$B$62,AI21+AH22-AQ21)))</f>
        <v>78.399999999999991</v>
      </c>
      <c r="AJ22" s="14">
        <f>AI22*VLOOKUP('Données projet'!$B$10,Paramètres!$A$1:$I$89,3,0)*VLOOKUP('Données projet'!$B$10,Paramètres!$A$1:$I$89,5,0)</f>
        <v>63.598079999999989</v>
      </c>
      <c r="AK22" s="14">
        <f t="shared" si="35"/>
        <v>18.074870208108596</v>
      </c>
      <c r="AL22" s="22">
        <f t="shared" si="4"/>
        <v>142.24705494578913</v>
      </c>
      <c r="AM22" s="62">
        <f t="shared" si="5"/>
        <v>356.39914918881266</v>
      </c>
      <c r="AN22" s="62">
        <f ca="1">AVERAGE(OFFSET($AM$3,0,0,'Données projet'!$E$10+1,1))-AVERAGE(OFFSET($H$3,0,0,'Données projet'!$E$10+1,1))</f>
        <v>319.39055628111151</v>
      </c>
      <c r="AO22" s="62">
        <f t="shared" si="36"/>
        <v>312.22190035638084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9.6</v>
      </c>
      <c r="BD22" s="13">
        <f>IF('Données projet'!$A$88&gt;35,BD21+BC22-BL21,IF(A22&lt;'Données projet'!$A$88,$BA$205^A22,IF(A22='Données projet'!$A$88,'Données projet'!$B$88,BD21+BC22-BL21)))</f>
        <v>47.400000000000006</v>
      </c>
      <c r="BE22" s="14">
        <f>BD22*VLOOKUP('Données projet'!$B$11,Paramètres!$A$1:$I$89,3,0)*VLOOKUP('Données projet'!$B$11,Paramètres!$A$1:$I$89,5,0)</f>
        <v>34.753680000000003</v>
      </c>
      <c r="BF22" s="14">
        <f t="shared" si="37"/>
        <v>10.596937427931278</v>
      </c>
      <c r="BG22" s="22">
        <f t="shared" si="7"/>
        <v>78.985658686980315</v>
      </c>
      <c r="BH22" s="62">
        <f t="shared" si="8"/>
        <v>293.13775293000384</v>
      </c>
      <c r="BI22" s="62">
        <f ca="1">AVERAGE(OFFSET($BH$3,0,0,'Données projet'!$E$11+1,1))-AVERAGE(OFFSET($H$3,0,0,'Données projet'!$E$11+1,1))</f>
        <v>257.906524944431</v>
      </c>
      <c r="BJ22" s="62">
        <f t="shared" si="38"/>
        <v>274.70390601173563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10</v>
      </c>
      <c r="BY22" s="13">
        <f>IF('Données projet'!$A$114&gt;35,BY21+BX22-CG21,IF(A22&lt;'Données projet'!$A$114,$BV$205^A22,IF(A22='Données projet'!$A$114,'Données projet'!$B$114,BY21+BX22-CG21)))</f>
        <v>89</v>
      </c>
      <c r="BZ22" s="14">
        <f>BY22*VLOOKUP('Données projet'!$B$12,Paramètres!$A$1:$I$89,3,0)*VLOOKUP('Données projet'!$B$12,Paramètres!$A$1:$I$89,5,0)</f>
        <v>72.19680000000001</v>
      </c>
      <c r="CA22" s="14">
        <f t="shared" si="39"/>
        <v>20.218015459285922</v>
      </c>
      <c r="CB22" s="22">
        <f t="shared" si="10"/>
        <v>160.95580359158967</v>
      </c>
      <c r="CC22" s="62">
        <f t="shared" si="11"/>
        <v>375.1078978346132</v>
      </c>
      <c r="CD22" s="62">
        <f ca="1">AVERAGE(OFFSET($CC$3,0,0,'Données projet'!$E$12+1,1))-AVERAGE(OFFSET($H$3,0,0,'Données projet'!$E$12+1,1))</f>
        <v>272.69564942740931</v>
      </c>
      <c r="CE22" s="62">
        <f t="shared" si="40"/>
        <v>316.57989180609252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9.1025641025641022</v>
      </c>
      <c r="CT22" s="13">
        <f>IF('Données projet'!$A$140&gt;35,CT21+CS22-DB21,IF(A22&lt;'Données projet'!$A$140,$CQ$205^A22,IF(A22='Données projet'!$A$140,'Données projet'!$B$140,CT21+CS22-DB21)))</f>
        <v>105.64102564102564</v>
      </c>
      <c r="CU22" s="18">
        <f>CT22*VLOOKUP('Données projet'!$B$13,Paramètres!$A$1:$I$89,3,0)*VLOOKUP('Données projet'!$B$13,Paramètres!$A$1:$I$89,5,0)</f>
        <v>100.52799999999999</v>
      </c>
      <c r="CV22" s="14">
        <f t="shared" si="41"/>
        <v>27.087747688777924</v>
      </c>
      <c r="CW22" s="22">
        <f t="shared" si="13"/>
        <v>222.26409389128818</v>
      </c>
      <c r="CX22" s="62">
        <f t="shared" si="14"/>
        <v>436.41618813431171</v>
      </c>
      <c r="CY22" s="62">
        <f ca="1">AVERAGE(OFFSET($CX$3,0,0,'Données projet'!$E$13+1,1))-AVERAGE(OFFSET($H$3,0,0,'Données projet'!$E$13+1,1))</f>
        <v>491.87038198656927</v>
      </c>
      <c r="CZ22" s="62">
        <f t="shared" si="42"/>
        <v>406.49261644949559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3.65</v>
      </c>
      <c r="DO22" s="13">
        <f>IF('Données projet'!$A$166&gt;35,DO21+DN22-DW21,IF(A22&lt;'Données projet'!$A$166,$DL$205^A22,IF(A22='Données projet'!$A$166,'Données projet'!$B$166,DO21+DN22-DW21)))</f>
        <v>58.90561805764559</v>
      </c>
      <c r="DP22" s="18">
        <f>DO22*VLOOKUP('Données projet'!$B$14,Paramètres!$A$1:$I$89,3,0)*VLOOKUP('Données projet'!$B$14,Paramètres!$A$1:$I$89,5,0)</f>
        <v>56.973513785354818</v>
      </c>
      <c r="DQ22" s="14">
        <f t="shared" si="43"/>
        <v>16.400788649238766</v>
      </c>
      <c r="DR22" s="22">
        <f t="shared" si="16"/>
        <v>127.7935767402505</v>
      </c>
      <c r="DS22" s="62">
        <f t="shared" si="17"/>
        <v>341.945670983274</v>
      </c>
      <c r="DT22" s="62">
        <f ca="1">AVERAGE(OFFSET($DS$3,0,0,'Données projet'!$E$14+1,1))-AVERAGE(OFFSET($H$3,0,0,'Données projet'!$E$14+1,1))</f>
        <v>603.52431522262032</v>
      </c>
      <c r="DU22" s="62">
        <f t="shared" si="44"/>
        <v>313.56299786481338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16</v>
      </c>
      <c r="EJ22" s="13">
        <f>IF('Données projet'!$A$192&gt;35,EJ21+EI22-ER21,IF(A22&lt;'Données projet'!$A$192,$EG$205^A22,IF(A22='Données projet'!$A$192,'Données projet'!$B$192,EJ21+EI22-ER21)))</f>
        <v>156</v>
      </c>
      <c r="EK22" s="18">
        <f>EJ22*VLOOKUP('Données projet'!$B$15,Paramètres!$A$1:$I$89,3,0)*VLOOKUP('Données projet'!$B$15,Paramètres!$A$1:$I$89,5,0)</f>
        <v>124.11360000000001</v>
      </c>
      <c r="EL22" s="14">
        <f t="shared" si="45"/>
        <v>32.632538771598028</v>
      </c>
      <c r="EM22" s="22">
        <f t="shared" si="19"/>
        <v>272.99952502719992</v>
      </c>
      <c r="EN22" s="62">
        <f t="shared" si="20"/>
        <v>487.15161927022348</v>
      </c>
      <c r="EO22" s="62">
        <f ca="1">AVERAGE(OFFSET($EN$3,0,0,'Données projet'!$E$15+1,1))-AVERAGE(OFFSET($H$3,0,0,'Données projet'!$E$15+1,1))</f>
        <v>450.93388191845378</v>
      </c>
      <c r="EP22" s="62">
        <f t="shared" si="46"/>
        <v>483.33635017129325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9.6</v>
      </c>
      <c r="FE22" s="13">
        <f>IF('Données projet'!$A$218&gt;35,FE21+FD22-FM21,IF(A22&lt;'Données projet'!$A$218,$FB$205^A22,IF(A22='Données projet'!$A$218,'Données projet'!$B$218,FE21+FD22-FM21)))</f>
        <v>78.399999999999991</v>
      </c>
      <c r="FF22" s="18">
        <f>FE22*VLOOKUP('Données projet'!$B$16,Paramètres!$A$1:$I$89,3,0)*VLOOKUP('Données projet'!$B$16,Paramètres!$A$1:$I$89,5,0)</f>
        <v>61.151999999999994</v>
      </c>
      <c r="FG22" s="14">
        <f t="shared" si="47"/>
        <v>17.459207591071255</v>
      </c>
      <c r="FH22" s="22">
        <f t="shared" si="22"/>
        <v>136.9145198877824</v>
      </c>
      <c r="FI22" s="62">
        <f t="shared" si="23"/>
        <v>351.06661413080593</v>
      </c>
      <c r="FJ22" s="62">
        <f ca="1">AVERAGE(OFFSET($FI$3,0,0,'Données projet'!$E$16+1,1))-AVERAGE(OFFSET($H$3,0,0,'Données projet'!$E$16+1,1))</f>
        <v>309.21625451786218</v>
      </c>
      <c r="FK22" s="62">
        <f t="shared" si="48"/>
        <v>302.59481222418219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134</v>
      </c>
      <c r="L23" s="13">
        <f>VLOOKUP(A23,'Données projet'!$A$35:$I$55,9,0)</f>
        <v>13.8</v>
      </c>
      <c r="M23" s="13">
        <f t="array" ref="M23">INDEX(L:L,MIN(IF(ISNUMBER(L23:L219),ROW(L23:L219),"")))</f>
        <v>13.8</v>
      </c>
      <c r="N23" s="14">
        <f>IF('Données projet'!$A$36&gt;35,N22+M23-V22,IF(A23&lt;'Données projet'!$A$36,$K$205^A23,IF(A23='Données projet'!$A$36,'Données projet'!$B$36,N22+M23-V22)))</f>
        <v>134</v>
      </c>
      <c r="O23" s="14">
        <f>N23*VLOOKUP('Données projet'!$B$9,Paramètres!$A$1:$I$89,3,0)*VLOOKUP('Données projet'!$B$9,Paramètres!$A$1:$I$89,5,0)</f>
        <v>106.61040000000001</v>
      </c>
      <c r="P23" s="14">
        <f t="shared" si="33"/>
        <v>28.530919434405451</v>
      </c>
      <c r="Q23" s="22">
        <f t="shared" si="2"/>
        <v>235.3711313482562</v>
      </c>
      <c r="R23" s="62">
        <f t="shared" si="0"/>
        <v>451.88583423515195</v>
      </c>
      <c r="S23" s="62">
        <f ca="1">AVERAGE(OFFSET($R$3,0,0,'Données projet'!$E$9+1,1))-AVERAGE(OFFSET($H$3,0,0,'Données projet'!$E$9+1,1))</f>
        <v>394.70330963327166</v>
      </c>
      <c r="T23" s="62">
        <f t="shared" si="34"/>
        <v>424.06445894109982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67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88</v>
      </c>
      <c r="AG23" s="13">
        <f>VLOOKUP(A23,'Données projet'!$A$61:$I$81,9,0)</f>
        <v>9.6</v>
      </c>
      <c r="AH23" s="13">
        <f t="array" ref="AH23">INDEX(AG:AG,MIN(IF(ISNUMBER(AG23:AG219),ROW(AG23:AG219),"")))</f>
        <v>9.6</v>
      </c>
      <c r="AI23" s="14">
        <f>IF('Données projet'!$A$62&gt;35,AI22+AH23-AQ22,IF(A23&lt;'Données projet'!$A$62,$AF$205^A23,IF(A23='Données projet'!$A$62,'Données projet'!$B$62,AI22+AH23-AQ22)))</f>
        <v>87.999999999999986</v>
      </c>
      <c r="AJ23" s="14">
        <f>AI23*VLOOKUP('Données projet'!$B$10,Paramètres!$A$1:$I$89,3,0)*VLOOKUP('Données projet'!$B$10,Paramètres!$A$1:$I$89,5,0)</f>
        <v>71.385599999999982</v>
      </c>
      <c r="AK23" s="14">
        <f t="shared" si="35"/>
        <v>20.017157370878923</v>
      </c>
      <c r="AL23" s="22">
        <f t="shared" si="4"/>
        <v>159.19313575428075</v>
      </c>
      <c r="AM23" s="62">
        <f t="shared" si="5"/>
        <v>375.70783864117647</v>
      </c>
      <c r="AN23" s="62">
        <f ca="1">AVERAGE(OFFSET($AM$3,0,0,'Données projet'!$E$10+1,1))-AVERAGE(OFFSET($H$3,0,0,'Données projet'!$E$10+1,1))</f>
        <v>319.39055628111151</v>
      </c>
      <c r="AO23" s="62">
        <f t="shared" si="36"/>
        <v>312.22190035638084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28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57</v>
      </c>
      <c r="BB23" s="13">
        <f>VLOOKUP(A23,'Données projet'!$A$87:$I$107,9,0)</f>
        <v>9.6</v>
      </c>
      <c r="BC23" s="13">
        <f t="array" ref="BC23">INDEX(BB:BB,MIN(IF(ISNUMBER(BB23:BB219),ROW(BB23:BB219),"")))</f>
        <v>9.6</v>
      </c>
      <c r="BD23" s="13">
        <f>IF('Données projet'!$A$88&gt;35,BD22+BC23-BL22,IF(A23&lt;'Données projet'!$A$88,$BA$205^A23,IF(A23='Données projet'!$A$88,'Données projet'!$B$88,BD22+BC23-BL22)))</f>
        <v>57.000000000000007</v>
      </c>
      <c r="BE23" s="14">
        <f>BD23*VLOOKUP('Données projet'!$B$11,Paramètres!$A$1:$I$89,3,0)*VLOOKUP('Données projet'!$B$11,Paramètres!$A$1:$I$89,5,0)</f>
        <v>41.792400000000008</v>
      </c>
      <c r="BF23" s="14">
        <f t="shared" si="37"/>
        <v>12.472503937619972</v>
      </c>
      <c r="BG23" s="22">
        <f t="shared" si="7"/>
        <v>94.511374358021442</v>
      </c>
      <c r="BH23" s="62">
        <f t="shared" si="8"/>
        <v>311.02607724491713</v>
      </c>
      <c r="BI23" s="62">
        <f ca="1">AVERAGE(OFFSET($BH$3,0,0,'Données projet'!$E$11+1,1))-AVERAGE(OFFSET($H$3,0,0,'Données projet'!$E$11+1,1))</f>
        <v>257.906524944431</v>
      </c>
      <c r="BJ23" s="62">
        <f t="shared" si="38"/>
        <v>274.70390601173563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21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99</v>
      </c>
      <c r="BW23" s="13">
        <f>VLOOKUP(A23,'Données projet'!$A$113:$I$133,9,0)</f>
        <v>10</v>
      </c>
      <c r="BX23" s="13">
        <f t="array" ref="BX23">INDEX(BW:BW,MIN(IF(ISNUMBER(BW23:BW219),ROW(BW23:BW219),"")))</f>
        <v>10</v>
      </c>
      <c r="BY23" s="13">
        <f>IF('Données projet'!$A$114&gt;35,BY22+BX23-CG22,IF(A23&lt;'Données projet'!$A$114,$BV$205^A23,IF(A23='Données projet'!$A$114,'Données projet'!$B$114,BY22+BX23-CG22)))</f>
        <v>99</v>
      </c>
      <c r="BZ23" s="14">
        <f>BY23*VLOOKUP('Données projet'!$B$12,Paramètres!$A$1:$I$89,3,0)*VLOOKUP('Données projet'!$B$12,Paramètres!$A$1:$I$89,5,0)</f>
        <v>80.308800000000005</v>
      </c>
      <c r="CA23" s="14">
        <f t="shared" si="39"/>
        <v>22.212670396389218</v>
      </c>
      <c r="CB23" s="22">
        <f t="shared" si="10"/>
        <v>178.55822760704453</v>
      </c>
      <c r="CC23" s="62">
        <f t="shared" si="11"/>
        <v>395.07293049394025</v>
      </c>
      <c r="CD23" s="62">
        <f ca="1">AVERAGE(OFFSET($CC$3,0,0,'Données projet'!$E$12+1,1))-AVERAGE(OFFSET($H$3,0,0,'Données projet'!$E$12+1,1))</f>
        <v>272.69564942740931</v>
      </c>
      <c r="CE23" s="62">
        <f t="shared" si="40"/>
        <v>316.57989180609252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40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114.74358974358974</v>
      </c>
      <c r="CR23" s="13">
        <f>VLOOKUP(A23,'Données projet'!$A$139:$I$159,9,0)</f>
        <v>9.1025641025641022</v>
      </c>
      <c r="CS23" s="13">
        <f t="array" ref="CS23">INDEX(CR:CR,MIN(IF(ISNUMBER(CR23:CR219),ROW(CR23:CR219),"")))</f>
        <v>9.1025641025641022</v>
      </c>
      <c r="CT23" s="13">
        <f>IF('Données projet'!$A$140&gt;35,CT22+CS23-DB22,IF(A23&lt;'Données projet'!$A$140,$CQ$205^A23,IF(A23='Données projet'!$A$140,'Données projet'!$B$140,CT22+CS23-DB22)))</f>
        <v>114.74358974358974</v>
      </c>
      <c r="CU23" s="18">
        <f>CT23*VLOOKUP('Données projet'!$B$13,Paramètres!$A$1:$I$89,3,0)*VLOOKUP('Données projet'!$B$13,Paramètres!$A$1:$I$89,5,0)</f>
        <v>109.19</v>
      </c>
      <c r="CV23" s="14">
        <f t="shared" si="41"/>
        <v>29.1400602417173</v>
      </c>
      <c r="CW23" s="22">
        <f t="shared" si="13"/>
        <v>240.92485492099092</v>
      </c>
      <c r="CX23" s="62">
        <f t="shared" si="14"/>
        <v>457.43955780788667</v>
      </c>
      <c r="CY23" s="62">
        <f ca="1">AVERAGE(OFFSET($CX$3,0,0,'Données projet'!$E$13+1,1))-AVERAGE(OFFSET($H$3,0,0,'Données projet'!$E$13+1,1))</f>
        <v>491.87038198656927</v>
      </c>
      <c r="CZ23" s="62">
        <f t="shared" si="42"/>
        <v>406.49261644949559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34.615384615384613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73</v>
      </c>
      <c r="DM23" s="13">
        <f>VLOOKUP(A23,'Données projet'!$A$165:$I$185,9,0)</f>
        <v>3.65</v>
      </c>
      <c r="DN23" s="13">
        <f t="array" ref="DN23">INDEX(DM:DM,MIN(IF(ISNUMBER(DM23:DM219),ROW(DM23:DM219),"")))</f>
        <v>3.65</v>
      </c>
      <c r="DO23" s="13">
        <f>IF('Données projet'!$A$166&gt;35,DO22+DN23-DW22,IF(A23&lt;'Données projet'!$A$166,$DL$205^A23,IF(A23='Données projet'!$A$166,'Données projet'!$B$166,DO22+DN23-DW22)))</f>
        <v>73</v>
      </c>
      <c r="DP23" s="18">
        <f>DO23*VLOOKUP('Données projet'!$B$14,Paramètres!$A$1:$I$89,3,0)*VLOOKUP('Données projet'!$B$14,Paramètres!$A$1:$I$89,5,0)</f>
        <v>70.605599999999995</v>
      </c>
      <c r="DQ23" s="14">
        <f t="shared" si="43"/>
        <v>19.823773913828742</v>
      </c>
      <c r="DR23" s="22">
        <f t="shared" si="16"/>
        <v>157.49782623325171</v>
      </c>
      <c r="DS23" s="62">
        <f t="shared" si="17"/>
        <v>374.01252912014741</v>
      </c>
      <c r="DT23" s="62">
        <f ca="1">AVERAGE(OFFSET($DS$3,0,0,'Données projet'!$E$14+1,1))-AVERAGE(OFFSET($H$3,0,0,'Données projet'!$E$14+1,1))</f>
        <v>603.52431522262032</v>
      </c>
      <c r="DU23" s="62">
        <f t="shared" si="44"/>
        <v>313.56299786481338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172</v>
      </c>
      <c r="EH23" s="13">
        <f>VLOOKUP(A23,'Données projet'!$A$191:$I$211,9,0)</f>
        <v>16</v>
      </c>
      <c r="EI23" s="13">
        <f t="array" ref="EI23">INDEX(EH:EH,MIN(IF(ISNUMBER(EH23:EH219),ROW(EH23:EH219),"")))</f>
        <v>16</v>
      </c>
      <c r="EJ23" s="13">
        <f>IF('Données projet'!$A$192&gt;35,EJ22+EI23-ER22,IF(A23&lt;'Données projet'!$A$192,$EG$205^A23,IF(A23='Données projet'!$A$192,'Données projet'!$B$192,EJ22+EI23-ER22)))</f>
        <v>172</v>
      </c>
      <c r="EK23" s="18">
        <f>EJ23*VLOOKUP('Données projet'!$B$15,Paramètres!$A$1:$I$89,3,0)*VLOOKUP('Données projet'!$B$15,Paramètres!$A$1:$I$89,5,0)</f>
        <v>136.8432</v>
      </c>
      <c r="EL23" s="14">
        <f t="shared" si="45"/>
        <v>35.572869837729648</v>
      </c>
      <c r="EM23" s="22">
        <f t="shared" si="19"/>
        <v>300.2913216340458</v>
      </c>
      <c r="EN23" s="62">
        <f t="shared" si="20"/>
        <v>516.80602452094149</v>
      </c>
      <c r="EO23" s="62">
        <f ca="1">AVERAGE(OFFSET($EN$3,0,0,'Données projet'!$E$15+1,1))-AVERAGE(OFFSET($H$3,0,0,'Données projet'!$E$15+1,1))</f>
        <v>450.93388191845378</v>
      </c>
      <c r="EP23" s="62">
        <f t="shared" si="46"/>
        <v>483.33635017129325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91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88</v>
      </c>
      <c r="FC23" s="13">
        <f>VLOOKUP(A23,'Données projet'!$A$217:$I$237,9,0)</f>
        <v>9.6</v>
      </c>
      <c r="FD23" s="13">
        <f t="array" ref="FD23">INDEX(FC:FC,MIN(IF(ISNUMBER(FC23:FC219),ROW(FC23:FC219),"")))</f>
        <v>9.6</v>
      </c>
      <c r="FE23" s="13">
        <f>IF('Données projet'!$A$218&gt;35,FE22+FD23-FM22,IF(A23&lt;'Données projet'!$A$218,$FB$205^A23,IF(A23='Données projet'!$A$218,'Données projet'!$B$218,FE22+FD23-FM22)))</f>
        <v>87.999999999999986</v>
      </c>
      <c r="FF23" s="18">
        <f>FE23*VLOOKUP('Données projet'!$B$16,Paramètres!$A$1:$I$89,3,0)*VLOOKUP('Données projet'!$B$16,Paramètres!$A$1:$I$89,5,0)</f>
        <v>68.639999999999986</v>
      </c>
      <c r="FG23" s="14">
        <f t="shared" si="47"/>
        <v>19.335336956640202</v>
      </c>
      <c r="FH23" s="22">
        <f t="shared" si="22"/>
        <v>153.22371186614834</v>
      </c>
      <c r="FI23" s="62">
        <f t="shared" si="23"/>
        <v>369.73841475304403</v>
      </c>
      <c r="FJ23" s="62">
        <f ca="1">AVERAGE(OFFSET($FI$3,0,0,'Données projet'!$E$16+1,1))-AVERAGE(OFFSET($H$3,0,0,'Données projet'!$E$16+1,1))</f>
        <v>309.21625451786218</v>
      </c>
      <c r="FK23" s="62">
        <f t="shared" si="48"/>
        <v>302.59481222418219</v>
      </c>
      <c r="FL23" s="16">
        <f>IF(ISNA(VLOOKUP(A23,'Données projet'!$A$217:$I$237,3,0)),0,VLOOKUP(A23,'Données projet'!$A$217:$I$237,3,0))</f>
        <v>1</v>
      </c>
      <c r="FM23" s="16">
        <f>IF(ISNA(VLOOKUP(A23,'Données projet'!$A$217:$I$237,4,0)),0,VLOOKUP(A23,'Données projet'!$A$217:$I$237,4,0))</f>
        <v>28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14.8</v>
      </c>
      <c r="N24" s="14">
        <f>IF('Données projet'!$A$36&gt;35,N23+M24-V23,IF(A24&lt;'Données projet'!$A$36,$K$205^A24,IF(A24='Données projet'!$A$36,'Données projet'!$B$36,N23+M24-V23)))</f>
        <v>81.800000000000011</v>
      </c>
      <c r="O24" s="14">
        <f>N24*VLOOKUP('Données projet'!$B$9,Paramètres!$A$1:$I$89,3,0)*VLOOKUP('Données projet'!$B$9,Paramètres!$A$1:$I$89,5,0)</f>
        <v>65.080080000000009</v>
      </c>
      <c r="P24" s="14">
        <f t="shared" si="33"/>
        <v>18.44653442602603</v>
      </c>
      <c r="Q24" s="22">
        <f t="shared" si="2"/>
        <v>145.47552012532867</v>
      </c>
      <c r="R24" s="62">
        <f t="shared" si="0"/>
        <v>364.33304850120305</v>
      </c>
      <c r="S24" s="62">
        <f ca="1">AVERAGE(OFFSET($R$3,0,0,'Données projet'!$E$9+1,1))-AVERAGE(OFFSET($H$3,0,0,'Données projet'!$E$9+1,1))</f>
        <v>394.70330963327166</v>
      </c>
      <c r="T24" s="62">
        <f t="shared" si="34"/>
        <v>424.06445894109982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10.6</v>
      </c>
      <c r="AI24" s="14">
        <f>IF('Données projet'!$A$62&gt;35,AI23+AH24-AQ23,IF(A24&lt;'Données projet'!$A$62,$AF$205^A24,IF(A24='Données projet'!$A$62,'Données projet'!$B$62,AI23+AH24-AQ23)))</f>
        <v>70.59999999999998</v>
      </c>
      <c r="AJ24" s="14">
        <f>AI24*VLOOKUP('Données projet'!$B$10,Paramètres!$A$1:$I$89,3,0)*VLOOKUP('Données projet'!$B$10,Paramètres!$A$1:$I$89,5,0)</f>
        <v>57.270719999999983</v>
      </c>
      <c r="AK24" s="14">
        <f t="shared" si="35"/>
        <v>16.476362874249581</v>
      </c>
      <c r="AL24" s="22">
        <f t="shared" si="4"/>
        <v>128.44283600598467</v>
      </c>
      <c r="AM24" s="62">
        <f t="shared" si="5"/>
        <v>347.30036438185903</v>
      </c>
      <c r="AN24" s="62">
        <f ca="1">AVERAGE(OFFSET($AM$3,0,0,'Données projet'!$E$10+1,1))-AVERAGE(OFFSET($H$3,0,0,'Données projet'!$E$10+1,1))</f>
        <v>319.39055628111151</v>
      </c>
      <c r="AO24" s="62">
        <f t="shared" si="36"/>
        <v>312.22190035638084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10</v>
      </c>
      <c r="BD24" s="13">
        <f>IF('Données projet'!$A$88&gt;35,BD23+BC24-BL23,IF(A24&lt;'Données projet'!$A$88,$BA$205^A24,IF(A24='Données projet'!$A$88,'Données projet'!$B$88,BD23+BC24-BL23)))</f>
        <v>46</v>
      </c>
      <c r="BE24" s="14">
        <f>BD24*VLOOKUP('Données projet'!$B$11,Paramètres!$A$1:$I$89,3,0)*VLOOKUP('Données projet'!$B$11,Paramètres!$A$1:$I$89,5,0)</f>
        <v>33.727199999999996</v>
      </c>
      <c r="BF24" s="14">
        <f t="shared" si="37"/>
        <v>10.319899009829582</v>
      </c>
      <c r="BG24" s="22">
        <f t="shared" si="7"/>
        <v>76.715364108786517</v>
      </c>
      <c r="BH24" s="62">
        <f t="shared" si="8"/>
        <v>295.57289248466088</v>
      </c>
      <c r="BI24" s="62">
        <f ca="1">AVERAGE(OFFSET($BH$3,0,0,'Données projet'!$E$11+1,1))-AVERAGE(OFFSET($H$3,0,0,'Données projet'!$E$11+1,1))</f>
        <v>257.906524944431</v>
      </c>
      <c r="BJ24" s="62">
        <f t="shared" si="38"/>
        <v>274.70390601173563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8.6</v>
      </c>
      <c r="BY24" s="13">
        <f>IF('Données projet'!$A$114&gt;35,BY23+BX24-CG23,IF(A24&lt;'Données projet'!$A$114,$BV$205^A24,IF(A24='Données projet'!$A$114,'Données projet'!$B$114,BY23+BX24-CG23)))</f>
        <v>67.599999999999994</v>
      </c>
      <c r="BZ24" s="14">
        <f>BY24*VLOOKUP('Données projet'!$B$12,Paramètres!$A$1:$I$89,3,0)*VLOOKUP('Données projet'!$B$12,Paramètres!$A$1:$I$89,5,0)</f>
        <v>54.837120000000006</v>
      </c>
      <c r="CA24" s="14">
        <f t="shared" si="39"/>
        <v>15.856174437579886</v>
      </c>
      <c r="CB24" s="22">
        <f t="shared" si="10"/>
        <v>123.12415447878497</v>
      </c>
      <c r="CC24" s="62">
        <f t="shared" si="11"/>
        <v>341.98168285465937</v>
      </c>
      <c r="CD24" s="62">
        <f ca="1">AVERAGE(OFFSET($CC$3,0,0,'Données projet'!$E$12+1,1))-AVERAGE(OFFSET($H$3,0,0,'Données projet'!$E$12+1,1))</f>
        <v>272.69564942740931</v>
      </c>
      <c r="CE24" s="62">
        <f t="shared" si="40"/>
        <v>316.57989180609252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8.9743589743589745</v>
      </c>
      <c r="CT24" s="13">
        <f>IF('Données projet'!$A$140&gt;35,CT23+CS24-DB23,IF(A24&lt;'Données projet'!$A$140,$CQ$205^A24,IF(A24='Données projet'!$A$140,'Données projet'!$B$140,CT23+CS24-DB23)))</f>
        <v>89.102564102564102</v>
      </c>
      <c r="CU24" s="18">
        <f>CT24*VLOOKUP('Données projet'!$B$13,Paramètres!$A$1:$I$89,3,0)*VLOOKUP('Données projet'!$B$13,Paramètres!$A$1:$I$89,5,0)</f>
        <v>84.79</v>
      </c>
      <c r="CV24" s="14">
        <f t="shared" si="41"/>
        <v>23.304370949070556</v>
      </c>
      <c r="CW24" s="22">
        <f t="shared" si="13"/>
        <v>188.2643627362979</v>
      </c>
      <c r="CX24" s="62">
        <f t="shared" si="14"/>
        <v>407.12189111217231</v>
      </c>
      <c r="CY24" s="62">
        <f ca="1">AVERAGE(OFFSET($CX$3,0,0,'Données projet'!$E$13+1,1))-AVERAGE(OFFSET($H$3,0,0,'Données projet'!$E$13+1,1))</f>
        <v>491.87038198656927</v>
      </c>
      <c r="CZ24" s="62">
        <f t="shared" si="42"/>
        <v>406.49261644949559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7.2</v>
      </c>
      <c r="DO24" s="13">
        <f>IF('Données projet'!$A$166&gt;35,DO23+DN24-DW23,IF(A24&lt;'Données projet'!$A$166,$DL$205^A24,IF(A24='Données projet'!$A$166,'Données projet'!$B$166,DO23+DN24-DW23)))</f>
        <v>80.2</v>
      </c>
      <c r="DP24" s="18">
        <f>DO24*VLOOKUP('Données projet'!$B$14,Paramètres!$A$1:$I$89,3,0)*VLOOKUP('Données projet'!$B$14,Paramètres!$A$1:$I$89,5,0)</f>
        <v>77.569440000000014</v>
      </c>
      <c r="DQ24" s="14">
        <f t="shared" si="43"/>
        <v>21.541836664136856</v>
      </c>
      <c r="DR24" s="22">
        <f t="shared" si="16"/>
        <v>172.61880685670505</v>
      </c>
      <c r="DS24" s="62">
        <f t="shared" si="17"/>
        <v>391.47633523257946</v>
      </c>
      <c r="DT24" s="62">
        <f ca="1">AVERAGE(OFFSET($DS$3,0,0,'Données projet'!$E$14+1,1))-AVERAGE(OFFSET($H$3,0,0,'Données projet'!$E$14+1,1))</f>
        <v>603.52431522262032</v>
      </c>
      <c r="DU24" s="62">
        <f t="shared" si="44"/>
        <v>313.56299786481338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16.8</v>
      </c>
      <c r="EJ24" s="13">
        <f>IF('Données projet'!$A$192&gt;35,EJ23+EI24-ER23,IF(A24&lt;'Données projet'!$A$192,$EG$205^A24,IF(A24='Données projet'!$A$192,'Données projet'!$B$192,EJ23+EI24-ER23)))</f>
        <v>97.800000000000011</v>
      </c>
      <c r="EK24" s="18">
        <f>EJ24*VLOOKUP('Données projet'!$B$15,Paramètres!$A$1:$I$89,3,0)*VLOOKUP('Données projet'!$B$15,Paramètres!$A$1:$I$89,5,0)</f>
        <v>77.809680000000014</v>
      </c>
      <c r="EL24" s="14">
        <f t="shared" si="45"/>
        <v>21.600777311280577</v>
      </c>
      <c r="EM24" s="22">
        <f t="shared" si="19"/>
        <v>173.13987981714703</v>
      </c>
      <c r="EN24" s="62">
        <f t="shared" si="20"/>
        <v>391.99740819302144</v>
      </c>
      <c r="EO24" s="62">
        <f ca="1">AVERAGE(OFFSET($EN$3,0,0,'Données projet'!$E$15+1,1))-AVERAGE(OFFSET($H$3,0,0,'Données projet'!$E$15+1,1))</f>
        <v>450.93388191845378</v>
      </c>
      <c r="EP24" s="62">
        <f t="shared" si="46"/>
        <v>483.33635017129325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10.6</v>
      </c>
      <c r="FE24" s="13">
        <f>IF('Données projet'!$A$218&gt;35,FE23+FD24-FM23,IF(A24&lt;'Données projet'!$A$218,$FB$205^A24,IF(A24='Données projet'!$A$218,'Données projet'!$B$218,FE23+FD24-FM23)))</f>
        <v>70.59999999999998</v>
      </c>
      <c r="FF24" s="18">
        <f>FE24*VLOOKUP('Données projet'!$B$16,Paramètres!$A$1:$I$89,3,0)*VLOOKUP('Données projet'!$B$16,Paramètres!$A$1:$I$89,5,0)</f>
        <v>55.067999999999984</v>
      </c>
      <c r="FG24" s="14">
        <f t="shared" si="47"/>
        <v>15.915148294580479</v>
      </c>
      <c r="FH24" s="22">
        <f t="shared" si="22"/>
        <v>123.62898327972762</v>
      </c>
      <c r="FI24" s="62">
        <f t="shared" si="23"/>
        <v>342.48651165560199</v>
      </c>
      <c r="FJ24" s="62">
        <f ca="1">AVERAGE(OFFSET($FI$3,0,0,'Données projet'!$E$16+1,1))-AVERAGE(OFFSET($H$3,0,0,'Données projet'!$E$16+1,1))</f>
        <v>309.21625451786218</v>
      </c>
      <c r="FK24" s="62">
        <f t="shared" si="48"/>
        <v>302.59481222418219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14.8</v>
      </c>
      <c r="N25" s="14">
        <f>IF('Données projet'!$A$36&gt;35,N24+M25-V24,IF(A25&lt;'Données projet'!$A$36,$K$205^A25,IF(A25='Données projet'!$A$36,'Données projet'!$B$36,N24+M25-V24)))</f>
        <v>96.600000000000009</v>
      </c>
      <c r="O25" s="14">
        <f>N25*VLOOKUP('Données projet'!$B$9,Paramètres!$A$1:$I$89,3,0)*VLOOKUP('Données projet'!$B$9,Paramètres!$A$1:$I$89,5,0)</f>
        <v>76.854960000000005</v>
      </c>
      <c r="P25" s="14">
        <f t="shared" si="33"/>
        <v>21.366419773799993</v>
      </c>
      <c r="Q25" s="22">
        <f t="shared" si="2"/>
        <v>171.06890310603498</v>
      </c>
      <c r="R25" s="62">
        <f t="shared" si="0"/>
        <v>392.24981700950337</v>
      </c>
      <c r="S25" s="62">
        <f ca="1">AVERAGE(OFFSET($R$3,0,0,'Données projet'!$E$9+1,1))-AVERAGE(OFFSET($H$3,0,0,'Données projet'!$E$9+1,1))</f>
        <v>394.70330963327166</v>
      </c>
      <c r="T25" s="62">
        <f t="shared" si="34"/>
        <v>424.06445894109982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10.6</v>
      </c>
      <c r="AI25" s="14">
        <f>IF('Données projet'!$A$62&gt;35,AI24+AH25-AQ24,IF(A25&lt;'Données projet'!$A$62,$AF$205^A25,IF(A25='Données projet'!$A$62,'Données projet'!$B$62,AI24+AH25-AQ24)))</f>
        <v>81.199999999999974</v>
      </c>
      <c r="AJ25" s="14">
        <f>AI25*VLOOKUP('Données projet'!$B$10,Paramètres!$A$1:$I$89,3,0)*VLOOKUP('Données projet'!$B$10,Paramètres!$A$1:$I$89,5,0)</f>
        <v>65.869439999999983</v>
      </c>
      <c r="AK25" s="14">
        <f t="shared" si="35"/>
        <v>18.644091336301784</v>
      </c>
      <c r="AL25" s="22">
        <f t="shared" si="4"/>
        <v>147.19440041072556</v>
      </c>
      <c r="AM25" s="62">
        <f t="shared" si="5"/>
        <v>368.37531431419393</v>
      </c>
      <c r="AN25" s="62">
        <f ca="1">AVERAGE(OFFSET($AM$3,0,0,'Données projet'!$E$10+1,1))-AVERAGE(OFFSET($H$3,0,0,'Données projet'!$E$10+1,1))</f>
        <v>319.39055628111151</v>
      </c>
      <c r="AO25" s="62">
        <f t="shared" si="36"/>
        <v>312.22190035638084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10</v>
      </c>
      <c r="BD25" s="13">
        <f>IF('Données projet'!$A$88&gt;35,BD24+BC25-BL24,IF(A25&lt;'Données projet'!$A$88,$BA$205^A25,IF(A25='Données projet'!$A$88,'Données projet'!$B$88,BD24+BC25-BL24)))</f>
        <v>56</v>
      </c>
      <c r="BE25" s="14">
        <f>BD25*VLOOKUP('Données projet'!$B$11,Paramètres!$A$1:$I$89,3,0)*VLOOKUP('Données projet'!$B$11,Paramètres!$A$1:$I$89,5,0)</f>
        <v>41.059200000000004</v>
      </c>
      <c r="BF25" s="14">
        <f t="shared" si="37"/>
        <v>12.278959527914743</v>
      </c>
      <c r="BG25" s="22">
        <f t="shared" si="7"/>
        <v>92.897294511118176</v>
      </c>
      <c r="BH25" s="62">
        <f t="shared" si="8"/>
        <v>314.07820841458658</v>
      </c>
      <c r="BI25" s="62">
        <f ca="1">AVERAGE(OFFSET($BH$3,0,0,'Données projet'!$E$11+1,1))-AVERAGE(OFFSET($H$3,0,0,'Données projet'!$E$11+1,1))</f>
        <v>257.906524944431</v>
      </c>
      <c r="BJ25" s="62">
        <f t="shared" si="38"/>
        <v>274.70390601173563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8.6</v>
      </c>
      <c r="BY25" s="13">
        <f>IF('Données projet'!$A$114&gt;35,BY24+BX25-CG24,IF(A25&lt;'Données projet'!$A$114,$BV$205^A25,IF(A25='Données projet'!$A$114,'Données projet'!$B$114,BY24+BX25-CG24)))</f>
        <v>76.199999999999989</v>
      </c>
      <c r="BZ25" s="14">
        <f>BY25*VLOOKUP('Données projet'!$B$12,Paramètres!$A$1:$I$89,3,0)*VLOOKUP('Données projet'!$B$12,Paramètres!$A$1:$I$89,5,0)</f>
        <v>61.813439999999993</v>
      </c>
      <c r="CA25" s="14">
        <f t="shared" si="39"/>
        <v>17.625965961121132</v>
      </c>
      <c r="CB25" s="22">
        <f t="shared" si="10"/>
        <v>138.35696538228595</v>
      </c>
      <c r="CC25" s="62">
        <f t="shared" si="11"/>
        <v>359.53787928575434</v>
      </c>
      <c r="CD25" s="62">
        <f ca="1">AVERAGE(OFFSET($CC$3,0,0,'Données projet'!$E$12+1,1))-AVERAGE(OFFSET($H$3,0,0,'Données projet'!$E$12+1,1))</f>
        <v>272.69564942740931</v>
      </c>
      <c r="CE25" s="62">
        <f t="shared" si="40"/>
        <v>316.57989180609252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8.9743589743589745</v>
      </c>
      <c r="CT25" s="13">
        <f>IF('Données projet'!$A$140&gt;35,CT24+CS25-DB24,IF(A25&lt;'Données projet'!$A$140,$CQ$205^A25,IF(A25='Données projet'!$A$140,'Données projet'!$B$140,CT24+CS25-DB24)))</f>
        <v>98.07692307692308</v>
      </c>
      <c r="CU25" s="18">
        <f>CT25*VLOOKUP('Données projet'!$B$13,Paramètres!$A$1:$I$89,3,0)*VLOOKUP('Données projet'!$B$13,Paramètres!$A$1:$I$89,5,0)</f>
        <v>93.330000000000013</v>
      </c>
      <c r="CV25" s="14">
        <f t="shared" si="41"/>
        <v>25.366634734804254</v>
      </c>
      <c r="CW25" s="22">
        <f t="shared" si="13"/>
        <v>206.7299721631174</v>
      </c>
      <c r="CX25" s="62">
        <f t="shared" si="14"/>
        <v>427.91088606658582</v>
      </c>
      <c r="CY25" s="62">
        <f ca="1">AVERAGE(OFFSET($CX$3,0,0,'Données projet'!$E$13+1,1))-AVERAGE(OFFSET($H$3,0,0,'Données projet'!$E$13+1,1))</f>
        <v>491.87038198656927</v>
      </c>
      <c r="CZ25" s="62">
        <f t="shared" si="42"/>
        <v>406.49261644949559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7.2</v>
      </c>
      <c r="DO25" s="13">
        <f>IF('Données projet'!$A$166&gt;35,DO24+DN25-DW24,IF(A25&lt;'Données projet'!$A$166,$DL$205^A25,IF(A25='Données projet'!$A$166,'Données projet'!$B$166,DO24+DN25-DW24)))</f>
        <v>87.4</v>
      </c>
      <c r="DP25" s="18">
        <f>DO25*VLOOKUP('Données projet'!$B$14,Paramètres!$A$1:$I$89,3,0)*VLOOKUP('Données projet'!$B$14,Paramètres!$A$1:$I$89,5,0)</f>
        <v>84.533280000000005</v>
      </c>
      <c r="DQ25" s="14">
        <f t="shared" si="43"/>
        <v>23.242014012893971</v>
      </c>
      <c r="DR25" s="22">
        <f t="shared" si="16"/>
        <v>187.70863707245701</v>
      </c>
      <c r="DS25" s="62">
        <f t="shared" si="17"/>
        <v>408.88955097592543</v>
      </c>
      <c r="DT25" s="62">
        <f ca="1">AVERAGE(OFFSET($DS$3,0,0,'Données projet'!$E$14+1,1))-AVERAGE(OFFSET($H$3,0,0,'Données projet'!$E$14+1,1))</f>
        <v>603.52431522262032</v>
      </c>
      <c r="DU25" s="62">
        <f t="shared" si="44"/>
        <v>313.56299786481338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16.8</v>
      </c>
      <c r="EJ25" s="13">
        <f>IF('Données projet'!$A$192&gt;35,EJ24+EI25-ER24,IF(A25&lt;'Données projet'!$A$192,$EG$205^A25,IF(A25='Données projet'!$A$192,'Données projet'!$B$192,EJ24+EI25-ER24)))</f>
        <v>114.60000000000001</v>
      </c>
      <c r="EK25" s="18">
        <f>EJ25*VLOOKUP('Données projet'!$B$15,Paramètres!$A$1:$I$89,3,0)*VLOOKUP('Données projet'!$B$15,Paramètres!$A$1:$I$89,5,0)</f>
        <v>91.175760000000011</v>
      </c>
      <c r="EL25" s="14">
        <f t="shared" si="45"/>
        <v>24.848575433138123</v>
      </c>
      <c r="EM25" s="22">
        <f t="shared" si="19"/>
        <v>202.07571754604893</v>
      </c>
      <c r="EN25" s="62">
        <f t="shared" si="20"/>
        <v>423.25663144951733</v>
      </c>
      <c r="EO25" s="62">
        <f ca="1">AVERAGE(OFFSET($EN$3,0,0,'Données projet'!$E$15+1,1))-AVERAGE(OFFSET($H$3,0,0,'Données projet'!$E$15+1,1))</f>
        <v>450.93388191845378</v>
      </c>
      <c r="EP25" s="62">
        <f t="shared" si="46"/>
        <v>483.33635017129325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10.6</v>
      </c>
      <c r="FE25" s="13">
        <f>IF('Données projet'!$A$218&gt;35,FE24+FD25-FM24,IF(A25&lt;'Données projet'!$A$218,$FB$205^A25,IF(A25='Données projet'!$A$218,'Données projet'!$B$218,FE24+FD25-FM24)))</f>
        <v>81.199999999999974</v>
      </c>
      <c r="FF25" s="18">
        <f>FE25*VLOOKUP('Données projet'!$B$16,Paramètres!$A$1:$I$89,3,0)*VLOOKUP('Données projet'!$B$16,Paramètres!$A$1:$I$89,5,0)</f>
        <v>63.335999999999984</v>
      </c>
      <c r="FG25" s="14">
        <f t="shared" si="47"/>
        <v>18.009040022946227</v>
      </c>
      <c r="FH25" s="22">
        <f t="shared" si="22"/>
        <v>141.67594470663133</v>
      </c>
      <c r="FI25" s="62">
        <f t="shared" si="23"/>
        <v>362.85685861009972</v>
      </c>
      <c r="FJ25" s="62">
        <f ca="1">AVERAGE(OFFSET($FI$3,0,0,'Données projet'!$E$16+1,1))-AVERAGE(OFFSET($H$3,0,0,'Données projet'!$E$16+1,1))</f>
        <v>309.21625451786218</v>
      </c>
      <c r="FK25" s="62">
        <f t="shared" si="48"/>
        <v>302.59481222418219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14.8</v>
      </c>
      <c r="N26" s="14">
        <f>IF('Données projet'!$A$36&gt;35,N25+M26-V25,IF(A26&lt;'Données projet'!$A$36,$K$205^A26,IF(A26='Données projet'!$A$36,'Données projet'!$B$36,N25+M26-V25)))</f>
        <v>111.4</v>
      </c>
      <c r="O26" s="14">
        <f>N26*VLOOKUP('Données projet'!$B$9,Paramètres!$A$1:$I$89,3,0)*VLOOKUP('Données projet'!$B$9,Paramètres!$A$1:$I$89,5,0)</f>
        <v>88.629840000000016</v>
      </c>
      <c r="P26" s="14">
        <f t="shared" si="33"/>
        <v>24.234480932534542</v>
      </c>
      <c r="Q26" s="22">
        <f t="shared" si="2"/>
        <v>196.57202562416433</v>
      </c>
      <c r="R26" s="62">
        <f t="shared" si="0"/>
        <v>420.0572223337108</v>
      </c>
      <c r="S26" s="62">
        <f ca="1">AVERAGE(OFFSET($R$3,0,0,'Données projet'!$E$9+1,1))-AVERAGE(OFFSET($H$3,0,0,'Données projet'!$E$9+1,1))</f>
        <v>394.70330963327166</v>
      </c>
      <c r="T26" s="62">
        <f t="shared" si="34"/>
        <v>424.06445894109982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10.6</v>
      </c>
      <c r="AI26" s="14">
        <f>IF('Données projet'!$A$62&gt;35,AI25+AH26-AQ25,IF(A26&lt;'Données projet'!$A$62,$AF$205^A26,IF(A26='Données projet'!$A$62,'Données projet'!$B$62,AI25+AH26-AQ25)))</f>
        <v>91.799999999999969</v>
      </c>
      <c r="AJ26" s="14">
        <f>AI26*VLOOKUP('Données projet'!$B$10,Paramètres!$A$1:$I$89,3,0)*VLOOKUP('Données projet'!$B$10,Paramètres!$A$1:$I$89,5,0)</f>
        <v>74.468159999999969</v>
      </c>
      <c r="AK26" s="14">
        <f t="shared" si="35"/>
        <v>20.779031790461993</v>
      </c>
      <c r="AL26" s="22">
        <f t="shared" si="4"/>
        <v>165.88885903505457</v>
      </c>
      <c r="AM26" s="62">
        <f t="shared" si="5"/>
        <v>389.37405574460104</v>
      </c>
      <c r="AN26" s="62">
        <f ca="1">AVERAGE(OFFSET($AM$3,0,0,'Données projet'!$E$10+1,1))-AVERAGE(OFFSET($H$3,0,0,'Données projet'!$E$10+1,1))</f>
        <v>319.39055628111151</v>
      </c>
      <c r="AO26" s="62">
        <f t="shared" si="36"/>
        <v>312.22190035638084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10</v>
      </c>
      <c r="BD26" s="13">
        <f>IF('Données projet'!$A$88&gt;35,BD25+BC26-BL25,IF(A26&lt;'Données projet'!$A$88,$BA$205^A26,IF(A26='Données projet'!$A$88,'Données projet'!$B$88,BD25+BC26-BL25)))</f>
        <v>66</v>
      </c>
      <c r="BE26" s="14">
        <f>BD26*VLOOKUP('Données projet'!$B$11,Paramètres!$A$1:$I$89,3,0)*VLOOKUP('Données projet'!$B$11,Paramètres!$A$1:$I$89,5,0)</f>
        <v>48.391199999999998</v>
      </c>
      <c r="BF26" s="14">
        <f t="shared" si="37"/>
        <v>14.197492524785988</v>
      </c>
      <c r="BG26" s="22">
        <f t="shared" si="7"/>
        <v>109.00863948066892</v>
      </c>
      <c r="BH26" s="62">
        <f t="shared" si="8"/>
        <v>332.4938361902154</v>
      </c>
      <c r="BI26" s="62">
        <f ca="1">AVERAGE(OFFSET($BH$3,0,0,'Données projet'!$E$11+1,1))-AVERAGE(OFFSET($H$3,0,0,'Données projet'!$E$11+1,1))</f>
        <v>257.906524944431</v>
      </c>
      <c r="BJ26" s="62">
        <f t="shared" si="38"/>
        <v>274.70390601173563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8.6</v>
      </c>
      <c r="BY26" s="13">
        <f>IF('Données projet'!$A$114&gt;35,BY25+BX26-CG25,IF(A26&lt;'Données projet'!$A$114,$BV$205^A26,IF(A26='Données projet'!$A$114,'Données projet'!$B$114,BY25+BX26-CG25)))</f>
        <v>84.799999999999983</v>
      </c>
      <c r="BZ26" s="14">
        <f>BY26*VLOOKUP('Données projet'!$B$12,Paramètres!$A$1:$I$89,3,0)*VLOOKUP('Données projet'!$B$12,Paramètres!$A$1:$I$89,5,0)</f>
        <v>68.789759999999987</v>
      </c>
      <c r="CA26" s="14">
        <f t="shared" si="39"/>
        <v>19.372607944380292</v>
      </c>
      <c r="CB26" s="22">
        <f t="shared" si="10"/>
        <v>153.54945750312899</v>
      </c>
      <c r="CC26" s="62">
        <f t="shared" si="11"/>
        <v>377.03465421267549</v>
      </c>
      <c r="CD26" s="62">
        <f ca="1">AVERAGE(OFFSET($CC$3,0,0,'Données projet'!$E$12+1,1))-AVERAGE(OFFSET($H$3,0,0,'Données projet'!$E$12+1,1))</f>
        <v>272.69564942740931</v>
      </c>
      <c r="CE26" s="62">
        <f t="shared" si="40"/>
        <v>316.57989180609252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8.9743589743589745</v>
      </c>
      <c r="CT26" s="13">
        <f>IF('Données projet'!$A$140&gt;35,CT25+CS26-DB25,IF(A26&lt;'Données projet'!$A$140,$CQ$205^A26,IF(A26='Données projet'!$A$140,'Données projet'!$B$140,CT25+CS26-DB25)))</f>
        <v>107.05128205128206</v>
      </c>
      <c r="CU26" s="18">
        <f>CT26*VLOOKUP('Données projet'!$B$13,Paramètres!$A$1:$I$89,3,0)*VLOOKUP('Données projet'!$B$13,Paramètres!$A$1:$I$89,5,0)</f>
        <v>101.87000000000002</v>
      </c>
      <c r="CV26" s="14">
        <f t="shared" si="41"/>
        <v>27.407017745417946</v>
      </c>
      <c r="CW26" s="22">
        <f t="shared" si="13"/>
        <v>225.15747257326962</v>
      </c>
      <c r="CX26" s="62">
        <f t="shared" si="14"/>
        <v>448.64266928281609</v>
      </c>
      <c r="CY26" s="62">
        <f ca="1">AVERAGE(OFFSET($CX$3,0,0,'Données projet'!$E$13+1,1))-AVERAGE(OFFSET($H$3,0,0,'Données projet'!$E$13+1,1))</f>
        <v>491.87038198656927</v>
      </c>
      <c r="CZ26" s="62">
        <f t="shared" si="42"/>
        <v>406.49261644949559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7.2</v>
      </c>
      <c r="DO26" s="13">
        <f>IF('Données projet'!$A$166&gt;35,DO25+DN26-DW25,IF(A26&lt;'Données projet'!$A$166,$DL$205^A26,IF(A26='Données projet'!$A$166,'Données projet'!$B$166,DO25+DN26-DW25)))</f>
        <v>94.600000000000009</v>
      </c>
      <c r="DP26" s="18">
        <f>DO26*VLOOKUP('Données projet'!$B$14,Paramètres!$A$1:$I$89,3,0)*VLOOKUP('Données projet'!$B$14,Paramètres!$A$1:$I$89,5,0)</f>
        <v>91.49712000000001</v>
      </c>
      <c r="DQ26" s="14">
        <f t="shared" si="43"/>
        <v>24.925946867642839</v>
      </c>
      <c r="DR26" s="22">
        <f t="shared" si="16"/>
        <v>202.77017479447795</v>
      </c>
      <c r="DS26" s="62">
        <f t="shared" si="17"/>
        <v>426.25537150402442</v>
      </c>
      <c r="DT26" s="62">
        <f ca="1">AVERAGE(OFFSET($DS$3,0,0,'Données projet'!$E$14+1,1))-AVERAGE(OFFSET($H$3,0,0,'Données projet'!$E$14+1,1))</f>
        <v>603.52431522262032</v>
      </c>
      <c r="DU26" s="62">
        <f t="shared" si="44"/>
        <v>313.56299786481338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16.8</v>
      </c>
      <c r="EJ26" s="13">
        <f>IF('Données projet'!$A$192&gt;35,EJ25+EI26-ER25,IF(A26&lt;'Données projet'!$A$192,$EG$205^A26,IF(A26='Données projet'!$A$192,'Données projet'!$B$192,EJ25+EI26-ER25)))</f>
        <v>131.4</v>
      </c>
      <c r="EK26" s="18">
        <f>EJ26*VLOOKUP('Données projet'!$B$15,Paramètres!$A$1:$I$89,3,0)*VLOOKUP('Données projet'!$B$15,Paramètres!$A$1:$I$89,5,0)</f>
        <v>104.54184000000002</v>
      </c>
      <c r="EL26" s="14">
        <f t="shared" si="45"/>
        <v>28.041215323191079</v>
      </c>
      <c r="EM26" s="22">
        <f t="shared" si="19"/>
        <v>230.91548802122449</v>
      </c>
      <c r="EN26" s="62">
        <f t="shared" si="20"/>
        <v>454.40068473077099</v>
      </c>
      <c r="EO26" s="62">
        <f ca="1">AVERAGE(OFFSET($EN$3,0,0,'Données projet'!$E$15+1,1))-AVERAGE(OFFSET($H$3,0,0,'Données projet'!$E$15+1,1))</f>
        <v>450.93388191845378</v>
      </c>
      <c r="EP26" s="62">
        <f t="shared" si="46"/>
        <v>483.33635017129325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10.6</v>
      </c>
      <c r="FE26" s="13">
        <f>IF('Données projet'!$A$218&gt;35,FE25+FD26-FM25,IF(A26&lt;'Données projet'!$A$218,$FB$205^A26,IF(A26='Données projet'!$A$218,'Données projet'!$B$218,FE25+FD26-FM25)))</f>
        <v>91.799999999999969</v>
      </c>
      <c r="FF26" s="18">
        <f>FE26*VLOOKUP('Données projet'!$B$16,Paramètres!$A$1:$I$89,3,0)*VLOOKUP('Données projet'!$B$16,Paramètres!$A$1:$I$89,5,0)</f>
        <v>71.603999999999985</v>
      </c>
      <c r="FG26" s="14">
        <f t="shared" si="47"/>
        <v>20.071260561992585</v>
      </c>
      <c r="FH26" s="22">
        <f t="shared" si="22"/>
        <v>159.66774547880371</v>
      </c>
      <c r="FI26" s="62">
        <f t="shared" si="23"/>
        <v>383.15294218835021</v>
      </c>
      <c r="FJ26" s="62">
        <f ca="1">AVERAGE(OFFSET($FI$3,0,0,'Données projet'!$E$16+1,1))-AVERAGE(OFFSET($H$3,0,0,'Données projet'!$E$16+1,1))</f>
        <v>309.21625451786218</v>
      </c>
      <c r="FK26" s="62">
        <f t="shared" si="48"/>
        <v>302.59481222418219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14.8</v>
      </c>
      <c r="N27" s="14">
        <f>IF('Données projet'!$A$36&gt;35,N26+M27-V26,IF(A27&lt;'Données projet'!$A$36,$K$205^A27,IF(A27='Données projet'!$A$36,'Données projet'!$B$36,N26+M27-V26)))</f>
        <v>126.2</v>
      </c>
      <c r="O27" s="14">
        <f>N27*VLOOKUP('Données projet'!$B$9,Paramètres!$A$1:$I$89,3,0)*VLOOKUP('Données projet'!$B$9,Paramètres!$A$1:$I$89,5,0)</f>
        <v>100.40472000000001</v>
      </c>
      <c r="P27" s="14">
        <f t="shared" si="33"/>
        <v>27.058393830330502</v>
      </c>
      <c r="Q27" s="22">
        <f t="shared" si="2"/>
        <v>221.99825658782564</v>
      </c>
      <c r="R27" s="62">
        <f t="shared" si="0"/>
        <v>447.76896477144544</v>
      </c>
      <c r="S27" s="62">
        <f ca="1">AVERAGE(OFFSET($R$3,0,0,'Données projet'!$E$9+1,1))-AVERAGE(OFFSET($H$3,0,0,'Données projet'!$E$9+1,1))</f>
        <v>394.70330963327166</v>
      </c>
      <c r="T27" s="62">
        <f t="shared" si="34"/>
        <v>424.06445894109982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10.6</v>
      </c>
      <c r="AI27" s="14">
        <f>IF('Données projet'!$A$62&gt;35,AI26+AH27-AQ26,IF(A27&lt;'Données projet'!$A$62,$AF$205^A27,IF(A27='Données projet'!$A$62,'Données projet'!$B$62,AI26+AH27-AQ26)))</f>
        <v>102.39999999999996</v>
      </c>
      <c r="AJ27" s="14">
        <f>AI27*VLOOKUP('Données projet'!$B$10,Paramètres!$A$1:$I$89,3,0)*VLOOKUP('Données projet'!$B$10,Paramètres!$A$1:$I$89,5,0)</f>
        <v>83.066879999999983</v>
      </c>
      <c r="AK27" s="14">
        <f t="shared" si="35"/>
        <v>22.88540255569357</v>
      </c>
      <c r="AL27" s="22">
        <f t="shared" si="4"/>
        <v>184.5335587844996</v>
      </c>
      <c r="AM27" s="62">
        <f t="shared" si="5"/>
        <v>410.30426696811941</v>
      </c>
      <c r="AN27" s="62">
        <f ca="1">AVERAGE(OFFSET($AM$3,0,0,'Données projet'!$E$10+1,1))-AVERAGE(OFFSET($H$3,0,0,'Données projet'!$E$10+1,1))</f>
        <v>319.39055628111151</v>
      </c>
      <c r="AO27" s="62">
        <f t="shared" si="36"/>
        <v>312.22190035638084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10</v>
      </c>
      <c r="BD27" s="13">
        <f>IF('Données projet'!$A$88&gt;35,BD26+BC27-BL26,IF(A27&lt;'Données projet'!$A$88,$BA$205^A27,IF(A27='Données projet'!$A$88,'Données projet'!$B$88,BD26+BC27-BL26)))</f>
        <v>76</v>
      </c>
      <c r="BE27" s="14">
        <f>BD27*VLOOKUP('Données projet'!$B$11,Paramètres!$A$1:$I$89,3,0)*VLOOKUP('Données projet'!$B$11,Paramètres!$A$1:$I$89,5,0)</f>
        <v>55.723199999999999</v>
      </c>
      <c r="BF27" s="14">
        <f t="shared" si="37"/>
        <v>16.082350294695448</v>
      </c>
      <c r="BG27" s="22">
        <f t="shared" si="7"/>
        <v>125.0613334299279</v>
      </c>
      <c r="BH27" s="62">
        <f t="shared" si="8"/>
        <v>350.83204161354769</v>
      </c>
      <c r="BI27" s="62">
        <f ca="1">AVERAGE(OFFSET($BH$3,0,0,'Données projet'!$E$11+1,1))-AVERAGE(OFFSET($H$3,0,0,'Données projet'!$E$11+1,1))</f>
        <v>257.906524944431</v>
      </c>
      <c r="BJ27" s="62">
        <f t="shared" si="38"/>
        <v>274.70390601173563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8.6</v>
      </c>
      <c r="BY27" s="13">
        <f>IF('Données projet'!$A$114&gt;35,BY26+BX27-CG26,IF(A27&lt;'Données projet'!$A$114,$BV$205^A27,IF(A27='Données projet'!$A$114,'Données projet'!$B$114,BY26+BX27-CG26)))</f>
        <v>93.399999999999977</v>
      </c>
      <c r="BZ27" s="14">
        <f>BY27*VLOOKUP('Données projet'!$B$12,Paramètres!$A$1:$I$89,3,0)*VLOOKUP('Données projet'!$B$12,Paramètres!$A$1:$I$89,5,0)</f>
        <v>75.766079999999988</v>
      </c>
      <c r="CA27" s="14">
        <f t="shared" si="39"/>
        <v>21.09871541273251</v>
      </c>
      <c r="CB27" s="22">
        <f t="shared" si="10"/>
        <v>168.70618534384241</v>
      </c>
      <c r="CC27" s="62">
        <f t="shared" si="11"/>
        <v>394.47689352746221</v>
      </c>
      <c r="CD27" s="62">
        <f ca="1">AVERAGE(OFFSET($CC$3,0,0,'Données projet'!$E$12+1,1))-AVERAGE(OFFSET($H$3,0,0,'Données projet'!$E$12+1,1))</f>
        <v>272.69564942740931</v>
      </c>
      <c r="CE27" s="62">
        <f t="shared" si="40"/>
        <v>316.57989180609252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8.9743589743589745</v>
      </c>
      <c r="CT27" s="13">
        <f>IF('Données projet'!$A$140&gt;35,CT26+CS27-DB26,IF(A27&lt;'Données projet'!$A$140,$CQ$205^A27,IF(A27='Données projet'!$A$140,'Données projet'!$B$140,CT26+CS27-DB26)))</f>
        <v>116.02564102564104</v>
      </c>
      <c r="CU27" s="18">
        <f>CT27*VLOOKUP('Données projet'!$B$13,Paramètres!$A$1:$I$89,3,0)*VLOOKUP('Données projet'!$B$13,Paramètres!$A$1:$I$89,5,0)</f>
        <v>110.41000000000003</v>
      </c>
      <c r="CV27" s="14">
        <f t="shared" si="41"/>
        <v>29.427562844448662</v>
      </c>
      <c r="CW27" s="22">
        <f t="shared" si="13"/>
        <v>243.55042195408143</v>
      </c>
      <c r="CX27" s="62">
        <f t="shared" si="14"/>
        <v>469.32113013770123</v>
      </c>
      <c r="CY27" s="62">
        <f ca="1">AVERAGE(OFFSET($CX$3,0,0,'Données projet'!$E$13+1,1))-AVERAGE(OFFSET($H$3,0,0,'Données projet'!$E$13+1,1))</f>
        <v>491.87038198656927</v>
      </c>
      <c r="CZ27" s="62">
        <f t="shared" si="42"/>
        <v>406.49261644949559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7.2</v>
      </c>
      <c r="DO27" s="13">
        <f>IF('Données projet'!$A$166&gt;35,DO26+DN27-DW26,IF(A27&lt;'Données projet'!$A$166,$DL$205^A27,IF(A27='Données projet'!$A$166,'Données projet'!$B$166,DO26+DN27-DW26)))</f>
        <v>101.80000000000001</v>
      </c>
      <c r="DP27" s="18">
        <f>DO27*VLOOKUP('Données projet'!$B$14,Paramètres!$A$1:$I$89,3,0)*VLOOKUP('Données projet'!$B$14,Paramètres!$A$1:$I$89,5,0)</f>
        <v>98.460960000000014</v>
      </c>
      <c r="DQ27" s="14">
        <f t="shared" si="43"/>
        <v>26.595012174033403</v>
      </c>
      <c r="DR27" s="22">
        <f t="shared" si="16"/>
        <v>217.80581820310817</v>
      </c>
      <c r="DS27" s="62">
        <f t="shared" si="17"/>
        <v>443.57652638672801</v>
      </c>
      <c r="DT27" s="62">
        <f ca="1">AVERAGE(OFFSET($DS$3,0,0,'Données projet'!$E$14+1,1))-AVERAGE(OFFSET($H$3,0,0,'Données projet'!$E$14+1,1))</f>
        <v>603.52431522262032</v>
      </c>
      <c r="DU27" s="62">
        <f t="shared" si="44"/>
        <v>313.56299786481338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16.8</v>
      </c>
      <c r="EJ27" s="13">
        <f>IF('Données projet'!$A$192&gt;35,EJ26+EI27-ER26,IF(A27&lt;'Données projet'!$A$192,$EG$205^A27,IF(A27='Données projet'!$A$192,'Données projet'!$B$192,EJ26+EI27-ER26)))</f>
        <v>148.20000000000002</v>
      </c>
      <c r="EK27" s="18">
        <f>EJ27*VLOOKUP('Données projet'!$B$15,Paramètres!$A$1:$I$89,3,0)*VLOOKUP('Données projet'!$B$15,Paramètres!$A$1:$I$89,5,0)</f>
        <v>117.90792000000002</v>
      </c>
      <c r="EL27" s="14">
        <f t="shared" si="45"/>
        <v>31.186557651984323</v>
      </c>
      <c r="EM27" s="22">
        <f t="shared" si="19"/>
        <v>259.67288191053939</v>
      </c>
      <c r="EN27" s="62">
        <f t="shared" si="20"/>
        <v>485.44359009415916</v>
      </c>
      <c r="EO27" s="62">
        <f ca="1">AVERAGE(OFFSET($EN$3,0,0,'Données projet'!$E$15+1,1))-AVERAGE(OFFSET($H$3,0,0,'Données projet'!$E$15+1,1))</f>
        <v>450.93388191845378</v>
      </c>
      <c r="EP27" s="62">
        <f t="shared" si="46"/>
        <v>483.33635017129325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10.6</v>
      </c>
      <c r="FE27" s="13">
        <f>IF('Données projet'!$A$218&gt;35,FE26+FD27-FM26,IF(A27&lt;'Données projet'!$A$218,$FB$205^A27,IF(A27='Données projet'!$A$218,'Données projet'!$B$218,FE26+FD27-FM26)))</f>
        <v>102.39999999999996</v>
      </c>
      <c r="FF27" s="18">
        <f>FE27*VLOOKUP('Données projet'!$B$16,Paramètres!$A$1:$I$89,3,0)*VLOOKUP('Données projet'!$B$16,Paramètres!$A$1:$I$89,5,0)</f>
        <v>79.871999999999971</v>
      </c>
      <c r="FG27" s="14">
        <f t="shared" si="47"/>
        <v>22.105884547145401</v>
      </c>
      <c r="FH27" s="22">
        <f t="shared" si="22"/>
        <v>177.61148225294485</v>
      </c>
      <c r="FI27" s="62">
        <f t="shared" si="23"/>
        <v>403.38219043656466</v>
      </c>
      <c r="FJ27" s="62">
        <f ca="1">AVERAGE(OFFSET($FI$3,0,0,'Données projet'!$E$16+1,1))-AVERAGE(OFFSET($H$3,0,0,'Données projet'!$E$16+1,1))</f>
        <v>309.21625451786218</v>
      </c>
      <c r="FK27" s="62">
        <f t="shared" si="48"/>
        <v>302.59481222418219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141</v>
      </c>
      <c r="L28" s="13">
        <f>VLOOKUP(A28,'Données projet'!$A$35:$I$55,9,0)</f>
        <v>14.8</v>
      </c>
      <c r="M28" s="13">
        <f t="array" ref="M28">INDEX(L:L,MIN(IF(ISNUMBER(L28:L224),ROW(L28:L224),"")))</f>
        <v>14.8</v>
      </c>
      <c r="N28" s="14">
        <f>IF('Données projet'!$A$36&gt;35,N27+M28-V27,IF(A28&lt;'Données projet'!$A$36,$K$205^A28,IF(A28='Données projet'!$A$36,'Données projet'!$B$36,N27+M28-V27)))</f>
        <v>141</v>
      </c>
      <c r="O28" s="14">
        <f>N28*VLOOKUP('Données projet'!$B$9,Paramètres!$A$1:$I$89,3,0)*VLOOKUP('Données projet'!$B$9,Paramètres!$A$1:$I$89,5,0)</f>
        <v>112.17959999999999</v>
      </c>
      <c r="P28" s="14">
        <f t="shared" si="33"/>
        <v>29.8439274472838</v>
      </c>
      <c r="Q28" s="22">
        <f t="shared" si="2"/>
        <v>247.35764363735257</v>
      </c>
      <c r="R28" s="62">
        <f t="shared" si="0"/>
        <v>475.39541760368468</v>
      </c>
      <c r="S28" s="62">
        <f ca="1">AVERAGE(OFFSET($R$3,0,0,'Données projet'!$E$9+1,1))-AVERAGE(OFFSET($H$3,0,0,'Données projet'!$E$9+1,1))</f>
        <v>394.70330963327166</v>
      </c>
      <c r="T28" s="62">
        <f t="shared" si="34"/>
        <v>424.06445894109982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113</v>
      </c>
      <c r="AG28" s="13">
        <f>VLOOKUP(A28,'Données projet'!$A$61:$I$81,9,0)</f>
        <v>10.6</v>
      </c>
      <c r="AH28" s="13">
        <f t="array" ref="AH28">INDEX(AG:AG,MIN(IF(ISNUMBER(AG28:AG224),ROW(AG28:AG224),"")))</f>
        <v>10.6</v>
      </c>
      <c r="AI28" s="14">
        <f>IF('Données projet'!$A$62&gt;35,AI27+AH28-AQ27,IF(A28&lt;'Données projet'!$A$62,$AF$205^A28,IF(A28='Données projet'!$A$62,'Données projet'!$B$62,AI27+AH28-AQ27)))</f>
        <v>112.99999999999996</v>
      </c>
      <c r="AJ28" s="14">
        <f>AI28*VLOOKUP('Données projet'!$B$10,Paramètres!$A$1:$I$89,3,0)*VLOOKUP('Données projet'!$B$10,Paramètres!$A$1:$I$89,5,0)</f>
        <v>91.665599999999969</v>
      </c>
      <c r="AK28" s="14">
        <f t="shared" si="35"/>
        <v>24.966497888207439</v>
      </c>
      <c r="AL28" s="22">
        <f t="shared" si="4"/>
        <v>203.13423715529458</v>
      </c>
      <c r="AM28" s="62">
        <f t="shared" si="5"/>
        <v>431.17201112162672</v>
      </c>
      <c r="AN28" s="62">
        <f ca="1">AVERAGE(OFFSET($AM$3,0,0,'Données projet'!$E$10+1,1))-AVERAGE(OFFSET($H$3,0,0,'Données projet'!$E$10+1,1))</f>
        <v>319.39055628111151</v>
      </c>
      <c r="AO28" s="62">
        <f t="shared" si="36"/>
        <v>312.22190035638084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27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86</v>
      </c>
      <c r="BB28" s="13">
        <f>VLOOKUP(A28,'Données projet'!$A$87:$I$107,9,0)</f>
        <v>10</v>
      </c>
      <c r="BC28" s="13">
        <f t="array" ref="BC28">INDEX(BB:BB,MIN(IF(ISNUMBER(BB28:BB224),ROW(BB28:BB224),"")))</f>
        <v>10</v>
      </c>
      <c r="BD28" s="13">
        <f>IF('Données projet'!$A$88&gt;35,BD27+BC28-BL27,IF(A28&lt;'Données projet'!$A$88,$BA$205^A28,IF(A28='Données projet'!$A$88,'Données projet'!$B$88,BD27+BC28-BL27)))</f>
        <v>86</v>
      </c>
      <c r="BE28" s="14">
        <f>BD28*VLOOKUP('Données projet'!$B$11,Paramètres!$A$1:$I$89,3,0)*VLOOKUP('Données projet'!$B$11,Paramètres!$A$1:$I$89,5,0)</f>
        <v>63.055199999999992</v>
      </c>
      <c r="BF28" s="14">
        <f t="shared" si="37"/>
        <v>17.938472483677142</v>
      </c>
      <c r="BG28" s="22">
        <f t="shared" si="7"/>
        <v>141.06397957573768</v>
      </c>
      <c r="BH28" s="62">
        <f t="shared" si="8"/>
        <v>369.10175354206979</v>
      </c>
      <c r="BI28" s="62">
        <f ca="1">AVERAGE(OFFSET($BH$3,0,0,'Données projet'!$E$11+1,1))-AVERAGE(OFFSET($H$3,0,0,'Données projet'!$E$11+1,1))</f>
        <v>257.906524944431</v>
      </c>
      <c r="BJ28" s="62">
        <f t="shared" si="38"/>
        <v>274.70390601173563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102</v>
      </c>
      <c r="BW28" s="13">
        <f>VLOOKUP(A28,'Données projet'!$A$113:$I$133,9,0)</f>
        <v>8.6</v>
      </c>
      <c r="BX28" s="13">
        <f t="array" ref="BX28">INDEX(BW:BW,MIN(IF(ISNUMBER(BW28:BW224),ROW(BW28:BW224),"")))</f>
        <v>8.6</v>
      </c>
      <c r="BY28" s="13">
        <f>IF('Données projet'!$A$114&gt;35,BY27+BX28-CG27,IF(A28&lt;'Données projet'!$A$114,$BV$205^A28,IF(A28='Données projet'!$A$114,'Données projet'!$B$114,BY27+BX28-CG27)))</f>
        <v>101.99999999999997</v>
      </c>
      <c r="BZ28" s="14">
        <f>BY28*VLOOKUP('Données projet'!$B$12,Paramètres!$A$1:$I$89,3,0)*VLOOKUP('Données projet'!$B$12,Paramètres!$A$1:$I$89,5,0)</f>
        <v>82.742399999999975</v>
      </c>
      <c r="CA28" s="14">
        <f t="shared" si="39"/>
        <v>22.806394174303183</v>
      </c>
      <c r="CB28" s="22">
        <f t="shared" si="10"/>
        <v>183.83081652024464</v>
      </c>
      <c r="CC28" s="62">
        <f t="shared" si="11"/>
        <v>411.86859048657675</v>
      </c>
      <c r="CD28" s="62">
        <f ca="1">AVERAGE(OFFSET($CC$3,0,0,'Données projet'!$E$12+1,1))-AVERAGE(OFFSET($H$3,0,0,'Données projet'!$E$12+1,1))</f>
        <v>272.69564942740931</v>
      </c>
      <c r="CE28" s="62">
        <f t="shared" si="40"/>
        <v>316.57989180609252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125</v>
      </c>
      <c r="CR28" s="13">
        <f>VLOOKUP(A28,'Données projet'!$A$139:$I$159,9,0)</f>
        <v>8.9743589743589745</v>
      </c>
      <c r="CS28" s="13">
        <f t="array" ref="CS28">INDEX(CR:CR,MIN(IF(ISNUMBER(CR28:CR224),ROW(CR28:CR224),"")))</f>
        <v>8.9743589743589745</v>
      </c>
      <c r="CT28" s="13">
        <f>IF('Données projet'!$A$140&gt;35,CT27+CS28-DB27,IF(A28&lt;'Données projet'!$A$140,$CQ$205^A28,IF(A28='Données projet'!$A$140,'Données projet'!$B$140,CT27+CS28-DB27)))</f>
        <v>125.00000000000001</v>
      </c>
      <c r="CU28" s="18">
        <f>CT28*VLOOKUP('Données projet'!$B$13,Paramètres!$A$1:$I$89,3,0)*VLOOKUP('Données projet'!$B$13,Paramètres!$A$1:$I$89,5,0)</f>
        <v>118.95</v>
      </c>
      <c r="CV28" s="14">
        <f t="shared" si="41"/>
        <v>31.429978916194532</v>
      </c>
      <c r="CW28" s="22">
        <f t="shared" si="13"/>
        <v>261.91179661237214</v>
      </c>
      <c r="CX28" s="62">
        <f t="shared" si="14"/>
        <v>489.94957057870425</v>
      </c>
      <c r="CY28" s="62">
        <f ca="1">AVERAGE(OFFSET($CX$3,0,0,'Données projet'!$E$13+1,1))-AVERAGE(OFFSET($H$3,0,0,'Données projet'!$E$13+1,1))</f>
        <v>491.87038198656927</v>
      </c>
      <c r="CZ28" s="62">
        <f t="shared" si="42"/>
        <v>406.49261644949559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109</v>
      </c>
      <c r="DM28" s="13">
        <f>VLOOKUP(A28,'Données projet'!$A$165:$I$185,9,0)</f>
        <v>7.2</v>
      </c>
      <c r="DN28" s="13">
        <f t="array" ref="DN28">INDEX(DM:DM,MIN(IF(ISNUMBER(DM28:DM224),ROW(DM28:DM224),"")))</f>
        <v>7.2</v>
      </c>
      <c r="DO28" s="13">
        <f>IF('Données projet'!$A$166&gt;35,DO27+DN28-DW27,IF(A28&lt;'Données projet'!$A$166,$DL$205^A28,IF(A28='Données projet'!$A$166,'Données projet'!$B$166,DO27+DN28-DW27)))</f>
        <v>109.00000000000001</v>
      </c>
      <c r="DP28" s="18">
        <f>DO28*VLOOKUP('Données projet'!$B$14,Paramètres!$A$1:$I$89,3,0)*VLOOKUP('Données projet'!$B$14,Paramètres!$A$1:$I$89,5,0)</f>
        <v>105.42480000000002</v>
      </c>
      <c r="DQ28" s="14">
        <f t="shared" si="43"/>
        <v>28.250381069605584</v>
      </c>
      <c r="DR28" s="22">
        <f t="shared" si="16"/>
        <v>232.81760702956308</v>
      </c>
      <c r="DS28" s="62">
        <f t="shared" si="17"/>
        <v>460.85538099589519</v>
      </c>
      <c r="DT28" s="62">
        <f ca="1">AVERAGE(OFFSET($DS$3,0,0,'Données projet'!$E$14+1,1))-AVERAGE(OFFSET($H$3,0,0,'Données projet'!$E$14+1,1))</f>
        <v>603.52431522262032</v>
      </c>
      <c r="DU28" s="62">
        <f t="shared" si="44"/>
        <v>313.56299786481338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34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165</v>
      </c>
      <c r="EH28" s="13">
        <f>VLOOKUP(A28,'Données projet'!$A$191:$I$211,9,0)</f>
        <v>16.8</v>
      </c>
      <c r="EI28" s="13">
        <f t="array" ref="EI28">INDEX(EH:EH,MIN(IF(ISNUMBER(EH28:EH224),ROW(EH28:EH224),"")))</f>
        <v>16.8</v>
      </c>
      <c r="EJ28" s="13">
        <f>IF('Données projet'!$A$192&gt;35,EJ27+EI28-ER27,IF(A28&lt;'Données projet'!$A$192,$EG$205^A28,IF(A28='Données projet'!$A$192,'Données projet'!$B$192,EJ27+EI28-ER27)))</f>
        <v>165.00000000000003</v>
      </c>
      <c r="EK28" s="18">
        <f>EJ28*VLOOKUP('Données projet'!$B$15,Paramètres!$A$1:$I$89,3,0)*VLOOKUP('Données projet'!$B$15,Paramètres!$A$1:$I$89,5,0)</f>
        <v>131.27400000000003</v>
      </c>
      <c r="EL28" s="14">
        <f t="shared" si="45"/>
        <v>34.290576031111669</v>
      </c>
      <c r="EM28" s="22">
        <f t="shared" si="19"/>
        <v>288.35830325418618</v>
      </c>
      <c r="EN28" s="62">
        <f t="shared" si="20"/>
        <v>516.39607722051824</v>
      </c>
      <c r="EO28" s="62">
        <f ca="1">AVERAGE(OFFSET($EN$3,0,0,'Données projet'!$E$15+1,1))-AVERAGE(OFFSET($H$3,0,0,'Données projet'!$E$15+1,1))</f>
        <v>450.93388191845378</v>
      </c>
      <c r="EP28" s="62">
        <f t="shared" si="46"/>
        <v>483.33635017129325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113</v>
      </c>
      <c r="FC28" s="13">
        <f>VLOOKUP(A28,'Données projet'!$A$217:$I$237,9,0)</f>
        <v>10.6</v>
      </c>
      <c r="FD28" s="13">
        <f t="array" ref="FD28">INDEX(FC:FC,MIN(IF(ISNUMBER(FC28:FC224),ROW(FC28:FC224),"")))</f>
        <v>10.6</v>
      </c>
      <c r="FE28" s="13">
        <f>IF('Données projet'!$A$218&gt;35,FE27+FD28-FM27,IF(A28&lt;'Données projet'!$A$218,$FB$205^A28,IF(A28='Données projet'!$A$218,'Données projet'!$B$218,FE27+FD28-FM27)))</f>
        <v>112.99999999999996</v>
      </c>
      <c r="FF28" s="18">
        <f>FE28*VLOOKUP('Données projet'!$B$16,Paramètres!$A$1:$I$89,3,0)*VLOOKUP('Données projet'!$B$16,Paramètres!$A$1:$I$89,5,0)</f>
        <v>88.139999999999972</v>
      </c>
      <c r="FG28" s="14">
        <f t="shared" si="47"/>
        <v>24.116094026318823</v>
      </c>
      <c r="FH28" s="22">
        <f t="shared" si="22"/>
        <v>195.51269709583855</v>
      </c>
      <c r="FI28" s="62">
        <f t="shared" si="23"/>
        <v>423.55047106217069</v>
      </c>
      <c r="FJ28" s="62">
        <f ca="1">AVERAGE(OFFSET($FI$3,0,0,'Données projet'!$E$16+1,1))-AVERAGE(OFFSET($H$3,0,0,'Données projet'!$E$16+1,1))</f>
        <v>309.21625451786218</v>
      </c>
      <c r="FK28" s="62">
        <f t="shared" si="48"/>
        <v>302.59481222418219</v>
      </c>
      <c r="FL28" s="16">
        <f>IF(ISNA(VLOOKUP(A28,'Données projet'!$A$217:$I$237,3,0)),0,VLOOKUP(A28,'Données projet'!$A$217:$I$237,3,0))</f>
        <v>2</v>
      </c>
      <c r="FM28" s="16">
        <f>IF(ISNA(VLOOKUP(A28,'Données projet'!$A$217:$I$237,4,0)),0,VLOOKUP(A28,'Données projet'!$A$217:$I$237,4,0))</f>
        <v>27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14.2</v>
      </c>
      <c r="N29" s="14">
        <f>IF('Données projet'!$A$36&gt;35,N28+M29-V28,IF(A29&lt;'Données projet'!$A$36,$K$205^A29,IF(A29='Données projet'!$A$36,'Données projet'!$B$36,N28+M29-V28)))</f>
        <v>155.19999999999999</v>
      </c>
      <c r="O29" s="14">
        <f>N29*VLOOKUP('Données projet'!$B$9,Paramètres!$A$1:$I$89,3,0)*VLOOKUP('Données projet'!$B$9,Paramètres!$A$1:$I$89,5,0)</f>
        <v>123.47712</v>
      </c>
      <c r="P29" s="14">
        <f t="shared" si="33"/>
        <v>32.484627317240388</v>
      </c>
      <c r="Q29" s="22">
        <f t="shared" si="2"/>
        <v>271.63337657752703</v>
      </c>
      <c r="R29" s="62">
        <f t="shared" si="0"/>
        <v>501.92009062671718</v>
      </c>
      <c r="S29" s="62">
        <f ca="1">AVERAGE(OFFSET($R$3,0,0,'Données projet'!$E$9+1,1))-AVERAGE(OFFSET($H$3,0,0,'Données projet'!$E$9+1,1))</f>
        <v>394.70330963327166</v>
      </c>
      <c r="T29" s="62">
        <f t="shared" si="34"/>
        <v>424.06445894109982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11.5</v>
      </c>
      <c r="AI29" s="14">
        <f>IF('Données projet'!$A$62&gt;35,AI28+AH29-AQ28,IF(A29&lt;'Données projet'!$A$62,$AF$205^A29,IF(A29='Données projet'!$A$62,'Données projet'!$B$62,AI28+AH29-AQ28)))</f>
        <v>97.499999999999957</v>
      </c>
      <c r="AJ29" s="14">
        <f>AI29*VLOOKUP('Données projet'!$B$10,Paramètres!$A$1:$I$89,3,0)*VLOOKUP('Données projet'!$B$10,Paramètres!$A$1:$I$89,5,0)</f>
        <v>79.09199999999997</v>
      </c>
      <c r="AK29" s="14">
        <f t="shared" si="35"/>
        <v>21.915026131449999</v>
      </c>
      <c r="AL29" s="22">
        <f t="shared" si="4"/>
        <v>175.92057051227536</v>
      </c>
      <c r="AM29" s="62">
        <f t="shared" si="5"/>
        <v>406.20728456146554</v>
      </c>
      <c r="AN29" s="62">
        <f ca="1">AVERAGE(OFFSET($AM$3,0,0,'Données projet'!$E$10+1,1))-AVERAGE(OFFSET($H$3,0,0,'Données projet'!$E$10+1,1))</f>
        <v>319.39055628111151</v>
      </c>
      <c r="AO29" s="62">
        <f t="shared" si="36"/>
        <v>312.22190035638084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9.8000000000000007</v>
      </c>
      <c r="BD29" s="13">
        <f>IF('Données projet'!$A$88&gt;35,BD28+BC29-BL28,IF(A29&lt;'Données projet'!$A$88,$BA$205^A29,IF(A29='Données projet'!$A$88,'Données projet'!$B$88,BD28+BC29-BL28)))</f>
        <v>95.8</v>
      </c>
      <c r="BE29" s="14">
        <f>BD29*VLOOKUP('Données projet'!$B$11,Paramètres!$A$1:$I$89,3,0)*VLOOKUP('Données projet'!$B$11,Paramètres!$A$1:$I$89,5,0)</f>
        <v>70.240560000000002</v>
      </c>
      <c r="BF29" s="14">
        <f t="shared" si="37"/>
        <v>19.733185164621158</v>
      </c>
      <c r="BG29" s="22">
        <f t="shared" si="7"/>
        <v>156.70427282838185</v>
      </c>
      <c r="BH29" s="62">
        <f t="shared" si="8"/>
        <v>386.99098687757203</v>
      </c>
      <c r="BI29" s="62">
        <f ca="1">AVERAGE(OFFSET($BH$3,0,0,'Données projet'!$E$11+1,1))-AVERAGE(OFFSET($H$3,0,0,'Données projet'!$E$11+1,1))</f>
        <v>257.906524944431</v>
      </c>
      <c r="BJ29" s="62">
        <f t="shared" si="38"/>
        <v>274.70390601173563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8.8000000000000007</v>
      </c>
      <c r="BY29" s="13">
        <f>IF('Données projet'!$A$114&gt;35,BY28+BX29-CG28,IF(A29&lt;'Données projet'!$A$114,$BV$205^A29,IF(A29='Données projet'!$A$114,'Données projet'!$B$114,BY28+BX29-CG28)))</f>
        <v>110.79999999999997</v>
      </c>
      <c r="BZ29" s="14">
        <f>BY29*VLOOKUP('Données projet'!$B$12,Paramètres!$A$1:$I$89,3,0)*VLOOKUP('Données projet'!$B$12,Paramètres!$A$1:$I$89,5,0)</f>
        <v>89.880959999999973</v>
      </c>
      <c r="CA29" s="14">
        <f t="shared" si="39"/>
        <v>24.536513201257339</v>
      </c>
      <c r="CB29" s="22">
        <f t="shared" si="10"/>
        <v>199.27709915885649</v>
      </c>
      <c r="CC29" s="62">
        <f t="shared" si="11"/>
        <v>429.56381320804667</v>
      </c>
      <c r="CD29" s="62">
        <f ca="1">AVERAGE(OFFSET($CC$3,0,0,'Données projet'!$E$12+1,1))-AVERAGE(OFFSET($H$3,0,0,'Données projet'!$E$12+1,1))</f>
        <v>272.69564942740931</v>
      </c>
      <c r="CE29" s="62">
        <f t="shared" si="40"/>
        <v>316.57989180609252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8.717948717948719</v>
      </c>
      <c r="CT29" s="13">
        <f>IF('Données projet'!$A$140&gt;35,CT28+CS29-DB28,IF(A29&lt;'Données projet'!$A$140,$CQ$205^A29,IF(A29='Données projet'!$A$140,'Données projet'!$B$140,CT28+CS29-DB28)))</f>
        <v>133.71794871794873</v>
      </c>
      <c r="CU29" s="18">
        <f>CT29*VLOOKUP('Données projet'!$B$13,Paramètres!$A$1:$I$89,3,0)*VLOOKUP('Données projet'!$B$13,Paramètres!$A$1:$I$89,5,0)</f>
        <v>127.24600000000001</v>
      </c>
      <c r="CV29" s="14">
        <f t="shared" si="41"/>
        <v>33.359199928902115</v>
      </c>
      <c r="CW29" s="22">
        <f t="shared" si="13"/>
        <v>279.72072320950451</v>
      </c>
      <c r="CX29" s="62">
        <f t="shared" si="14"/>
        <v>510.00743725869472</v>
      </c>
      <c r="CY29" s="62">
        <f ca="1">AVERAGE(OFFSET($CX$3,0,0,'Données projet'!$E$13+1,1))-AVERAGE(OFFSET($H$3,0,0,'Données projet'!$E$13+1,1))</f>
        <v>491.87038198656927</v>
      </c>
      <c r="CZ29" s="62">
        <f t="shared" si="42"/>
        <v>406.49261644949559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9.1999999999999993</v>
      </c>
      <c r="DO29" s="13">
        <f>IF('Données projet'!$A$166&gt;35,DO28+DN29-DW28,IF(A29&lt;'Données projet'!$A$166,$DL$205^A29,IF(A29='Données projet'!$A$166,'Données projet'!$B$166,DO28+DN29-DW28)))</f>
        <v>84.200000000000017</v>
      </c>
      <c r="DP29" s="18">
        <f>DO29*VLOOKUP('Données projet'!$B$14,Paramètres!$A$1:$I$89,3,0)*VLOOKUP('Données projet'!$B$14,Paramètres!$A$1:$I$89,5,0)</f>
        <v>81.438240000000022</v>
      </c>
      <c r="DQ29" s="14">
        <f t="shared" si="43"/>
        <v>22.488475778344696</v>
      </c>
      <c r="DR29" s="22">
        <f t="shared" si="16"/>
        <v>181.00569664728371</v>
      </c>
      <c r="DS29" s="62">
        <f t="shared" si="17"/>
        <v>411.29241069647389</v>
      </c>
      <c r="DT29" s="62">
        <f ca="1">AVERAGE(OFFSET($DS$3,0,0,'Données projet'!$E$14+1,1))-AVERAGE(OFFSET($H$3,0,0,'Données projet'!$E$14+1,1))</f>
        <v>603.52431522262032</v>
      </c>
      <c r="DU29" s="62">
        <f t="shared" si="44"/>
        <v>313.56299786481338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16.399999999999999</v>
      </c>
      <c r="EJ29" s="13">
        <f>IF('Données projet'!$A$192&gt;35,EJ28+EI29-ER28,IF(A29&lt;'Données projet'!$A$192,$EG$205^A29,IF(A29='Données projet'!$A$192,'Données projet'!$B$192,EJ28+EI29-ER28)))</f>
        <v>181.40000000000003</v>
      </c>
      <c r="EK29" s="18">
        <f>EJ29*VLOOKUP('Données projet'!$B$15,Paramètres!$A$1:$I$89,3,0)*VLOOKUP('Données projet'!$B$15,Paramètres!$A$1:$I$89,5,0)</f>
        <v>144.32184000000004</v>
      </c>
      <c r="EL29" s="14">
        <f t="shared" si="45"/>
        <v>37.285319642019559</v>
      </c>
      <c r="EM29" s="22">
        <f t="shared" si="19"/>
        <v>316.29913637651748</v>
      </c>
      <c r="EN29" s="62">
        <f t="shared" si="20"/>
        <v>546.58585042570769</v>
      </c>
      <c r="EO29" s="62">
        <f ca="1">AVERAGE(OFFSET($EN$3,0,0,'Données projet'!$E$15+1,1))-AVERAGE(OFFSET($H$3,0,0,'Données projet'!$E$15+1,1))</f>
        <v>450.93388191845378</v>
      </c>
      <c r="EP29" s="62">
        <f t="shared" si="46"/>
        <v>483.33635017129325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11.5</v>
      </c>
      <c r="FE29" s="13">
        <f>IF('Données projet'!$A$218&gt;35,FE28+FD29-FM28,IF(A29&lt;'Données projet'!$A$218,$FB$205^A29,IF(A29='Données projet'!$A$218,'Données projet'!$B$218,FE28+FD29-FM28)))</f>
        <v>97.499999999999957</v>
      </c>
      <c r="FF29" s="18">
        <f>FE29*VLOOKUP('Données projet'!$B$16,Paramètres!$A$1:$I$89,3,0)*VLOOKUP('Données projet'!$B$16,Paramètres!$A$1:$I$89,5,0)</f>
        <v>76.049999999999969</v>
      </c>
      <c r="FG29" s="14">
        <f t="shared" si="47"/>
        <v>21.168560890749262</v>
      </c>
      <c r="FH29" s="22">
        <f t="shared" si="22"/>
        <v>169.32232688472158</v>
      </c>
      <c r="FI29" s="62">
        <f t="shared" si="23"/>
        <v>399.60904093391173</v>
      </c>
      <c r="FJ29" s="62">
        <f ca="1">AVERAGE(OFFSET($FI$3,0,0,'Données projet'!$E$16+1,1))-AVERAGE(OFFSET($H$3,0,0,'Données projet'!$E$16+1,1))</f>
        <v>309.21625451786218</v>
      </c>
      <c r="FK29" s="62">
        <f t="shared" si="48"/>
        <v>302.59481222418219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14.2</v>
      </c>
      <c r="N30" s="14">
        <f>IF('Données projet'!$A$36&gt;35,N29+M30-V29,IF(A30&lt;'Données projet'!$A$36,$K$205^A30,IF(A30='Données projet'!$A$36,'Données projet'!$B$36,N29+M30-V29)))</f>
        <v>169.39999999999998</v>
      </c>
      <c r="O30" s="14">
        <f>N30*VLOOKUP('Données projet'!$B$9,Paramètres!$A$1:$I$89,3,0)*VLOOKUP('Données projet'!$B$9,Paramètres!$A$1:$I$89,5,0)</f>
        <v>134.77464000000001</v>
      </c>
      <c r="P30" s="14">
        <f t="shared" si="33"/>
        <v>35.097311734235603</v>
      </c>
      <c r="Q30" s="22">
        <f t="shared" si="2"/>
        <v>295.86031593712704</v>
      </c>
      <c r="R30" s="62">
        <f t="shared" si="0"/>
        <v>528.3781588096906</v>
      </c>
      <c r="S30" s="62">
        <f ca="1">AVERAGE(OFFSET($R$3,0,0,'Données projet'!$E$9+1,1))-AVERAGE(OFFSET($H$3,0,0,'Données projet'!$E$9+1,1))</f>
        <v>394.70330963327166</v>
      </c>
      <c r="T30" s="62">
        <f t="shared" si="34"/>
        <v>424.06445894109982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11.5</v>
      </c>
      <c r="AI30" s="14">
        <f>IF('Données projet'!$A$62&gt;35,AI29+AH30-AQ29,IF(A30&lt;'Données projet'!$A$62,$AF$205^A30,IF(A30='Données projet'!$A$62,'Données projet'!$B$62,AI29+AH30-AQ29)))</f>
        <v>108.99999999999996</v>
      </c>
      <c r="AJ30" s="14">
        <f>AI30*VLOOKUP('Données projet'!$B$10,Paramètres!$A$1:$I$89,3,0)*VLOOKUP('Données projet'!$B$10,Paramètres!$A$1:$I$89,5,0)</f>
        <v>88.420799999999971</v>
      </c>
      <c r="AK30" s="14">
        <f t="shared" si="35"/>
        <v>24.183968471983022</v>
      </c>
      <c r="AL30" s="22">
        <f t="shared" si="4"/>
        <v>196.11997175537036</v>
      </c>
      <c r="AM30" s="62">
        <f t="shared" si="5"/>
        <v>428.63781462793384</v>
      </c>
      <c r="AN30" s="62">
        <f ca="1">AVERAGE(OFFSET($AM$3,0,0,'Données projet'!$E$10+1,1))-AVERAGE(OFFSET($H$3,0,0,'Données projet'!$E$10+1,1))</f>
        <v>319.39055628111151</v>
      </c>
      <c r="AO30" s="62">
        <f t="shared" si="36"/>
        <v>312.22190035638084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9.8000000000000007</v>
      </c>
      <c r="BD30" s="13">
        <f>IF('Données projet'!$A$88&gt;35,BD29+BC30-BL29,IF(A30&lt;'Données projet'!$A$88,$BA$205^A30,IF(A30='Données projet'!$A$88,'Données projet'!$B$88,BD29+BC30-BL29)))</f>
        <v>105.6</v>
      </c>
      <c r="BE30" s="14">
        <f>BD30*VLOOKUP('Données projet'!$B$11,Paramètres!$A$1:$I$89,3,0)*VLOOKUP('Données projet'!$B$11,Paramètres!$A$1:$I$89,5,0)</f>
        <v>77.425920000000005</v>
      </c>
      <c r="BF30" s="14">
        <f t="shared" si="37"/>
        <v>21.506615232797724</v>
      </c>
      <c r="BG30" s="22">
        <f t="shared" si="7"/>
        <v>172.30749886378939</v>
      </c>
      <c r="BH30" s="62">
        <f t="shared" si="8"/>
        <v>404.82534173635293</v>
      </c>
      <c r="BI30" s="62">
        <f ca="1">AVERAGE(OFFSET($BH$3,0,0,'Données projet'!$E$11+1,1))-AVERAGE(OFFSET($H$3,0,0,'Données projet'!$E$11+1,1))</f>
        <v>257.906524944431</v>
      </c>
      <c r="BJ30" s="62">
        <f t="shared" si="38"/>
        <v>274.70390601173563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8.8000000000000007</v>
      </c>
      <c r="BY30" s="13">
        <f>IF('Données projet'!$A$114&gt;35,BY29+BX30-CG29,IF(A30&lt;'Données projet'!$A$114,$BV$205^A30,IF(A30='Données projet'!$A$114,'Données projet'!$B$114,BY29+BX30-CG29)))</f>
        <v>119.59999999999997</v>
      </c>
      <c r="BZ30" s="14">
        <f>BY30*VLOOKUP('Données projet'!$B$12,Paramètres!$A$1:$I$89,3,0)*VLOOKUP('Données projet'!$B$12,Paramètres!$A$1:$I$89,5,0)</f>
        <v>97.019519999999986</v>
      </c>
      <c r="CA30" s="14">
        <f t="shared" si="39"/>
        <v>26.250693712468323</v>
      </c>
      <c r="CB30" s="22">
        <f t="shared" si="10"/>
        <v>214.69562221588228</v>
      </c>
      <c r="CC30" s="62">
        <f t="shared" si="11"/>
        <v>447.21346508844579</v>
      </c>
      <c r="CD30" s="62">
        <f ca="1">AVERAGE(OFFSET($CC$3,0,0,'Données projet'!$E$12+1,1))-AVERAGE(OFFSET($H$3,0,0,'Données projet'!$E$12+1,1))</f>
        <v>272.69564942740931</v>
      </c>
      <c r="CE30" s="62">
        <f t="shared" si="40"/>
        <v>316.57989180609252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8.717948717948719</v>
      </c>
      <c r="CT30" s="13">
        <f>IF('Données projet'!$A$140&gt;35,CT29+CS30-DB29,IF(A30&lt;'Données projet'!$A$140,$CQ$205^A30,IF(A30='Données projet'!$A$140,'Données projet'!$B$140,CT29+CS30-DB29)))</f>
        <v>142.43589743589746</v>
      </c>
      <c r="CU30" s="18">
        <f>CT30*VLOOKUP('Données projet'!$B$13,Paramètres!$A$1:$I$89,3,0)*VLOOKUP('Données projet'!$B$13,Paramètres!$A$1:$I$89,5,0)</f>
        <v>135.54200000000003</v>
      </c>
      <c r="CV30" s="14">
        <f t="shared" si="41"/>
        <v>35.273824818995735</v>
      </c>
      <c r="CW30" s="22">
        <f t="shared" si="13"/>
        <v>297.50422822641758</v>
      </c>
      <c r="CX30" s="62">
        <f t="shared" si="14"/>
        <v>530.02207109898109</v>
      </c>
      <c r="CY30" s="62">
        <f ca="1">AVERAGE(OFFSET($CX$3,0,0,'Données projet'!$E$13+1,1))-AVERAGE(OFFSET($H$3,0,0,'Données projet'!$E$13+1,1))</f>
        <v>491.87038198656927</v>
      </c>
      <c r="CZ30" s="62">
        <f t="shared" si="42"/>
        <v>406.49261644949559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9.1999999999999993</v>
      </c>
      <c r="DO30" s="13">
        <f>IF('Données projet'!$A$166&gt;35,DO29+DN30-DW29,IF(A30&lt;'Données projet'!$A$166,$DL$205^A30,IF(A30='Données projet'!$A$166,'Données projet'!$B$166,DO29+DN30-DW29)))</f>
        <v>93.40000000000002</v>
      </c>
      <c r="DP30" s="18">
        <f>DO30*VLOOKUP('Données projet'!$B$14,Paramètres!$A$1:$I$89,3,0)*VLOOKUP('Données projet'!$B$14,Paramètres!$A$1:$I$89,5,0)</f>
        <v>90.336480000000023</v>
      </c>
      <c r="DQ30" s="14">
        <f t="shared" si="43"/>
        <v>24.646358234355564</v>
      </c>
      <c r="DR30" s="22">
        <f t="shared" si="16"/>
        <v>200.26177659150264</v>
      </c>
      <c r="DS30" s="62">
        <f t="shared" si="17"/>
        <v>432.77961946406617</v>
      </c>
      <c r="DT30" s="62">
        <f ca="1">AVERAGE(OFFSET($DS$3,0,0,'Données projet'!$E$14+1,1))-AVERAGE(OFFSET($H$3,0,0,'Données projet'!$E$14+1,1))</f>
        <v>603.52431522262032</v>
      </c>
      <c r="DU30" s="62">
        <f t="shared" si="44"/>
        <v>313.56299786481338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16.399999999999999</v>
      </c>
      <c r="EJ30" s="13">
        <f>IF('Données projet'!$A$192&gt;35,EJ29+EI30-ER29,IF(A30&lt;'Données projet'!$A$192,$EG$205^A30,IF(A30='Données projet'!$A$192,'Données projet'!$B$192,EJ29+EI30-ER29)))</f>
        <v>197.80000000000004</v>
      </c>
      <c r="EK30" s="18">
        <f>EJ30*VLOOKUP('Données projet'!$B$15,Paramètres!$A$1:$I$89,3,0)*VLOOKUP('Données projet'!$B$15,Paramètres!$A$1:$I$89,5,0)</f>
        <v>157.36968000000005</v>
      </c>
      <c r="EL30" s="14">
        <f t="shared" si="45"/>
        <v>40.248668251494969</v>
      </c>
      <c r="EM30" s="22">
        <f t="shared" si="19"/>
        <v>344.18528987135386</v>
      </c>
      <c r="EN30" s="62">
        <f t="shared" si="20"/>
        <v>576.70313274391742</v>
      </c>
      <c r="EO30" s="62">
        <f ca="1">AVERAGE(OFFSET($EN$3,0,0,'Données projet'!$E$15+1,1))-AVERAGE(OFFSET($H$3,0,0,'Données projet'!$E$15+1,1))</f>
        <v>450.93388191845378</v>
      </c>
      <c r="EP30" s="62">
        <f t="shared" si="46"/>
        <v>483.33635017129325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11.5</v>
      </c>
      <c r="FE30" s="13">
        <f>IF('Données projet'!$A$218&gt;35,FE29+FD30-FM29,IF(A30&lt;'Données projet'!$A$218,$FB$205^A30,IF(A30='Données projet'!$A$218,'Données projet'!$B$218,FE29+FD30-FM29)))</f>
        <v>108.99999999999996</v>
      </c>
      <c r="FF30" s="18">
        <f>FE30*VLOOKUP('Données projet'!$B$16,Paramètres!$A$1:$I$89,3,0)*VLOOKUP('Données projet'!$B$16,Paramètres!$A$1:$I$89,5,0)</f>
        <v>85.019999999999968</v>
      </c>
      <c r="FG30" s="14">
        <f t="shared" si="47"/>
        <v>23.360218970693097</v>
      </c>
      <c r="FH30" s="22">
        <f t="shared" si="22"/>
        <v>188.76221470729038</v>
      </c>
      <c r="FI30" s="62">
        <f t="shared" si="23"/>
        <v>421.28005757985386</v>
      </c>
      <c r="FJ30" s="62">
        <f ca="1">AVERAGE(OFFSET($FI$3,0,0,'Données projet'!$E$16+1,1))-AVERAGE(OFFSET($H$3,0,0,'Données projet'!$E$16+1,1))</f>
        <v>309.21625451786218</v>
      </c>
      <c r="FK30" s="62">
        <f t="shared" si="48"/>
        <v>302.59481222418219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14.2</v>
      </c>
      <c r="N31" s="14">
        <f>IF('Données projet'!$A$36&gt;35,N30+M31-V30,IF(A31&lt;'Données projet'!$A$36,$K$205^A31,IF(A31='Données projet'!$A$36,'Données projet'!$B$36,N30+M31-V30)))</f>
        <v>183.59999999999997</v>
      </c>
      <c r="O31" s="14">
        <f>N31*VLOOKUP('Données projet'!$B$9,Paramètres!$A$1:$I$89,3,0)*VLOOKUP('Données projet'!$B$9,Paramètres!$A$1:$I$89,5,0)</f>
        <v>146.07215999999997</v>
      </c>
      <c r="P31" s="14">
        <f t="shared" si="33"/>
        <v>37.684596095571003</v>
      </c>
      <c r="Q31" s="22">
        <f t="shared" si="2"/>
        <v>320.04301686645277</v>
      </c>
      <c r="R31" s="62">
        <f t="shared" si="0"/>
        <v>554.77448628843683</v>
      </c>
      <c r="S31" s="62">
        <f ca="1">AVERAGE(OFFSET($R$3,0,0,'Données projet'!$E$9+1,1))-AVERAGE(OFFSET($H$3,0,0,'Données projet'!$E$9+1,1))</f>
        <v>394.70330963327166</v>
      </c>
      <c r="T31" s="62">
        <f t="shared" si="34"/>
        <v>424.06445894109982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11.5</v>
      </c>
      <c r="AI31" s="14">
        <f>IF('Données projet'!$A$62&gt;35,AI30+AH31-AQ30,IF(A31&lt;'Données projet'!$A$62,$AF$205^A31,IF(A31='Données projet'!$A$62,'Données projet'!$B$62,AI30+AH31-AQ30)))</f>
        <v>120.49999999999996</v>
      </c>
      <c r="AJ31" s="14">
        <f>AI31*VLOOKUP('Données projet'!$B$10,Paramètres!$A$1:$I$89,3,0)*VLOOKUP('Données projet'!$B$10,Paramètres!$A$1:$I$89,5,0)</f>
        <v>97.749599999999973</v>
      </c>
      <c r="AK31" s="14">
        <f t="shared" si="35"/>
        <v>26.425162646358601</v>
      </c>
      <c r="AL31" s="22">
        <f t="shared" si="4"/>
        <v>216.27104494240783</v>
      </c>
      <c r="AM31" s="62">
        <f t="shared" si="5"/>
        <v>451.00251436439191</v>
      </c>
      <c r="AN31" s="62">
        <f ca="1">AVERAGE(OFFSET($AM$3,0,0,'Données projet'!$E$10+1,1))-AVERAGE(OFFSET($H$3,0,0,'Données projet'!$E$10+1,1))</f>
        <v>319.39055628111151</v>
      </c>
      <c r="AO31" s="62">
        <f t="shared" si="36"/>
        <v>312.22190035638084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9.8000000000000007</v>
      </c>
      <c r="BD31" s="13">
        <f>IF('Données projet'!$A$88&gt;35,BD30+BC31-BL30,IF(A31&lt;'Données projet'!$A$88,$BA$205^A31,IF(A31='Données projet'!$A$88,'Données projet'!$B$88,BD30+BC31-BL30)))</f>
        <v>115.39999999999999</v>
      </c>
      <c r="BE31" s="14">
        <f>BD31*VLOOKUP('Données projet'!$B$11,Paramètres!$A$1:$I$89,3,0)*VLOOKUP('Données projet'!$B$11,Paramètres!$A$1:$I$89,5,0)</f>
        <v>84.611279999999994</v>
      </c>
      <c r="BF31" s="14">
        <f t="shared" si="37"/>
        <v>23.260962434226169</v>
      </c>
      <c r="BG31" s="22">
        <f t="shared" si="7"/>
        <v>187.87748890627722</v>
      </c>
      <c r="BH31" s="62">
        <f t="shared" si="8"/>
        <v>422.60895832826134</v>
      </c>
      <c r="BI31" s="62">
        <f ca="1">AVERAGE(OFFSET($BH$3,0,0,'Données projet'!$E$11+1,1))-AVERAGE(OFFSET($H$3,0,0,'Données projet'!$E$11+1,1))</f>
        <v>257.906524944431</v>
      </c>
      <c r="BJ31" s="62">
        <f t="shared" si="38"/>
        <v>274.70390601173563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8.8000000000000007</v>
      </c>
      <c r="BY31" s="13">
        <f>IF('Données projet'!$A$114&gt;35,BY30+BX31-CG30,IF(A31&lt;'Données projet'!$A$114,$BV$205^A31,IF(A31='Données projet'!$A$114,'Données projet'!$B$114,BY30+BX31-CG30)))</f>
        <v>128.39999999999998</v>
      </c>
      <c r="BZ31" s="14">
        <f>BY31*VLOOKUP('Données projet'!$B$12,Paramètres!$A$1:$I$89,3,0)*VLOOKUP('Données projet'!$B$12,Paramètres!$A$1:$I$89,5,0)</f>
        <v>104.15807999999998</v>
      </c>
      <c r="CA31" s="14">
        <f t="shared" si="39"/>
        <v>27.950241801489337</v>
      </c>
      <c r="CB31" s="22">
        <f t="shared" si="10"/>
        <v>230.08866047092724</v>
      </c>
      <c r="CC31" s="62">
        <f t="shared" si="11"/>
        <v>464.82012989291132</v>
      </c>
      <c r="CD31" s="62">
        <f ca="1">AVERAGE(OFFSET($CC$3,0,0,'Données projet'!$E$12+1,1))-AVERAGE(OFFSET($H$3,0,0,'Données projet'!$E$12+1,1))</f>
        <v>272.69564942740931</v>
      </c>
      <c r="CE31" s="62">
        <f t="shared" si="40"/>
        <v>316.57989180609252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8.717948717948719</v>
      </c>
      <c r="CT31" s="13">
        <f>IF('Données projet'!$A$140&gt;35,CT30+CS31-DB30,IF(A31&lt;'Données projet'!$A$140,$CQ$205^A31,IF(A31='Données projet'!$A$140,'Données projet'!$B$140,CT30+CS31-DB30)))</f>
        <v>151.15384615384619</v>
      </c>
      <c r="CU31" s="18">
        <f>CT31*VLOOKUP('Données projet'!$B$13,Paramètres!$A$1:$I$89,3,0)*VLOOKUP('Données projet'!$B$13,Paramètres!$A$1:$I$89,5,0)</f>
        <v>143.83800000000002</v>
      </c>
      <c r="CV31" s="14">
        <f t="shared" si="41"/>
        <v>37.174848682678338</v>
      </c>
      <c r="CW31" s="22">
        <f t="shared" si="13"/>
        <v>315.26404478899815</v>
      </c>
      <c r="CX31" s="62">
        <f t="shared" si="14"/>
        <v>549.99551421098226</v>
      </c>
      <c r="CY31" s="62">
        <f ca="1">AVERAGE(OFFSET($CX$3,0,0,'Données projet'!$E$13+1,1))-AVERAGE(OFFSET($H$3,0,0,'Données projet'!$E$13+1,1))</f>
        <v>491.87038198656927</v>
      </c>
      <c r="CZ31" s="62">
        <f t="shared" si="42"/>
        <v>406.49261644949559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9.1999999999999993</v>
      </c>
      <c r="DO31" s="13">
        <f>IF('Données projet'!$A$166&gt;35,DO30+DN31-DW30,IF(A31&lt;'Données projet'!$A$166,$DL$205^A31,IF(A31='Données projet'!$A$166,'Données projet'!$B$166,DO30+DN31-DW30)))</f>
        <v>102.60000000000002</v>
      </c>
      <c r="DP31" s="18">
        <f>DO31*VLOOKUP('Données projet'!$B$14,Paramètres!$A$1:$I$89,3,0)*VLOOKUP('Données projet'!$B$14,Paramètres!$A$1:$I$89,5,0)</f>
        <v>99.234720000000024</v>
      </c>
      <c r="DQ31" s="14">
        <f t="shared" si="43"/>
        <v>26.779598706219044</v>
      </c>
      <c r="DR31" s="22">
        <f t="shared" si="16"/>
        <v>219.47493841333153</v>
      </c>
      <c r="DS31" s="62">
        <f t="shared" si="17"/>
        <v>454.20640783531564</v>
      </c>
      <c r="DT31" s="62">
        <f ca="1">AVERAGE(OFFSET($DS$3,0,0,'Données projet'!$E$14+1,1))-AVERAGE(OFFSET($H$3,0,0,'Données projet'!$E$14+1,1))</f>
        <v>603.52431522262032</v>
      </c>
      <c r="DU31" s="62">
        <f t="shared" si="44"/>
        <v>313.56299786481338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16.399999999999999</v>
      </c>
      <c r="EJ31" s="13">
        <f>IF('Données projet'!$A$192&gt;35,EJ30+EI31-ER30,IF(A31&lt;'Données projet'!$A$192,$EG$205^A31,IF(A31='Données projet'!$A$192,'Données projet'!$B$192,EJ30+EI31-ER30)))</f>
        <v>214.20000000000005</v>
      </c>
      <c r="EK31" s="18">
        <f>EJ31*VLOOKUP('Données projet'!$B$15,Paramètres!$A$1:$I$89,3,0)*VLOOKUP('Données projet'!$B$15,Paramètres!$A$1:$I$89,5,0)</f>
        <v>170.41752000000002</v>
      </c>
      <c r="EL31" s="14">
        <f t="shared" si="45"/>
        <v>43.183520822110523</v>
      </c>
      <c r="EM31" s="22">
        <f t="shared" si="19"/>
        <v>372.02181276517587</v>
      </c>
      <c r="EN31" s="62">
        <f t="shared" si="20"/>
        <v>606.75328218715993</v>
      </c>
      <c r="EO31" s="62">
        <f ca="1">AVERAGE(OFFSET($EN$3,0,0,'Données projet'!$E$15+1,1))-AVERAGE(OFFSET($H$3,0,0,'Données projet'!$E$15+1,1))</f>
        <v>450.93388191845378</v>
      </c>
      <c r="EP31" s="62">
        <f t="shared" si="46"/>
        <v>483.33635017129325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11.5</v>
      </c>
      <c r="FE31" s="13">
        <f>IF('Données projet'!$A$218&gt;35,FE30+FD31-FM30,IF(A31&lt;'Données projet'!$A$218,$FB$205^A31,IF(A31='Données projet'!$A$218,'Données projet'!$B$218,FE30+FD31-FM30)))</f>
        <v>120.49999999999996</v>
      </c>
      <c r="FF31" s="18">
        <f>FE31*VLOOKUP('Données projet'!$B$16,Paramètres!$A$1:$I$89,3,0)*VLOOKUP('Données projet'!$B$16,Paramètres!$A$1:$I$89,5,0)</f>
        <v>93.989999999999966</v>
      </c>
      <c r="FG31" s="14">
        <f t="shared" si="47"/>
        <v>25.525074036970054</v>
      </c>
      <c r="FH31" s="22">
        <f t="shared" si="22"/>
        <v>208.15542061438944</v>
      </c>
      <c r="FI31" s="62">
        <f t="shared" si="23"/>
        <v>442.88689003637353</v>
      </c>
      <c r="FJ31" s="62">
        <f ca="1">AVERAGE(OFFSET($FI$3,0,0,'Données projet'!$E$16+1,1))-AVERAGE(OFFSET($H$3,0,0,'Données projet'!$E$16+1,1))</f>
        <v>309.21625451786218</v>
      </c>
      <c r="FK31" s="62">
        <f t="shared" si="48"/>
        <v>302.59481222418219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14.2</v>
      </c>
      <c r="N32" s="14">
        <f>IF('Données projet'!$A$36&gt;35,N31+M32-V31,IF(A32&lt;'Données projet'!$A$36,$K$205^A32,IF(A32='Données projet'!$A$36,'Données projet'!$B$36,N31+M32-V31)))</f>
        <v>197.79999999999995</v>
      </c>
      <c r="O32" s="14">
        <f>N32*VLOOKUP('Données projet'!$B$9,Paramètres!$A$1:$I$89,3,0)*VLOOKUP('Données projet'!$B$9,Paramètres!$A$1:$I$89,5,0)</f>
        <v>157.36967999999996</v>
      </c>
      <c r="P32" s="14">
        <f t="shared" si="33"/>
        <v>40.248668251494934</v>
      </c>
      <c r="Q32" s="22">
        <f t="shared" si="2"/>
        <v>344.18528987135363</v>
      </c>
      <c r="R32" s="62">
        <f t="shared" si="0"/>
        <v>581.11318719412952</v>
      </c>
      <c r="S32" s="62">
        <f ca="1">AVERAGE(OFFSET($R$3,0,0,'Données projet'!$E$9+1,1))-AVERAGE(OFFSET($H$3,0,0,'Données projet'!$E$9+1,1))</f>
        <v>394.70330963327166</v>
      </c>
      <c r="T32" s="62">
        <f t="shared" si="34"/>
        <v>424.06445894109982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11.5</v>
      </c>
      <c r="AI32" s="14">
        <f>IF('Données projet'!$A$62&gt;35,AI31+AH32-AQ31,IF(A32&lt;'Données projet'!$A$62,$AF$205^A32,IF(A32='Données projet'!$A$62,'Données projet'!$B$62,AI31+AH32-AQ31)))</f>
        <v>131.99999999999994</v>
      </c>
      <c r="AJ32" s="14">
        <f>AI32*VLOOKUP('Données projet'!$B$10,Paramètres!$A$1:$I$89,3,0)*VLOOKUP('Données projet'!$B$10,Paramètres!$A$1:$I$89,5,0)</f>
        <v>107.07839999999996</v>
      </c>
      <c r="AK32" s="14">
        <f t="shared" si="35"/>
        <v>28.64155810910178</v>
      </c>
      <c r="AL32" s="22">
        <f t="shared" si="4"/>
        <v>236.37892704001885</v>
      </c>
      <c r="AM32" s="62">
        <f t="shared" si="5"/>
        <v>473.30682436279471</v>
      </c>
      <c r="AN32" s="62">
        <f ca="1">AVERAGE(OFFSET($AM$3,0,0,'Données projet'!$E$10+1,1))-AVERAGE(OFFSET($H$3,0,0,'Données projet'!$E$10+1,1))</f>
        <v>319.39055628111151</v>
      </c>
      <c r="AO32" s="62">
        <f t="shared" si="36"/>
        <v>312.22190035638084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9.8000000000000007</v>
      </c>
      <c r="BD32" s="13">
        <f>IF('Données projet'!$A$88&gt;35,BD31+BC32-BL31,IF(A32&lt;'Données projet'!$A$88,$BA$205^A32,IF(A32='Données projet'!$A$88,'Données projet'!$B$88,BD31+BC32-BL31)))</f>
        <v>125.19999999999999</v>
      </c>
      <c r="BE32" s="14">
        <f>BD32*VLOOKUP('Données projet'!$B$11,Paramètres!$A$1:$I$89,3,0)*VLOOKUP('Données projet'!$B$11,Paramètres!$A$1:$I$89,5,0)</f>
        <v>91.796639999999996</v>
      </c>
      <c r="BF32" s="14">
        <f t="shared" si="37"/>
        <v>24.99803157268865</v>
      </c>
      <c r="BG32" s="22">
        <f t="shared" si="7"/>
        <v>203.41738632243269</v>
      </c>
      <c r="BH32" s="62">
        <f t="shared" si="8"/>
        <v>440.3452836452085</v>
      </c>
      <c r="BI32" s="62">
        <f ca="1">AVERAGE(OFFSET($BH$3,0,0,'Données projet'!$E$11+1,1))-AVERAGE(OFFSET($H$3,0,0,'Données projet'!$E$11+1,1))</f>
        <v>257.906524944431</v>
      </c>
      <c r="BJ32" s="62">
        <f t="shared" si="38"/>
        <v>274.70390601173563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8.8000000000000007</v>
      </c>
      <c r="BY32" s="13">
        <f>IF('Données projet'!$A$114&gt;35,BY31+BX32-CG31,IF(A32&lt;'Données projet'!$A$114,$BV$205^A32,IF(A32='Données projet'!$A$114,'Données projet'!$B$114,BY31+BX32-CG31)))</f>
        <v>137.19999999999999</v>
      </c>
      <c r="BZ32" s="14">
        <f>BY32*VLOOKUP('Données projet'!$B$12,Paramètres!$A$1:$I$89,3,0)*VLOOKUP('Données projet'!$B$12,Paramètres!$A$1:$I$89,5,0)</f>
        <v>111.29664</v>
      </c>
      <c r="CA32" s="14">
        <f t="shared" si="39"/>
        <v>29.636274399319777</v>
      </c>
      <c r="CB32" s="22">
        <f t="shared" si="10"/>
        <v>245.45815924548194</v>
      </c>
      <c r="CC32" s="62">
        <f t="shared" si="11"/>
        <v>482.3860565682578</v>
      </c>
      <c r="CD32" s="62">
        <f ca="1">AVERAGE(OFFSET($CC$3,0,0,'Données projet'!$E$12+1,1))-AVERAGE(OFFSET($H$3,0,0,'Données projet'!$E$12+1,1))</f>
        <v>272.69564942740931</v>
      </c>
      <c r="CE32" s="62">
        <f t="shared" si="40"/>
        <v>316.57989180609252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8.717948717948719</v>
      </c>
      <c r="CT32" s="13">
        <f>IF('Données projet'!$A$140&gt;35,CT31+CS32-DB31,IF(A32&lt;'Données projet'!$A$140,$CQ$205^A32,IF(A32='Données projet'!$A$140,'Données projet'!$B$140,CT31+CS32-DB31)))</f>
        <v>159.87179487179492</v>
      </c>
      <c r="CU32" s="18">
        <f>CT32*VLOOKUP('Données projet'!$B$13,Paramètres!$A$1:$I$89,3,0)*VLOOKUP('Données projet'!$B$13,Paramètres!$A$1:$I$89,5,0)</f>
        <v>152.13400000000004</v>
      </c>
      <c r="CV32" s="14">
        <f t="shared" si="41"/>
        <v>39.063145346110069</v>
      </c>
      <c r="CW32" s="22">
        <f t="shared" si="13"/>
        <v>333.00169481114176</v>
      </c>
      <c r="CX32" s="62">
        <f t="shared" si="14"/>
        <v>569.92959213391759</v>
      </c>
      <c r="CY32" s="62">
        <f ca="1">AVERAGE(OFFSET($CX$3,0,0,'Données projet'!$E$13+1,1))-AVERAGE(OFFSET($H$3,0,0,'Données projet'!$E$13+1,1))</f>
        <v>491.87038198656927</v>
      </c>
      <c r="CZ32" s="62">
        <f t="shared" si="42"/>
        <v>406.49261644949559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9.1999999999999993</v>
      </c>
      <c r="DO32" s="13">
        <f>IF('Données projet'!$A$166&gt;35,DO31+DN32-DW31,IF(A32&lt;'Données projet'!$A$166,$DL$205^A32,IF(A32='Données projet'!$A$166,'Données projet'!$B$166,DO31+DN32-DW31)))</f>
        <v>111.80000000000003</v>
      </c>
      <c r="DP32" s="18">
        <f>DO32*VLOOKUP('Données projet'!$B$14,Paramètres!$A$1:$I$89,3,0)*VLOOKUP('Données projet'!$B$14,Paramètres!$A$1:$I$89,5,0)</f>
        <v>108.13296000000003</v>
      </c>
      <c r="DQ32" s="14">
        <f t="shared" si="43"/>
        <v>28.890658079177882</v>
      </c>
      <c r="DR32" s="22">
        <f t="shared" si="16"/>
        <v>238.64946815456821</v>
      </c>
      <c r="DS32" s="62">
        <f t="shared" si="17"/>
        <v>475.57736547734407</v>
      </c>
      <c r="DT32" s="62">
        <f ca="1">AVERAGE(OFFSET($DS$3,0,0,'Données projet'!$E$14+1,1))-AVERAGE(OFFSET($H$3,0,0,'Données projet'!$E$14+1,1))</f>
        <v>603.52431522262032</v>
      </c>
      <c r="DU32" s="62">
        <f t="shared" si="44"/>
        <v>313.56299786481338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16.399999999999999</v>
      </c>
      <c r="EJ32" s="13">
        <f>IF('Données projet'!$A$192&gt;35,EJ31+EI32-ER31,IF(A32&lt;'Données projet'!$A$192,$EG$205^A32,IF(A32='Données projet'!$A$192,'Données projet'!$B$192,EJ31+EI32-ER31)))</f>
        <v>230.60000000000005</v>
      </c>
      <c r="EK32" s="18">
        <f>EJ32*VLOOKUP('Données projet'!$B$15,Paramètres!$A$1:$I$89,3,0)*VLOOKUP('Données projet'!$B$15,Paramètres!$A$1:$I$89,5,0)</f>
        <v>183.46536000000003</v>
      </c>
      <c r="EL32" s="14">
        <f t="shared" si="45"/>
        <v>46.092307191940968</v>
      </c>
      <c r="EM32" s="22">
        <f t="shared" si="19"/>
        <v>399.81293702596389</v>
      </c>
      <c r="EN32" s="62">
        <f t="shared" si="20"/>
        <v>636.74083434873978</v>
      </c>
      <c r="EO32" s="62">
        <f ca="1">AVERAGE(OFFSET($EN$3,0,0,'Données projet'!$E$15+1,1))-AVERAGE(OFFSET($H$3,0,0,'Données projet'!$E$15+1,1))</f>
        <v>450.93388191845378</v>
      </c>
      <c r="EP32" s="62">
        <f t="shared" si="46"/>
        <v>483.33635017129325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11.5</v>
      </c>
      <c r="FE32" s="13">
        <f>IF('Données projet'!$A$218&gt;35,FE31+FD32-FM31,IF(A32&lt;'Données projet'!$A$218,$FB$205^A32,IF(A32='Données projet'!$A$218,'Données projet'!$B$218,FE31+FD32-FM31)))</f>
        <v>131.99999999999994</v>
      </c>
      <c r="FF32" s="18">
        <f>FE32*VLOOKUP('Données projet'!$B$16,Paramètres!$A$1:$I$89,3,0)*VLOOKUP('Données projet'!$B$16,Paramètres!$A$1:$I$89,5,0)</f>
        <v>102.95999999999997</v>
      </c>
      <c r="FG32" s="14">
        <f t="shared" si="47"/>
        <v>27.665975080374633</v>
      </c>
      <c r="FH32" s="22">
        <f t="shared" si="22"/>
        <v>227.50690659831903</v>
      </c>
      <c r="FI32" s="62">
        <f t="shared" si="23"/>
        <v>464.43480392109484</v>
      </c>
      <c r="FJ32" s="62">
        <f ca="1">AVERAGE(OFFSET($FI$3,0,0,'Données projet'!$E$16+1,1))-AVERAGE(OFFSET($H$3,0,0,'Données projet'!$E$16+1,1))</f>
        <v>309.21625451786218</v>
      </c>
      <c r="FK32" s="62">
        <f t="shared" si="48"/>
        <v>302.59481222418219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212</v>
      </c>
      <c r="L33" s="13">
        <f>VLOOKUP(A33,'Données projet'!$A$35:$I$55,9,0)</f>
        <v>14.2</v>
      </c>
      <c r="M33" s="13">
        <f t="array" ref="M33">INDEX(L:L,MIN(IF(ISNUMBER(L33:L229),ROW(L33:L229),"")))</f>
        <v>14.2</v>
      </c>
      <c r="N33" s="14">
        <f>IF('Données projet'!$A$36&gt;35,N32+M33-V32,IF(A33&lt;'Données projet'!$A$36,$K$205^A33,IF(A33='Données projet'!$A$36,'Données projet'!$B$36,N32+M33-V32)))</f>
        <v>211.99999999999994</v>
      </c>
      <c r="O33" s="14">
        <f>N33*VLOOKUP('Données projet'!$B$9,Paramètres!$A$1:$I$89,3,0)*VLOOKUP('Données projet'!$B$9,Paramètres!$A$1:$I$89,5,0)</f>
        <v>168.66719999999998</v>
      </c>
      <c r="P33" s="14">
        <f t="shared" si="33"/>
        <v>42.791384119459089</v>
      </c>
      <c r="Q33" s="22">
        <f t="shared" si="2"/>
        <v>368.29036734139117</v>
      </c>
      <c r="R33" s="62">
        <f t="shared" si="0"/>
        <v>607.39779227443319</v>
      </c>
      <c r="S33" s="62">
        <f ca="1">AVERAGE(OFFSET($R$3,0,0,'Données projet'!$E$9+1,1))-AVERAGE(OFFSET($H$3,0,0,'Données projet'!$E$9+1,1))</f>
        <v>394.70330963327166</v>
      </c>
      <c r="T33" s="62">
        <f t="shared" si="34"/>
        <v>424.06445894109982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70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11.5</v>
      </c>
      <c r="AI33" s="14">
        <f>IF('Données projet'!$A$62&gt;35,AI32+AH33-AQ32,IF(A33&lt;'Données projet'!$A$62,$AF$205^A33,IF(A33='Données projet'!$A$62,'Données projet'!$B$62,AI32+AH33-AQ32)))</f>
        <v>143.49999999999994</v>
      </c>
      <c r="AJ33" s="14">
        <f>AI33*VLOOKUP('Données projet'!$B$10,Paramètres!$A$1:$I$89,3,0)*VLOOKUP('Données projet'!$B$10,Paramètres!$A$1:$I$89,5,0)</f>
        <v>116.40719999999996</v>
      </c>
      <c r="AK33" s="14">
        <f t="shared" si="35"/>
        <v>30.835561008615706</v>
      </c>
      <c r="AL33" s="22">
        <f t="shared" si="4"/>
        <v>256.44780875667226</v>
      </c>
      <c r="AM33" s="62">
        <f t="shared" si="5"/>
        <v>495.55523368971421</v>
      </c>
      <c r="AN33" s="62">
        <f ca="1">AVERAGE(OFFSET($AM$3,0,0,'Données projet'!$E$10+1,1))-AVERAGE(OFFSET($H$3,0,0,'Données projet'!$E$10+1,1))</f>
        <v>319.39055628111151</v>
      </c>
      <c r="AO33" s="62">
        <f t="shared" si="36"/>
        <v>312.22190035638084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135</v>
      </c>
      <c r="BB33" s="13">
        <f>VLOOKUP(A33,'Données projet'!$A$87:$I$107,9,0)</f>
        <v>9.8000000000000007</v>
      </c>
      <c r="BC33" s="13">
        <f t="array" ref="BC33">INDEX(BB:BB,MIN(IF(ISNUMBER(BB33:BB229),ROW(BB33:BB229),"")))</f>
        <v>9.8000000000000007</v>
      </c>
      <c r="BD33" s="13">
        <f>IF('Données projet'!$A$88&gt;35,BD32+BC33-BL32,IF(A33&lt;'Données projet'!$A$88,$BA$205^A33,IF(A33='Données projet'!$A$88,'Données projet'!$B$88,BD32+BC33-BL32)))</f>
        <v>135</v>
      </c>
      <c r="BE33" s="14">
        <f>BD33*VLOOKUP('Données projet'!$B$11,Paramètres!$A$1:$I$89,3,0)*VLOOKUP('Données projet'!$B$11,Paramètres!$A$1:$I$89,5,0)</f>
        <v>98.981999999999999</v>
      </c>
      <c r="BF33" s="14">
        <f t="shared" si="37"/>
        <v>26.719328849010743</v>
      </c>
      <c r="BG33" s="22">
        <f t="shared" si="7"/>
        <v>218.92981441202701</v>
      </c>
      <c r="BH33" s="62">
        <f t="shared" si="8"/>
        <v>458.037239345069</v>
      </c>
      <c r="BI33" s="62">
        <f ca="1">AVERAGE(OFFSET($BH$3,0,0,'Données projet'!$E$11+1,1))-AVERAGE(OFFSET($H$3,0,0,'Données projet'!$E$11+1,1))</f>
        <v>257.906524944431</v>
      </c>
      <c r="BJ33" s="62">
        <f t="shared" si="38"/>
        <v>274.70390601173563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42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146</v>
      </c>
      <c r="BW33" s="13">
        <f>VLOOKUP(A33,'Données projet'!$A$113:$I$133,9,0)</f>
        <v>8.8000000000000007</v>
      </c>
      <c r="BX33" s="13">
        <f t="array" ref="BX33">INDEX(BW:BW,MIN(IF(ISNUMBER(BW33:BW229),ROW(BW33:BW229),"")))</f>
        <v>8.8000000000000007</v>
      </c>
      <c r="BY33" s="13">
        <f>IF('Données projet'!$A$114&gt;35,BY32+BX33-CG32,IF(A33&lt;'Données projet'!$A$114,$BV$205^A33,IF(A33='Données projet'!$A$114,'Données projet'!$B$114,BY32+BX33-CG32)))</f>
        <v>146</v>
      </c>
      <c r="BZ33" s="14">
        <f>BY33*VLOOKUP('Données projet'!$B$12,Paramètres!$A$1:$I$89,3,0)*VLOOKUP('Données projet'!$B$12,Paramètres!$A$1:$I$89,5,0)</f>
        <v>118.43520000000001</v>
      </c>
      <c r="CA33" s="14">
        <f t="shared" si="39"/>
        <v>31.309757056296963</v>
      </c>
      <c r="CB33" s="22">
        <f t="shared" si="10"/>
        <v>260.80580020638394</v>
      </c>
      <c r="CC33" s="62">
        <f t="shared" si="11"/>
        <v>499.91322513942589</v>
      </c>
      <c r="CD33" s="62">
        <f ca="1">AVERAGE(OFFSET($CC$3,0,0,'Données projet'!$E$12+1,1))-AVERAGE(OFFSET($H$3,0,0,'Données projet'!$E$12+1,1))</f>
        <v>272.69564942740931</v>
      </c>
      <c r="CE33" s="62">
        <f t="shared" si="40"/>
        <v>316.57989180609252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168.58974358974359</v>
      </c>
      <c r="CR33" s="13">
        <f>VLOOKUP(A33,'Données projet'!$A$139:$I$159,9,0)</f>
        <v>8.717948717948719</v>
      </c>
      <c r="CS33" s="13">
        <f t="array" ref="CS33">INDEX(CR:CR,MIN(IF(ISNUMBER(CR33:CR229),ROW(CR33:CR229),"")))</f>
        <v>8.717948717948719</v>
      </c>
      <c r="CT33" s="13">
        <f>IF('Données projet'!$A$140&gt;35,CT32+CS33-DB32,IF(A33&lt;'Données projet'!$A$140,$CQ$205^A33,IF(A33='Données projet'!$A$140,'Données projet'!$B$140,CT32+CS33-DB32)))</f>
        <v>168.58974358974365</v>
      </c>
      <c r="CU33" s="18">
        <f>CT33*VLOOKUP('Données projet'!$B$13,Paramètres!$A$1:$I$89,3,0)*VLOOKUP('Données projet'!$B$13,Paramètres!$A$1:$I$89,5,0)</f>
        <v>160.43000000000006</v>
      </c>
      <c r="CV33" s="14">
        <f t="shared" si="41"/>
        <v>40.939487952030774</v>
      </c>
      <c r="CW33" s="22">
        <f t="shared" si="13"/>
        <v>350.718524849787</v>
      </c>
      <c r="CX33" s="62">
        <f t="shared" si="14"/>
        <v>589.82594978282896</v>
      </c>
      <c r="CY33" s="62">
        <f ca="1">AVERAGE(OFFSET($CX$3,0,0,'Données projet'!$E$13+1,1))-AVERAGE(OFFSET($H$3,0,0,'Données projet'!$E$13+1,1))</f>
        <v>491.87038198656927</v>
      </c>
      <c r="CZ33" s="62">
        <f t="shared" si="42"/>
        <v>406.49261644949559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38.46153846153846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121</v>
      </c>
      <c r="DM33" s="13">
        <f>VLOOKUP(A33,'Données projet'!$A$165:$I$185,9,0)</f>
        <v>9.1999999999999993</v>
      </c>
      <c r="DN33" s="13">
        <f t="array" ref="DN33">INDEX(DM:DM,MIN(IF(ISNUMBER(DM33:DM229),ROW(DM33:DM229),"")))</f>
        <v>9.1999999999999993</v>
      </c>
      <c r="DO33" s="13">
        <f>IF('Données projet'!$A$166&gt;35,DO32+DN33-DW32,IF(A33&lt;'Données projet'!$A$166,$DL$205^A33,IF(A33='Données projet'!$A$166,'Données projet'!$B$166,DO32+DN33-DW32)))</f>
        <v>121.00000000000003</v>
      </c>
      <c r="DP33" s="18">
        <f>DO33*VLOOKUP('Données projet'!$B$14,Paramètres!$A$1:$I$89,3,0)*VLOOKUP('Données projet'!$B$14,Paramètres!$A$1:$I$89,5,0)</f>
        <v>117.03120000000003</v>
      </c>
      <c r="DQ33" s="14">
        <f t="shared" si="43"/>
        <v>30.981569147428555</v>
      </c>
      <c r="DR33" s="22">
        <f t="shared" si="16"/>
        <v>257.78890626510474</v>
      </c>
      <c r="DS33" s="62">
        <f t="shared" si="17"/>
        <v>496.89633119814675</v>
      </c>
      <c r="DT33" s="62">
        <f ca="1">AVERAGE(OFFSET($DS$3,0,0,'Données projet'!$E$14+1,1))-AVERAGE(OFFSET($H$3,0,0,'Données projet'!$E$14+1,1))</f>
        <v>603.52431522262032</v>
      </c>
      <c r="DU33" s="62">
        <f t="shared" si="44"/>
        <v>313.56299786481338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247</v>
      </c>
      <c r="EH33" s="13">
        <f>VLOOKUP(A33,'Données projet'!$A$191:$I$211,9,0)</f>
        <v>16.399999999999999</v>
      </c>
      <c r="EI33" s="13">
        <f t="array" ref="EI33">INDEX(EH:EH,MIN(IF(ISNUMBER(EH33:EH229),ROW(EH33:EH229),"")))</f>
        <v>16.399999999999999</v>
      </c>
      <c r="EJ33" s="13">
        <f>IF('Données projet'!$A$192&gt;35,EJ32+EI33-ER32,IF(A33&lt;'Données projet'!$A$192,$EG$205^A33,IF(A33='Données projet'!$A$192,'Données projet'!$B$192,EJ32+EI33-ER32)))</f>
        <v>247.00000000000006</v>
      </c>
      <c r="EK33" s="18">
        <f>EJ33*VLOOKUP('Données projet'!$B$15,Paramètres!$A$1:$I$89,3,0)*VLOOKUP('Données projet'!$B$15,Paramètres!$A$1:$I$89,5,0)</f>
        <v>196.51320000000004</v>
      </c>
      <c r="EL33" s="14">
        <f t="shared" si="45"/>
        <v>48.977092002823696</v>
      </c>
      <c r="EM33" s="22">
        <f t="shared" si="19"/>
        <v>427.56225857158461</v>
      </c>
      <c r="EN33" s="62">
        <f t="shared" si="20"/>
        <v>666.66968350462662</v>
      </c>
      <c r="EO33" s="62">
        <f ca="1">AVERAGE(OFFSET($EN$3,0,0,'Données projet'!$E$15+1,1))-AVERAGE(OFFSET($H$3,0,0,'Données projet'!$E$15+1,1))</f>
        <v>450.93388191845378</v>
      </c>
      <c r="EP33" s="62">
        <f t="shared" si="46"/>
        <v>483.33635017129325</v>
      </c>
      <c r="EQ33" s="16">
        <f>IF(ISNA(VLOOKUP(A33,'Données projet'!$A$191:$I$211,3,0)),0,VLOOKUP(A33,'Données projet'!$A$191:$I$211,3,0))</f>
        <v>2</v>
      </c>
      <c r="ER33" s="16">
        <f>IF(ISNA(VLOOKUP(A33,'Données projet'!$A$191:$I$211,4,0)),0,VLOOKUP(A33,'Données projet'!$A$191:$I$211,4,0))</f>
        <v>84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11.5</v>
      </c>
      <c r="FE33" s="13">
        <f>IF('Données projet'!$A$218&gt;35,FE32+FD33-FM32,IF(A33&lt;'Données projet'!$A$218,$FB$205^A33,IF(A33='Données projet'!$A$218,'Données projet'!$B$218,FE32+FD33-FM32)))</f>
        <v>143.49999999999994</v>
      </c>
      <c r="FF33" s="18">
        <f>FE33*VLOOKUP('Données projet'!$B$16,Paramètres!$A$1:$I$89,3,0)*VLOOKUP('Données projet'!$B$16,Paramètres!$A$1:$I$89,5,0)</f>
        <v>111.92999999999996</v>
      </c>
      <c r="FG33" s="14">
        <f t="shared" si="47"/>
        <v>29.785246291563833</v>
      </c>
      <c r="FH33" s="22">
        <f t="shared" si="22"/>
        <v>246.82072062447358</v>
      </c>
      <c r="FI33" s="62">
        <f t="shared" si="23"/>
        <v>485.92814555751556</v>
      </c>
      <c r="FJ33" s="62">
        <f ca="1">AVERAGE(OFFSET($FI$3,0,0,'Données projet'!$E$16+1,1))-AVERAGE(OFFSET($H$3,0,0,'Données projet'!$E$16+1,1))</f>
        <v>309.21625451786218</v>
      </c>
      <c r="FK33" s="62">
        <f t="shared" si="48"/>
        <v>302.59481222418219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12.8</v>
      </c>
      <c r="N34" s="14">
        <f>IF('Données projet'!$A$36&gt;35,N33+M34-V33,IF(A34&lt;'Données projet'!$A$36,$K$205^A34,IF(A34='Données projet'!$A$36,'Données projet'!$B$36,N33+M34-V33)))</f>
        <v>154.79999999999995</v>
      </c>
      <c r="O34" s="14">
        <f>N34*VLOOKUP('Données projet'!$B$9,Paramètres!$A$1:$I$89,3,0)*VLOOKUP('Données projet'!$B$9,Paramètres!$A$1:$I$89,5,0)</f>
        <v>123.15887999999997</v>
      </c>
      <c r="P34" s="14">
        <f t="shared" si="33"/>
        <v>32.410638331814873</v>
      </c>
      <c r="Q34" s="22">
        <f t="shared" si="2"/>
        <v>270.95024442791083</v>
      </c>
      <c r="R34" s="62">
        <f t="shared" si="0"/>
        <v>510.99836764072836</v>
      </c>
      <c r="S34" s="62">
        <f ca="1">AVERAGE(OFFSET($R$3,0,0,'Données projet'!$E$9+1,1))-AVERAGE(OFFSET($H$3,0,0,'Données projet'!$E$9+1,1))</f>
        <v>394.70330963327166</v>
      </c>
      <c r="T34" s="62">
        <f t="shared" si="34"/>
        <v>424.06445894109982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>
        <f>VLOOKUP(A34,'Données projet'!$A$61:$I$81,2,0)</f>
        <v>155</v>
      </c>
      <c r="AG34" s="13">
        <f>VLOOKUP(A34,'Données projet'!$A$61:$I$81,9,0)</f>
        <v>11.5</v>
      </c>
      <c r="AH34" s="13">
        <f t="array" ref="AH34">INDEX(AG:AG,MIN(IF(ISNUMBER(AG34:AG230),ROW(AG34:AG230),"")))</f>
        <v>11.5</v>
      </c>
      <c r="AI34" s="14">
        <f>IF('Données projet'!$A$62&gt;35,AI33+AH34-AQ33,IF(A34&lt;'Données projet'!$A$62,$AF$205^A34,IF(A34='Données projet'!$A$62,'Données projet'!$B$62,AI33+AH34-AQ33)))</f>
        <v>154.99999999999994</v>
      </c>
      <c r="AJ34" s="14">
        <f>AI34*VLOOKUP('Données projet'!$B$10,Paramètres!$A$1:$I$89,3,0)*VLOOKUP('Données projet'!$B$10,Paramètres!$A$1:$I$89,5,0)</f>
        <v>125.73599999999998</v>
      </c>
      <c r="AK34" s="14">
        <f t="shared" si="35"/>
        <v>33.0091698918201</v>
      </c>
      <c r="AL34" s="22">
        <f t="shared" si="4"/>
        <v>276.4811708949199</v>
      </c>
      <c r="AM34" s="62">
        <f t="shared" si="5"/>
        <v>516.52929410773743</v>
      </c>
      <c r="AN34" s="62">
        <f ca="1">AVERAGE(OFFSET($AM$3,0,0,'Données projet'!$E$10+1,1))-AVERAGE(OFFSET($H$3,0,0,'Données projet'!$E$10+1,1))</f>
        <v>319.39055628111151</v>
      </c>
      <c r="AO34" s="62">
        <f t="shared" si="36"/>
        <v>312.22190035638084</v>
      </c>
      <c r="AP34" s="16">
        <f>IF(ISNA(VLOOKUP(A34,'Données projet'!$A$61:$I$81,3,0)),0,VLOOKUP(A34,'Données projet'!$A$61:$I$81,3,0))</f>
        <v>3</v>
      </c>
      <c r="AQ34" s="16">
        <f>IF(ISNA(VLOOKUP(A34,'Données projet'!$A$61:$I$81,4,0)),0,VLOOKUP(A34,'Données projet'!$A$61:$I$81,4,0))</f>
        <v>36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8.6</v>
      </c>
      <c r="BD34" s="13">
        <f>IF('Données projet'!$A$88&gt;35,BD33+BC34-BL33,IF(A34&lt;'Données projet'!$A$88,$BA$205^A34,IF(A34='Données projet'!$A$88,'Données projet'!$B$88,BD33+BC34-BL33)))</f>
        <v>101.6</v>
      </c>
      <c r="BE34" s="14">
        <f>BD34*VLOOKUP('Données projet'!$B$11,Paramètres!$A$1:$I$89,3,0)*VLOOKUP('Données projet'!$B$11,Paramètres!$A$1:$I$89,5,0)</f>
        <v>74.49311999999999</v>
      </c>
      <c r="BF34" s="14">
        <f t="shared" si="37"/>
        <v>20.785185634730134</v>
      </c>
      <c r="BG34" s="22">
        <f t="shared" si="7"/>
        <v>165.94304898048827</v>
      </c>
      <c r="BH34" s="62">
        <f t="shared" si="8"/>
        <v>405.99117219330583</v>
      </c>
      <c r="BI34" s="62">
        <f ca="1">AVERAGE(OFFSET($BH$3,0,0,'Données projet'!$E$11+1,1))-AVERAGE(OFFSET($H$3,0,0,'Données projet'!$E$11+1,1))</f>
        <v>257.906524944431</v>
      </c>
      <c r="BJ34" s="62">
        <f t="shared" si="38"/>
        <v>274.70390601173563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8.8000000000000007</v>
      </c>
      <c r="BY34" s="13">
        <f>IF('Données projet'!$A$114&gt;35,BY33+BX34-CG33,IF(A34&lt;'Données projet'!$A$114,$BV$205^A34,IF(A34='Données projet'!$A$114,'Données projet'!$B$114,BY33+BX34-CG33)))</f>
        <v>154.80000000000001</v>
      </c>
      <c r="BZ34" s="14">
        <f>BY34*VLOOKUP('Données projet'!$B$12,Paramètres!$A$1:$I$89,3,0)*VLOOKUP('Données projet'!$B$12,Paramètres!$A$1:$I$89,5,0)</f>
        <v>125.57376000000002</v>
      </c>
      <c r="CA34" s="14">
        <f t="shared" si="39"/>
        <v>32.97153235129214</v>
      </c>
      <c r="CB34" s="22">
        <f t="shared" si="10"/>
        <v>276.13305084516719</v>
      </c>
      <c r="CC34" s="62">
        <f t="shared" si="11"/>
        <v>516.18117405798478</v>
      </c>
      <c r="CD34" s="62">
        <f ca="1">AVERAGE(OFFSET($CC$3,0,0,'Données projet'!$E$12+1,1))-AVERAGE(OFFSET($H$3,0,0,'Données projet'!$E$12+1,1))</f>
        <v>272.69564942740931</v>
      </c>
      <c r="CE34" s="62">
        <f t="shared" si="40"/>
        <v>316.57989180609252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8.0769230769230713</v>
      </c>
      <c r="CT34" s="13">
        <f>IF('Données projet'!$A$140&gt;35,CT33+CS34-DB33,IF(A34&lt;'Données projet'!$A$140,$CQ$205^A34,IF(A34='Données projet'!$A$140,'Données projet'!$B$140,CT33+CS34-DB33)))</f>
        <v>138.20512820512826</v>
      </c>
      <c r="CU34" s="18">
        <f>CT34*VLOOKUP('Données projet'!$B$13,Paramètres!$A$1:$I$89,3,0)*VLOOKUP('Données projet'!$B$13,Paramètres!$A$1:$I$89,5,0)</f>
        <v>131.51600000000005</v>
      </c>
      <c r="CV34" s="14">
        <f t="shared" si="41"/>
        <v>34.34642569568517</v>
      </c>
      <c r="CW34" s="22">
        <f t="shared" si="13"/>
        <v>288.87705808665174</v>
      </c>
      <c r="CX34" s="62">
        <f t="shared" si="14"/>
        <v>528.92518129946927</v>
      </c>
      <c r="CY34" s="62">
        <f ca="1">AVERAGE(OFFSET($CX$3,0,0,'Données projet'!$E$13+1,1))-AVERAGE(OFFSET($H$3,0,0,'Données projet'!$E$13+1,1))</f>
        <v>491.87038198656927</v>
      </c>
      <c r="CZ34" s="62">
        <f t="shared" si="42"/>
        <v>406.49261644949559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10.8</v>
      </c>
      <c r="DO34" s="13">
        <f>IF('Données projet'!$A$166&gt;35,DO33+DN34-DW33,IF(A34&lt;'Données projet'!$A$166,$DL$205^A34,IF(A34='Données projet'!$A$166,'Données projet'!$B$166,DO33+DN34-DW33)))</f>
        <v>131.80000000000004</v>
      </c>
      <c r="DP34" s="18">
        <f>DO34*VLOOKUP('Données projet'!$B$14,Paramètres!$A$1:$I$89,3,0)*VLOOKUP('Données projet'!$B$14,Paramètres!$A$1:$I$89,5,0)</f>
        <v>127.47696000000003</v>
      </c>
      <c r="DQ34" s="14">
        <f t="shared" si="43"/>
        <v>33.412695535466739</v>
      </c>
      <c r="DR34" s="22">
        <f t="shared" si="16"/>
        <v>280.21615005760458</v>
      </c>
      <c r="DS34" s="62">
        <f t="shared" si="17"/>
        <v>520.26427327042211</v>
      </c>
      <c r="DT34" s="62">
        <f ca="1">AVERAGE(OFFSET($DS$3,0,0,'Données projet'!$E$14+1,1))-AVERAGE(OFFSET($H$3,0,0,'Données projet'!$E$14+1,1))</f>
        <v>603.52431522262032</v>
      </c>
      <c r="DU34" s="62">
        <f t="shared" si="44"/>
        <v>313.56299786481338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15.2</v>
      </c>
      <c r="EJ34" s="13">
        <f>IF('Données projet'!$A$192&gt;35,EJ33+EI34-ER33,IF(A34&lt;'Données projet'!$A$192,$EG$205^A34,IF(A34='Données projet'!$A$192,'Données projet'!$B$192,EJ33+EI34-ER33)))</f>
        <v>178.20000000000005</v>
      </c>
      <c r="EK34" s="18">
        <f>EJ34*VLOOKUP('Données projet'!$B$15,Paramètres!$A$1:$I$89,3,0)*VLOOKUP('Données projet'!$B$15,Paramètres!$A$1:$I$89,5,0)</f>
        <v>141.77592000000004</v>
      </c>
      <c r="EL34" s="14">
        <f t="shared" si="45"/>
        <v>36.703544878441981</v>
      </c>
      <c r="EM34" s="22">
        <f t="shared" si="19"/>
        <v>310.85173466328649</v>
      </c>
      <c r="EN34" s="62">
        <f t="shared" si="20"/>
        <v>550.89985787610408</v>
      </c>
      <c r="EO34" s="62">
        <f ca="1">AVERAGE(OFFSET($EN$3,0,0,'Données projet'!$E$15+1,1))-AVERAGE(OFFSET($H$3,0,0,'Données projet'!$E$15+1,1))</f>
        <v>450.93388191845378</v>
      </c>
      <c r="EP34" s="62">
        <f t="shared" si="46"/>
        <v>483.33635017129325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>
        <f>VLOOKUP(A34,'Données projet'!$A$217:$I$237,2,0)</f>
        <v>155</v>
      </c>
      <c r="FC34" s="13">
        <f>VLOOKUP(A34,'Données projet'!$A$217:$I$237,9,0)</f>
        <v>11.5</v>
      </c>
      <c r="FD34" s="13">
        <f t="array" ref="FD34">INDEX(FC:FC,MIN(IF(ISNUMBER(FC34:FC230),ROW(FC34:FC230),"")))</f>
        <v>11.5</v>
      </c>
      <c r="FE34" s="13">
        <f>IF('Données projet'!$A$218&gt;35,FE33+FD34-FM33,IF(A34&lt;'Données projet'!$A$218,$FB$205^A34,IF(A34='Données projet'!$A$218,'Données projet'!$B$218,FE33+FD34-FM33)))</f>
        <v>154.99999999999994</v>
      </c>
      <c r="FF34" s="18">
        <f>FE34*VLOOKUP('Données projet'!$B$16,Paramètres!$A$1:$I$89,3,0)*VLOOKUP('Données projet'!$B$16,Paramètres!$A$1:$I$89,5,0)</f>
        <v>120.89999999999996</v>
      </c>
      <c r="FG34" s="14">
        <f t="shared" si="47"/>
        <v>31.884818143351602</v>
      </c>
      <c r="FH34" s="22">
        <f t="shared" si="22"/>
        <v>266.10022493300397</v>
      </c>
      <c r="FI34" s="62">
        <f t="shared" si="23"/>
        <v>506.1483481458215</v>
      </c>
      <c r="FJ34" s="62">
        <f ca="1">AVERAGE(OFFSET($FI$3,0,0,'Données projet'!$E$16+1,1))-AVERAGE(OFFSET($H$3,0,0,'Données projet'!$E$16+1,1))</f>
        <v>309.21625451786218</v>
      </c>
      <c r="FK34" s="62">
        <f t="shared" si="48"/>
        <v>302.59481222418219</v>
      </c>
      <c r="FL34" s="16">
        <f>IF(ISNA(VLOOKUP(A34,'Données projet'!$A$217:$I$237,3,0)),0,VLOOKUP(A34,'Données projet'!$A$217:$I$237,3,0))</f>
        <v>3</v>
      </c>
      <c r="FM34" s="16">
        <f>IF(ISNA(VLOOKUP(A34,'Données projet'!$A$217:$I$237,4,0)),0,VLOOKUP(A34,'Données projet'!$A$217:$I$237,4,0))</f>
        <v>36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12.8</v>
      </c>
      <c r="N35" s="14">
        <f>IF('Données projet'!$A$36&gt;35,N34+M35-V34,IF(A35&lt;'Données projet'!$A$36,$K$205^A35,IF(A35='Données projet'!$A$36,'Données projet'!$B$36,N34+M35-V34)))</f>
        <v>167.59999999999997</v>
      </c>
      <c r="O35" s="14">
        <f>N35*VLOOKUP('Données projet'!$B$9,Paramètres!$A$1:$I$89,3,0)*VLOOKUP('Données projet'!$B$9,Paramètres!$A$1:$I$89,5,0)</f>
        <v>133.34255999999999</v>
      </c>
      <c r="P35" s="14">
        <f t="shared" si="33"/>
        <v>34.767581918978188</v>
      </c>
      <c r="Q35" s="22">
        <f t="shared" ref="Q35:Q66" si="53">(O35+P35)*0.475*44/12</f>
        <v>292.79183050888702</v>
      </c>
      <c r="R35" s="62">
        <f t="shared" si="0"/>
        <v>533.76433298941231</v>
      </c>
      <c r="S35" s="62">
        <f ca="1">AVERAGE(OFFSET($R$3,0,0,'Données projet'!$E$9+1,1))-AVERAGE(OFFSET($H$3,0,0,'Données projet'!$E$9+1,1))</f>
        <v>394.70330963327166</v>
      </c>
      <c r="T35" s="62">
        <f t="shared" si="34"/>
        <v>424.06445894109982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11.5</v>
      </c>
      <c r="AI35" s="14">
        <f>IF('Données projet'!$A$62&gt;35,AI34+AH35-AQ34,IF(A35&lt;'Données projet'!$A$62,$AF$205^A35,IF(A35='Données projet'!$A$62,'Données projet'!$B$62,AI34+AH35-AQ34)))</f>
        <v>130.49999999999994</v>
      </c>
      <c r="AJ35" s="14">
        <f>AI35*VLOOKUP('Données projet'!$B$10,Paramètres!$A$1:$I$89,3,0)*VLOOKUP('Données projet'!$B$10,Paramètres!$A$1:$I$89,5,0)</f>
        <v>105.86159999999995</v>
      </c>
      <c r="AK35" s="14">
        <f t="shared" si="35"/>
        <v>28.353779818951288</v>
      </c>
      <c r="AL35" s="22">
        <f t="shared" si="4"/>
        <v>233.75845318467341</v>
      </c>
      <c r="AM35" s="62">
        <f t="shared" si="5"/>
        <v>474.73095566519874</v>
      </c>
      <c r="AN35" s="62">
        <f ca="1">AVERAGE(OFFSET($AM$3,0,0,'Données projet'!$E$10+1,1))-AVERAGE(OFFSET($H$3,0,0,'Données projet'!$E$10+1,1))</f>
        <v>319.39055628111151</v>
      </c>
      <c r="AO35" s="62">
        <f t="shared" si="36"/>
        <v>312.22190035638084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8.6</v>
      </c>
      <c r="BD35" s="13">
        <f>IF('Données projet'!$A$88&gt;35,BD34+BC35-BL34,IF(A35&lt;'Données projet'!$A$88,$BA$205^A35,IF(A35='Données projet'!$A$88,'Données projet'!$B$88,BD34+BC35-BL34)))</f>
        <v>110.19999999999999</v>
      </c>
      <c r="BE35" s="14">
        <f>BD35*VLOOKUP('Données projet'!$B$11,Paramètres!$A$1:$I$89,3,0)*VLOOKUP('Données projet'!$B$11,Paramètres!$A$1:$I$89,5,0)</f>
        <v>80.798639999999992</v>
      </c>
      <c r="BF35" s="14">
        <f t="shared" si="37"/>
        <v>22.332342724937131</v>
      </c>
      <c r="BG35" s="22">
        <f t="shared" si="7"/>
        <v>179.61979491259879</v>
      </c>
      <c r="BH35" s="62">
        <f t="shared" si="8"/>
        <v>420.59229739312411</v>
      </c>
      <c r="BI35" s="62">
        <f ca="1">AVERAGE(OFFSET($BH$3,0,0,'Données projet'!$E$11+1,1))-AVERAGE(OFFSET($H$3,0,0,'Données projet'!$E$11+1,1))</f>
        <v>257.906524944431</v>
      </c>
      <c r="BJ35" s="62">
        <f t="shared" si="38"/>
        <v>274.70390601173563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8.8000000000000007</v>
      </c>
      <c r="BY35" s="13">
        <f>IF('Données projet'!$A$114&gt;35,BY34+BX35-CG34,IF(A35&lt;'Données projet'!$A$114,$BV$205^A35,IF(A35='Données projet'!$A$114,'Données projet'!$B$114,BY34+BX35-CG34)))</f>
        <v>163.60000000000002</v>
      </c>
      <c r="BZ35" s="14">
        <f>BY35*VLOOKUP('Données projet'!$B$12,Paramètres!$A$1:$I$89,3,0)*VLOOKUP('Données projet'!$B$12,Paramètres!$A$1:$I$89,5,0)</f>
        <v>132.71232000000003</v>
      </c>
      <c r="CA35" s="14">
        <f t="shared" si="39"/>
        <v>34.622341655285041</v>
      </c>
      <c r="CB35" s="22">
        <f t="shared" si="10"/>
        <v>291.44120238295483</v>
      </c>
      <c r="CC35" s="62">
        <f t="shared" si="11"/>
        <v>532.41370486348012</v>
      </c>
      <c r="CD35" s="62">
        <f ca="1">AVERAGE(OFFSET($CC$3,0,0,'Données projet'!$E$12+1,1))-AVERAGE(OFFSET($H$3,0,0,'Données projet'!$E$12+1,1))</f>
        <v>272.69564942740931</v>
      </c>
      <c r="CE35" s="62">
        <f t="shared" si="40"/>
        <v>316.57989180609252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8.0769230769230713</v>
      </c>
      <c r="CT35" s="13">
        <f>IF('Données projet'!$A$140&gt;35,CT34+CS35-DB34,IF(A35&lt;'Données projet'!$A$140,$CQ$205^A35,IF(A35='Données projet'!$A$140,'Données projet'!$B$140,CT34+CS35-DB34)))</f>
        <v>146.28205128205133</v>
      </c>
      <c r="CU35" s="18">
        <f>CT35*VLOOKUP('Données projet'!$B$13,Paramètres!$A$1:$I$89,3,0)*VLOOKUP('Données projet'!$B$13,Paramètres!$A$1:$I$89,5,0)</f>
        <v>139.20200000000003</v>
      </c>
      <c r="CV35" s="14">
        <f t="shared" si="41"/>
        <v>36.114134126277463</v>
      </c>
      <c r="CW35" s="22">
        <f t="shared" si="13"/>
        <v>305.34226693659991</v>
      </c>
      <c r="CX35" s="62">
        <f t="shared" si="14"/>
        <v>546.31476941712526</v>
      </c>
      <c r="CY35" s="62">
        <f ca="1">AVERAGE(OFFSET($CX$3,0,0,'Données projet'!$E$13+1,1))-AVERAGE(OFFSET($H$3,0,0,'Données projet'!$E$13+1,1))</f>
        <v>491.87038198656927</v>
      </c>
      <c r="CZ35" s="62">
        <f t="shared" si="42"/>
        <v>406.49261644949559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10.8</v>
      </c>
      <c r="DO35" s="13">
        <f>IF('Données projet'!$A$166&gt;35,DO34+DN35-DW34,IF(A35&lt;'Données projet'!$A$166,$DL$205^A35,IF(A35='Données projet'!$A$166,'Données projet'!$B$166,DO34+DN35-DW34)))</f>
        <v>142.60000000000005</v>
      </c>
      <c r="DP35" s="18">
        <f>DO35*VLOOKUP('Données projet'!$B$14,Paramètres!$A$1:$I$89,3,0)*VLOOKUP('Données projet'!$B$14,Paramètres!$A$1:$I$89,5,0)</f>
        <v>137.92272000000006</v>
      </c>
      <c r="DQ35" s="14">
        <f t="shared" si="43"/>
        <v>35.82071658526872</v>
      </c>
      <c r="DR35" s="22">
        <f t="shared" si="16"/>
        <v>302.60315205267642</v>
      </c>
      <c r="DS35" s="62">
        <f t="shared" si="17"/>
        <v>543.57565453320171</v>
      </c>
      <c r="DT35" s="62">
        <f ca="1">AVERAGE(OFFSET($DS$3,0,0,'Données projet'!$E$14+1,1))-AVERAGE(OFFSET($H$3,0,0,'Données projet'!$E$14+1,1))</f>
        <v>603.52431522262032</v>
      </c>
      <c r="DU35" s="62">
        <f t="shared" si="44"/>
        <v>313.56299786481338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15.2</v>
      </c>
      <c r="EJ35" s="13">
        <f>IF('Données projet'!$A$192&gt;35,EJ34+EI35-ER34,IF(A35&lt;'Données projet'!$A$192,$EG$205^A35,IF(A35='Données projet'!$A$192,'Données projet'!$B$192,EJ34+EI35-ER34)))</f>
        <v>193.40000000000003</v>
      </c>
      <c r="EK35" s="18">
        <f>EJ35*VLOOKUP('Données projet'!$B$15,Paramètres!$A$1:$I$89,3,0)*VLOOKUP('Données projet'!$B$15,Paramètres!$A$1:$I$89,5,0)</f>
        <v>153.86904000000004</v>
      </c>
      <c r="EL35" s="14">
        <f t="shared" si="45"/>
        <v>39.456531419736123</v>
      </c>
      <c r="EM35" s="22">
        <f t="shared" si="19"/>
        <v>336.70870355604046</v>
      </c>
      <c r="EN35" s="62">
        <f t="shared" si="20"/>
        <v>577.68120603656575</v>
      </c>
      <c r="EO35" s="62">
        <f ca="1">AVERAGE(OFFSET($EN$3,0,0,'Données projet'!$E$15+1,1))-AVERAGE(OFFSET($H$3,0,0,'Données projet'!$E$15+1,1))</f>
        <v>450.93388191845378</v>
      </c>
      <c r="EP35" s="62">
        <f t="shared" si="46"/>
        <v>483.33635017129325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11.5</v>
      </c>
      <c r="FE35" s="13">
        <f>IF('Données projet'!$A$218&gt;35,FE34+FD35-FM34,IF(A35&lt;'Données projet'!$A$218,$FB$205^A35,IF(A35='Données projet'!$A$218,'Données projet'!$B$218,FE34+FD35-FM34)))</f>
        <v>130.49999999999994</v>
      </c>
      <c r="FF35" s="18">
        <f>FE35*VLOOKUP('Données projet'!$B$16,Paramètres!$A$1:$I$89,3,0)*VLOOKUP('Données projet'!$B$16,Paramètres!$A$1:$I$89,5,0)</f>
        <v>101.78999999999996</v>
      </c>
      <c r="FG35" s="14">
        <f t="shared" si="47"/>
        <v>27.38799903683508</v>
      </c>
      <c r="FH35" s="22">
        <f t="shared" si="22"/>
        <v>224.98501498915437</v>
      </c>
      <c r="FI35" s="62">
        <f t="shared" si="23"/>
        <v>465.95751746967971</v>
      </c>
      <c r="FJ35" s="62">
        <f ca="1">AVERAGE(OFFSET($FI$3,0,0,'Données projet'!$E$16+1,1))-AVERAGE(OFFSET($H$3,0,0,'Données projet'!$E$16+1,1))</f>
        <v>309.21625451786218</v>
      </c>
      <c r="FK35" s="62">
        <f t="shared" si="48"/>
        <v>302.59481222418219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12.8</v>
      </c>
      <c r="N36" s="14">
        <f>IF('Données projet'!$A$36&gt;35,N35+M36-V35,IF(A36&lt;'Données projet'!$A$36,$K$205^A36,IF(A36='Données projet'!$A$36,'Données projet'!$B$36,N35+M36-V35)))</f>
        <v>180.39999999999998</v>
      </c>
      <c r="O36" s="14">
        <f>N36*VLOOKUP('Données projet'!$B$9,Paramètres!$A$1:$I$89,3,0)*VLOOKUP('Données projet'!$B$9,Paramètres!$A$1:$I$89,5,0)</f>
        <v>143.52624</v>
      </c>
      <c r="P36" s="14">
        <f t="shared" si="33"/>
        <v>37.103644337236275</v>
      </c>
      <c r="Q36" s="22">
        <f t="shared" si="53"/>
        <v>314.59704855401981</v>
      </c>
      <c r="R36" s="62">
        <f t="shared" si="0"/>
        <v>556.47789438856057</v>
      </c>
      <c r="S36" s="62">
        <f ca="1">AVERAGE(OFFSET($R$3,0,0,'Données projet'!$E$9+1,1))-AVERAGE(OFFSET($H$3,0,0,'Données projet'!$E$9+1,1))</f>
        <v>394.70330963327166</v>
      </c>
      <c r="T36" s="62">
        <f t="shared" si="34"/>
        <v>424.06445894109982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11.5</v>
      </c>
      <c r="AI36" s="14">
        <f>IF('Données projet'!$A$62&gt;35,AI35+AH36-AQ35,IF(A36&lt;'Données projet'!$A$62,$AF$205^A36,IF(A36='Données projet'!$A$62,'Données projet'!$B$62,AI35+AH36-AQ35)))</f>
        <v>141.99999999999994</v>
      </c>
      <c r="AJ36" s="14">
        <f>AI36*VLOOKUP('Données projet'!$B$10,Paramètres!$A$1:$I$89,3,0)*VLOOKUP('Données projet'!$B$10,Paramètres!$A$1:$I$89,5,0)</f>
        <v>115.19039999999997</v>
      </c>
      <c r="AK36" s="14">
        <f t="shared" si="35"/>
        <v>30.550582519051947</v>
      </c>
      <c r="AL36" s="22">
        <f t="shared" si="4"/>
        <v>253.8322112206821</v>
      </c>
      <c r="AM36" s="62">
        <f t="shared" si="5"/>
        <v>495.71305705522286</v>
      </c>
      <c r="AN36" s="62">
        <f ca="1">AVERAGE(OFFSET($AM$3,0,0,'Données projet'!$E$10+1,1))-AVERAGE(OFFSET($H$3,0,0,'Données projet'!$E$10+1,1))</f>
        <v>319.39055628111151</v>
      </c>
      <c r="AO36" s="62">
        <f t="shared" si="36"/>
        <v>312.22190035638084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8.6</v>
      </c>
      <c r="BD36" s="13">
        <f>IF('Données projet'!$A$88&gt;35,BD35+BC36-BL35,IF(A36&lt;'Données projet'!$A$88,$BA$205^A36,IF(A36='Données projet'!$A$88,'Données projet'!$B$88,BD35+BC36-BL35)))</f>
        <v>118.79999999999998</v>
      </c>
      <c r="BE36" s="14">
        <f>BD36*VLOOKUP('Données projet'!$B$11,Paramètres!$A$1:$I$89,3,0)*VLOOKUP('Données projet'!$B$11,Paramètres!$A$1:$I$89,5,0)</f>
        <v>87.104159999999993</v>
      </c>
      <c r="BF36" s="14">
        <f t="shared" si="37"/>
        <v>23.865494318543401</v>
      </c>
      <c r="BG36" s="22">
        <f t="shared" si="7"/>
        <v>193.27214793812971</v>
      </c>
      <c r="BH36" s="62">
        <f t="shared" si="8"/>
        <v>435.15299377267047</v>
      </c>
      <c r="BI36" s="62">
        <f ca="1">AVERAGE(OFFSET($BH$3,0,0,'Données projet'!$E$11+1,1))-AVERAGE(OFFSET($H$3,0,0,'Données projet'!$E$11+1,1))</f>
        <v>257.906524944431</v>
      </c>
      <c r="BJ36" s="62">
        <f t="shared" si="38"/>
        <v>274.70390601173563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8.8000000000000007</v>
      </c>
      <c r="BY36" s="13">
        <f>IF('Données projet'!$A$114&gt;35,BY35+BX36-CG35,IF(A36&lt;'Données projet'!$A$114,$BV$205^A36,IF(A36='Données projet'!$A$114,'Données projet'!$B$114,BY35+BX36-CG35)))</f>
        <v>172.40000000000003</v>
      </c>
      <c r="BZ36" s="14">
        <f>BY36*VLOOKUP('Données projet'!$B$12,Paramètres!$A$1:$I$89,3,0)*VLOOKUP('Données projet'!$B$12,Paramètres!$A$1:$I$89,5,0)</f>
        <v>139.85088000000005</v>
      </c>
      <c r="CA36" s="14">
        <f t="shared" si="39"/>
        <v>36.262842078476233</v>
      </c>
      <c r="CB36" s="22">
        <f t="shared" si="10"/>
        <v>306.7313992866795</v>
      </c>
      <c r="CC36" s="62">
        <f t="shared" si="11"/>
        <v>548.61224512122021</v>
      </c>
      <c r="CD36" s="62">
        <f ca="1">AVERAGE(OFFSET($CC$3,0,0,'Données projet'!$E$12+1,1))-AVERAGE(OFFSET($H$3,0,0,'Données projet'!$E$12+1,1))</f>
        <v>272.69564942740931</v>
      </c>
      <c r="CE36" s="62">
        <f t="shared" si="40"/>
        <v>316.57989180609252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8.0769230769230713</v>
      </c>
      <c r="CT36" s="13">
        <f>IF('Données projet'!$A$140&gt;35,CT35+CS36-DB35,IF(A36&lt;'Données projet'!$A$140,$CQ$205^A36,IF(A36='Données projet'!$A$140,'Données projet'!$B$140,CT35+CS36-DB35)))</f>
        <v>154.35897435897439</v>
      </c>
      <c r="CU36" s="18">
        <f>CT36*VLOOKUP('Données projet'!$B$13,Paramètres!$A$1:$I$89,3,0)*VLOOKUP('Données projet'!$B$13,Paramètres!$A$1:$I$89,5,0)</f>
        <v>146.88800000000003</v>
      </c>
      <c r="CV36" s="14">
        <f t="shared" si="41"/>
        <v>37.870511858985232</v>
      </c>
      <c r="CW36" s="22">
        <f t="shared" si="13"/>
        <v>321.78774148773266</v>
      </c>
      <c r="CX36" s="62">
        <f t="shared" si="14"/>
        <v>563.66858732227342</v>
      </c>
      <c r="CY36" s="62">
        <f ca="1">AVERAGE(OFFSET($CX$3,0,0,'Données projet'!$E$13+1,1))-AVERAGE(OFFSET($H$3,0,0,'Données projet'!$E$13+1,1))</f>
        <v>491.87038198656927</v>
      </c>
      <c r="CZ36" s="62">
        <f t="shared" si="42"/>
        <v>406.49261644949559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10.8</v>
      </c>
      <c r="DO36" s="13">
        <f>IF('Données projet'!$A$166&gt;35,DO35+DN36-DW35,IF(A36&lt;'Données projet'!$A$166,$DL$205^A36,IF(A36='Données projet'!$A$166,'Données projet'!$B$166,DO35+DN36-DW35)))</f>
        <v>153.40000000000006</v>
      </c>
      <c r="DP36" s="18">
        <f>DO36*VLOOKUP('Données projet'!$B$14,Paramètres!$A$1:$I$89,3,0)*VLOOKUP('Données projet'!$B$14,Paramètres!$A$1:$I$89,5,0)</f>
        <v>148.36848000000006</v>
      </c>
      <c r="DQ36" s="14">
        <f t="shared" si="43"/>
        <v>38.207581183185937</v>
      </c>
      <c r="DR36" s="22">
        <f t="shared" si="16"/>
        <v>324.95330656071559</v>
      </c>
      <c r="DS36" s="62">
        <f t="shared" si="17"/>
        <v>566.8341523952563</v>
      </c>
      <c r="DT36" s="62">
        <f ca="1">AVERAGE(OFFSET($DS$3,0,0,'Données projet'!$E$14+1,1))-AVERAGE(OFFSET($H$3,0,0,'Données projet'!$E$14+1,1))</f>
        <v>603.52431522262032</v>
      </c>
      <c r="DU36" s="62">
        <f t="shared" si="44"/>
        <v>313.56299786481338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15.2</v>
      </c>
      <c r="EJ36" s="13">
        <f>IF('Données projet'!$A$192&gt;35,EJ35+EI36-ER35,IF(A36&lt;'Données projet'!$A$192,$EG$205^A36,IF(A36='Données projet'!$A$192,'Données projet'!$B$192,EJ35+EI36-ER35)))</f>
        <v>208.60000000000002</v>
      </c>
      <c r="EK36" s="18">
        <f>EJ36*VLOOKUP('Données projet'!$B$15,Paramètres!$A$1:$I$89,3,0)*VLOOKUP('Données projet'!$B$15,Paramètres!$A$1:$I$89,5,0)</f>
        <v>165.96216000000001</v>
      </c>
      <c r="EL36" s="14">
        <f t="shared" si="45"/>
        <v>42.184420424142857</v>
      </c>
      <c r="EM36" s="22">
        <f t="shared" si="19"/>
        <v>362.52196090538217</v>
      </c>
      <c r="EN36" s="62">
        <f t="shared" si="20"/>
        <v>604.40280673992288</v>
      </c>
      <c r="EO36" s="62">
        <f ca="1">AVERAGE(OFFSET($EN$3,0,0,'Données projet'!$E$15+1,1))-AVERAGE(OFFSET($H$3,0,0,'Données projet'!$E$15+1,1))</f>
        <v>450.93388191845378</v>
      </c>
      <c r="EP36" s="62">
        <f t="shared" si="46"/>
        <v>483.33635017129325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11.5</v>
      </c>
      <c r="FE36" s="13">
        <f>IF('Données projet'!$A$218&gt;35,FE35+FD36-FM35,IF(A36&lt;'Données projet'!$A$218,$FB$205^A36,IF(A36='Données projet'!$A$218,'Données projet'!$B$218,FE35+FD36-FM35)))</f>
        <v>141.99999999999994</v>
      </c>
      <c r="FF36" s="18">
        <f>FE36*VLOOKUP('Données projet'!$B$16,Paramètres!$A$1:$I$89,3,0)*VLOOKUP('Données projet'!$B$16,Paramètres!$A$1:$I$89,5,0)</f>
        <v>110.75999999999996</v>
      </c>
      <c r="FG36" s="14">
        <f t="shared" si="47"/>
        <v>29.509974682362923</v>
      </c>
      <c r="FH36" s="22">
        <f t="shared" si="22"/>
        <v>244.30353923844871</v>
      </c>
      <c r="FI36" s="62">
        <f t="shared" si="23"/>
        <v>486.18438507298947</v>
      </c>
      <c r="FJ36" s="62">
        <f ca="1">AVERAGE(OFFSET($FI$3,0,0,'Données projet'!$E$16+1,1))-AVERAGE(OFFSET($H$3,0,0,'Données projet'!$E$16+1,1))</f>
        <v>309.21625451786218</v>
      </c>
      <c r="FK36" s="62">
        <f t="shared" si="48"/>
        <v>302.59481222418219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12.8</v>
      </c>
      <c r="N37" s="14">
        <f>IF('Données projet'!$A$36&gt;35,N36+M37-V36,IF(A37&lt;'Données projet'!$A$36,$K$205^A37,IF(A37='Données projet'!$A$36,'Données projet'!$B$36,N36+M37-V36)))</f>
        <v>193.2</v>
      </c>
      <c r="O37" s="14">
        <f>N37*VLOOKUP('Données projet'!$B$9,Paramètres!$A$1:$I$89,3,0)*VLOOKUP('Données projet'!$B$9,Paramètres!$A$1:$I$89,5,0)</f>
        <v>153.70992000000001</v>
      </c>
      <c r="P37" s="14">
        <f t="shared" si="33"/>
        <v>39.420475690379831</v>
      </c>
      <c r="Q37" s="22">
        <f t="shared" si="53"/>
        <v>336.3687724940782</v>
      </c>
      <c r="R37" s="62">
        <f t="shared" si="0"/>
        <v>579.14220395619373</v>
      </c>
      <c r="S37" s="62">
        <f ca="1">AVERAGE(OFFSET($R$3,0,0,'Données projet'!$E$9+1,1))-AVERAGE(OFFSET($H$3,0,0,'Données projet'!$E$9+1,1))</f>
        <v>394.70330963327166</v>
      </c>
      <c r="T37" s="62">
        <f t="shared" si="34"/>
        <v>424.06445894109982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11.5</v>
      </c>
      <c r="AI37" s="14">
        <f>IF('Données projet'!$A$62&gt;35,AI36+AH37-AQ36,IF(A37&lt;'Données projet'!$A$62,$AF$205^A37,IF(A37='Données projet'!$A$62,'Données projet'!$B$62,AI36+AH37-AQ36)))</f>
        <v>153.49999999999994</v>
      </c>
      <c r="AJ37" s="14">
        <f>AI37*VLOOKUP('Données projet'!$B$10,Paramètres!$A$1:$I$89,3,0)*VLOOKUP('Données projet'!$B$10,Paramètres!$A$1:$I$89,5,0)</f>
        <v>124.51919999999997</v>
      </c>
      <c r="AK37" s="14">
        <f t="shared" si="35"/>
        <v>32.726749993106388</v>
      </c>
      <c r="AL37" s="22">
        <f t="shared" si="4"/>
        <v>273.87002957132694</v>
      </c>
      <c r="AM37" s="62">
        <f t="shared" si="5"/>
        <v>516.64346103344246</v>
      </c>
      <c r="AN37" s="62">
        <f ca="1">AVERAGE(OFFSET($AM$3,0,0,'Données projet'!$E$10+1,1))-AVERAGE(OFFSET($H$3,0,0,'Données projet'!$E$10+1,1))</f>
        <v>319.39055628111151</v>
      </c>
      <c r="AO37" s="62">
        <f t="shared" si="36"/>
        <v>312.22190035638084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8.6</v>
      </c>
      <c r="BD37" s="13">
        <f>IF('Données projet'!$A$88&gt;35,BD36+BC37-BL36,IF(A37&lt;'Données projet'!$A$88,$BA$205^A37,IF(A37='Données projet'!$A$88,'Données projet'!$B$88,BD36+BC37-BL36)))</f>
        <v>127.39999999999998</v>
      </c>
      <c r="BE37" s="14">
        <f>BD37*VLOOKUP('Données projet'!$B$11,Paramètres!$A$1:$I$89,3,0)*VLOOKUP('Données projet'!$B$11,Paramètres!$A$1:$I$89,5,0)</f>
        <v>93.40967999999998</v>
      </c>
      <c r="BF37" s="14">
        <f t="shared" si="37"/>
        <v>25.385769584238624</v>
      </c>
      <c r="BG37" s="22">
        <f t="shared" si="7"/>
        <v>206.90207469254889</v>
      </c>
      <c r="BH37" s="62">
        <f t="shared" si="8"/>
        <v>449.6755061546645</v>
      </c>
      <c r="BI37" s="62">
        <f ca="1">AVERAGE(OFFSET($BH$3,0,0,'Données projet'!$E$11+1,1))-AVERAGE(OFFSET($H$3,0,0,'Données projet'!$E$11+1,1))</f>
        <v>257.906524944431</v>
      </c>
      <c r="BJ37" s="62">
        <f t="shared" si="38"/>
        <v>274.70390601173563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8.8000000000000007</v>
      </c>
      <c r="BY37" s="13">
        <f>IF('Données projet'!$A$114&gt;35,BY36+BX37-CG36,IF(A37&lt;'Données projet'!$A$114,$BV$205^A37,IF(A37='Données projet'!$A$114,'Données projet'!$B$114,BY36+BX37-CG36)))</f>
        <v>181.20000000000005</v>
      </c>
      <c r="BZ37" s="14">
        <f>BY37*VLOOKUP('Données projet'!$B$12,Paramètres!$A$1:$I$89,3,0)*VLOOKUP('Données projet'!$B$12,Paramètres!$A$1:$I$89,5,0)</f>
        <v>146.98944000000006</v>
      </c>
      <c r="CA37" s="14">
        <f t="shared" si="39"/>
        <v>37.893619858723746</v>
      </c>
      <c r="CB37" s="22">
        <f t="shared" si="10"/>
        <v>322.00466258727732</v>
      </c>
      <c r="CC37" s="62">
        <f t="shared" si="11"/>
        <v>564.77809404939285</v>
      </c>
      <c r="CD37" s="62">
        <f ca="1">AVERAGE(OFFSET($CC$3,0,0,'Données projet'!$E$12+1,1))-AVERAGE(OFFSET($H$3,0,0,'Données projet'!$E$12+1,1))</f>
        <v>272.69564942740931</v>
      </c>
      <c r="CE37" s="62">
        <f t="shared" si="40"/>
        <v>316.57989180609252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8.0769230769230713</v>
      </c>
      <c r="CT37" s="13">
        <f>IF('Données projet'!$A$140&gt;35,CT36+CS37-DB36,IF(A37&lt;'Données projet'!$A$140,$CQ$205^A37,IF(A37='Données projet'!$A$140,'Données projet'!$B$140,CT36+CS37-DB36)))</f>
        <v>162.43589743589746</v>
      </c>
      <c r="CU37" s="18">
        <f>CT37*VLOOKUP('Données projet'!$B$13,Paramètres!$A$1:$I$89,3,0)*VLOOKUP('Données projet'!$B$13,Paramètres!$A$1:$I$89,5,0)</f>
        <v>154.57400000000004</v>
      </c>
      <c r="CV37" s="14">
        <f t="shared" si="41"/>
        <v>39.616219397474659</v>
      </c>
      <c r="CW37" s="22">
        <f t="shared" si="13"/>
        <v>338.21463211726842</v>
      </c>
      <c r="CX37" s="62">
        <f t="shared" si="14"/>
        <v>580.98806357938406</v>
      </c>
      <c r="CY37" s="62">
        <f ca="1">AVERAGE(OFFSET($CX$3,0,0,'Données projet'!$E$13+1,1))-AVERAGE(OFFSET($H$3,0,0,'Données projet'!$E$13+1,1))</f>
        <v>491.87038198656927</v>
      </c>
      <c r="CZ37" s="62">
        <f t="shared" si="42"/>
        <v>406.49261644949559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10.8</v>
      </c>
      <c r="DO37" s="13">
        <f>IF('Données projet'!$A$166&gt;35,DO36+DN37-DW36,IF(A37&lt;'Données projet'!$A$166,$DL$205^A37,IF(A37='Données projet'!$A$166,'Données projet'!$B$166,DO36+DN37-DW36)))</f>
        <v>164.20000000000007</v>
      </c>
      <c r="DP37" s="18">
        <f>DO37*VLOOKUP('Données projet'!$B$14,Paramètres!$A$1:$I$89,3,0)*VLOOKUP('Données projet'!$B$14,Paramètres!$A$1:$I$89,5,0)</f>
        <v>158.81424000000007</v>
      </c>
      <c r="DQ37" s="14">
        <f t="shared" si="43"/>
        <v>40.574948252224658</v>
      </c>
      <c r="DR37" s="22">
        <f t="shared" si="16"/>
        <v>347.26950287262474</v>
      </c>
      <c r="DS37" s="62">
        <f t="shared" si="17"/>
        <v>590.04293433474027</v>
      </c>
      <c r="DT37" s="62">
        <f ca="1">AVERAGE(OFFSET($DS$3,0,0,'Données projet'!$E$14+1,1))-AVERAGE(OFFSET($H$3,0,0,'Données projet'!$E$14+1,1))</f>
        <v>603.52431522262032</v>
      </c>
      <c r="DU37" s="62">
        <f t="shared" si="44"/>
        <v>313.56299786481338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15.2</v>
      </c>
      <c r="EJ37" s="13">
        <f>IF('Données projet'!$A$192&gt;35,EJ36+EI37-ER36,IF(A37&lt;'Données projet'!$A$192,$EG$205^A37,IF(A37='Données projet'!$A$192,'Données projet'!$B$192,EJ36+EI37-ER36)))</f>
        <v>223.8</v>
      </c>
      <c r="EK37" s="18">
        <f>EJ37*VLOOKUP('Données projet'!$B$15,Paramètres!$A$1:$I$89,3,0)*VLOOKUP('Données projet'!$B$15,Paramètres!$A$1:$I$89,5,0)</f>
        <v>178.05528000000001</v>
      </c>
      <c r="EL37" s="14">
        <f t="shared" si="45"/>
        <v>44.889248639558041</v>
      </c>
      <c r="EM37" s="22">
        <f t="shared" si="19"/>
        <v>388.29505404723028</v>
      </c>
      <c r="EN37" s="62">
        <f t="shared" si="20"/>
        <v>631.06848550934592</v>
      </c>
      <c r="EO37" s="62">
        <f ca="1">AVERAGE(OFFSET($EN$3,0,0,'Données projet'!$E$15+1,1))-AVERAGE(OFFSET($H$3,0,0,'Données projet'!$E$15+1,1))</f>
        <v>450.93388191845378</v>
      </c>
      <c r="EP37" s="62">
        <f t="shared" si="46"/>
        <v>483.33635017129325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11.5</v>
      </c>
      <c r="FE37" s="13">
        <f>IF('Données projet'!$A$218&gt;35,FE36+FD37-FM36,IF(A37&lt;'Données projet'!$A$218,$FB$205^A37,IF(A37='Données projet'!$A$218,'Données projet'!$B$218,FE36+FD37-FM36)))</f>
        <v>153.49999999999994</v>
      </c>
      <c r="FF37" s="18">
        <f>FE37*VLOOKUP('Données projet'!$B$16,Paramètres!$A$1:$I$89,3,0)*VLOOKUP('Données projet'!$B$16,Paramètres!$A$1:$I$89,5,0)</f>
        <v>119.72999999999996</v>
      </c>
      <c r="FG37" s="14">
        <f t="shared" si="47"/>
        <v>31.612017974790529</v>
      </c>
      <c r="FH37" s="22">
        <f t="shared" si="22"/>
        <v>263.58734797276003</v>
      </c>
      <c r="FI37" s="62">
        <f t="shared" si="23"/>
        <v>506.36077943487561</v>
      </c>
      <c r="FJ37" s="62">
        <f ca="1">AVERAGE(OFFSET($FI$3,0,0,'Données projet'!$E$16+1,1))-AVERAGE(OFFSET($H$3,0,0,'Données projet'!$E$16+1,1))</f>
        <v>309.21625451786218</v>
      </c>
      <c r="FK37" s="62">
        <f t="shared" si="48"/>
        <v>302.59481222418219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206</v>
      </c>
      <c r="L38" s="13">
        <f>VLOOKUP(A38,'Données projet'!$A$35:$I$55,9,0)</f>
        <v>12.8</v>
      </c>
      <c r="M38" s="13">
        <f t="array" ref="M38">INDEX(L:L,MIN(IF(ISNUMBER(L38:L234),ROW(L38:L234),"")))</f>
        <v>12.8</v>
      </c>
      <c r="N38" s="14">
        <f>IF('Données projet'!$A$36&gt;35,N37+M38-V37,IF(A38&lt;'Données projet'!$A$36,$K$205^A38,IF(A38='Données projet'!$A$36,'Données projet'!$B$36,N37+M38-V37)))</f>
        <v>206</v>
      </c>
      <c r="O38" s="14">
        <f>N38*VLOOKUP('Données projet'!$B$9,Paramètres!$A$1:$I$89,3,0)*VLOOKUP('Données projet'!$B$9,Paramètres!$A$1:$I$89,5,0)</f>
        <v>163.89360000000002</v>
      </c>
      <c r="P38" s="14">
        <f t="shared" si="33"/>
        <v>41.71949506642347</v>
      </c>
      <c r="Q38" s="22">
        <f t="shared" si="53"/>
        <v>358.10947390735419</v>
      </c>
      <c r="R38" s="62">
        <f t="shared" si="0"/>
        <v>601.76000663192872</v>
      </c>
      <c r="S38" s="62">
        <f ca="1">AVERAGE(OFFSET($R$3,0,0,'Données projet'!$E$9+1,1))-AVERAGE(OFFSET($H$3,0,0,'Données projet'!$E$9+1,1))</f>
        <v>394.70330963327166</v>
      </c>
      <c r="T38" s="62">
        <f t="shared" si="34"/>
        <v>424.06445894109982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11.5</v>
      </c>
      <c r="AI38" s="14">
        <f>IF('Données projet'!$A$62&gt;35,AI37+AH38-AQ37,IF(A38&lt;'Données projet'!$A$62,$AF$205^A38,IF(A38='Données projet'!$A$62,'Données projet'!$B$62,AI37+AH38-AQ37)))</f>
        <v>164.99999999999994</v>
      </c>
      <c r="AJ38" s="14">
        <f>AI38*VLOOKUP('Données projet'!$B$10,Paramètres!$A$1:$I$89,3,0)*VLOOKUP('Données projet'!$B$10,Paramètres!$A$1:$I$89,5,0)</f>
        <v>133.84799999999996</v>
      </c>
      <c r="AK38" s="14">
        <f t="shared" si="35"/>
        <v>34.884003992121656</v>
      </c>
      <c r="AL38" s="22">
        <f t="shared" si="4"/>
        <v>293.87490695294508</v>
      </c>
      <c r="AM38" s="62">
        <f t="shared" si="5"/>
        <v>537.52543967751956</v>
      </c>
      <c r="AN38" s="62">
        <f ca="1">AVERAGE(OFFSET($AM$3,0,0,'Données projet'!$E$10+1,1))-AVERAGE(OFFSET($H$3,0,0,'Données projet'!$E$10+1,1))</f>
        <v>319.39055628111151</v>
      </c>
      <c r="AO38" s="62">
        <f t="shared" si="36"/>
        <v>312.22190035638084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136</v>
      </c>
      <c r="BB38" s="13">
        <f>VLOOKUP(A38,'Données projet'!$A$87:$I$107,9,0)</f>
        <v>8.6</v>
      </c>
      <c r="BC38" s="13">
        <f t="array" ref="BC38">INDEX(BB:BB,MIN(IF(ISNUMBER(BB38:BB234),ROW(BB38:BB234),"")))</f>
        <v>8.6</v>
      </c>
      <c r="BD38" s="13">
        <f>IF('Données projet'!$A$88&gt;35,BD37+BC38-BL37,IF(A38&lt;'Données projet'!$A$88,$BA$205^A38,IF(A38='Données projet'!$A$88,'Données projet'!$B$88,BD37+BC38-BL37)))</f>
        <v>135.99999999999997</v>
      </c>
      <c r="BE38" s="14">
        <f>BD38*VLOOKUP('Données projet'!$B$11,Paramètres!$A$1:$I$89,3,0)*VLOOKUP('Données projet'!$B$11,Paramètres!$A$1:$I$89,5,0)</f>
        <v>99.715199999999967</v>
      </c>
      <c r="BF38" s="14">
        <f t="shared" si="37"/>
        <v>26.894136617382159</v>
      </c>
      <c r="BG38" s="22">
        <f t="shared" si="7"/>
        <v>220.51126127527388</v>
      </c>
      <c r="BH38" s="62">
        <f t="shared" si="8"/>
        <v>464.16179399984838</v>
      </c>
      <c r="BI38" s="62">
        <f ca="1">AVERAGE(OFFSET($BH$3,0,0,'Données projet'!$E$11+1,1))-AVERAGE(OFFSET($H$3,0,0,'Données projet'!$E$11+1,1))</f>
        <v>257.906524944431</v>
      </c>
      <c r="BJ38" s="62">
        <f t="shared" si="38"/>
        <v>274.70390601173563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190</v>
      </c>
      <c r="BW38" s="13">
        <f>VLOOKUP(A38,'Données projet'!$A$113:$I$133,9,0)</f>
        <v>8.8000000000000007</v>
      </c>
      <c r="BX38" s="13">
        <f t="array" ref="BX38">INDEX(BW:BW,MIN(IF(ISNUMBER(BW38:BW234),ROW(BW38:BW234),"")))</f>
        <v>8.8000000000000007</v>
      </c>
      <c r="BY38" s="13">
        <f>IF('Données projet'!$A$114&gt;35,BY37+BX38-CG37,IF(A38&lt;'Données projet'!$A$114,$BV$205^A38,IF(A38='Données projet'!$A$114,'Données projet'!$B$114,BY37+BX38-CG37)))</f>
        <v>190.00000000000006</v>
      </c>
      <c r="BZ38" s="14">
        <f>BY38*VLOOKUP('Données projet'!$B$12,Paramètres!$A$1:$I$89,3,0)*VLOOKUP('Données projet'!$B$12,Paramètres!$A$1:$I$89,5,0)</f>
        <v>154.12800000000007</v>
      </c>
      <c r="CA38" s="14">
        <f t="shared" si="39"/>
        <v>39.51520107536119</v>
      </c>
      <c r="CB38" s="22">
        <f t="shared" si="10"/>
        <v>337.26190853958752</v>
      </c>
      <c r="CC38" s="62">
        <f t="shared" si="11"/>
        <v>580.912441264162</v>
      </c>
      <c r="CD38" s="62">
        <f ca="1">AVERAGE(OFFSET($CC$3,0,0,'Données projet'!$E$12+1,1))-AVERAGE(OFFSET($H$3,0,0,'Données projet'!$E$12+1,1))</f>
        <v>272.69564942740931</v>
      </c>
      <c r="CE38" s="62">
        <f t="shared" si="40"/>
        <v>316.57989180609252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76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170.5128205128205</v>
      </c>
      <c r="CR38" s="13">
        <f>VLOOKUP(A38,'Données projet'!$A$139:$I$159,9,0)</f>
        <v>8.0769230769230713</v>
      </c>
      <c r="CS38" s="13">
        <f t="array" ref="CS38">INDEX(CR:CR,MIN(IF(ISNUMBER(CR38:CR234),ROW(CR38:CR234),"")))</f>
        <v>8.0769230769230713</v>
      </c>
      <c r="CT38" s="13">
        <f>IF('Données projet'!$A$140&gt;35,CT37+CS38-DB37,IF(A38&lt;'Données projet'!$A$140,$CQ$205^A38,IF(A38='Données projet'!$A$140,'Données projet'!$B$140,CT37+CS38-DB37)))</f>
        <v>170.51282051282053</v>
      </c>
      <c r="CU38" s="18">
        <f>CT38*VLOOKUP('Données projet'!$B$13,Paramètres!$A$1:$I$89,3,0)*VLOOKUP('Données projet'!$B$13,Paramètres!$A$1:$I$89,5,0)</f>
        <v>162.26000000000002</v>
      </c>
      <c r="CV38" s="14">
        <f t="shared" si="41"/>
        <v>41.35184784932715</v>
      </c>
      <c r="CW38" s="22">
        <f t="shared" si="13"/>
        <v>354.62396833757816</v>
      </c>
      <c r="CX38" s="62">
        <f t="shared" si="14"/>
        <v>598.27450106215269</v>
      </c>
      <c r="CY38" s="62">
        <f ca="1">AVERAGE(OFFSET($CX$3,0,0,'Données projet'!$E$13+1,1))-AVERAGE(OFFSET($H$3,0,0,'Données projet'!$E$13+1,1))</f>
        <v>491.87038198656927</v>
      </c>
      <c r="CZ38" s="62">
        <f t="shared" si="42"/>
        <v>406.49261644949559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175</v>
      </c>
      <c r="DM38" s="13">
        <f>VLOOKUP(A38,'Données projet'!$A$165:$I$185,9,0)</f>
        <v>10.8</v>
      </c>
      <c r="DN38" s="13">
        <f t="array" ref="DN38">INDEX(DM:DM,MIN(IF(ISNUMBER(DM38:DM234),ROW(DM38:DM234),"")))</f>
        <v>10.8</v>
      </c>
      <c r="DO38" s="13">
        <f>IF('Données projet'!$A$166&gt;35,DO37+DN38-DW37,IF(A38&lt;'Données projet'!$A$166,$DL$205^A38,IF(A38='Données projet'!$A$166,'Données projet'!$B$166,DO37+DN38-DW37)))</f>
        <v>175.00000000000009</v>
      </c>
      <c r="DP38" s="18">
        <f>DO38*VLOOKUP('Données projet'!$B$14,Paramètres!$A$1:$I$89,3,0)*VLOOKUP('Données projet'!$B$14,Paramètres!$A$1:$I$89,5,0)</f>
        <v>169.2600000000001</v>
      </c>
      <c r="DQ38" s="14">
        <f t="shared" si="43"/>
        <v>42.924246146122314</v>
      </c>
      <c r="DR38" s="22">
        <f t="shared" si="16"/>
        <v>369.55422870449644</v>
      </c>
      <c r="DS38" s="62">
        <f t="shared" si="17"/>
        <v>613.20476142907091</v>
      </c>
      <c r="DT38" s="62">
        <f ca="1">AVERAGE(OFFSET($DS$3,0,0,'Données projet'!$E$14+1,1))-AVERAGE(OFFSET($H$3,0,0,'Données projet'!$E$14+1,1))</f>
        <v>603.52431522262032</v>
      </c>
      <c r="DU38" s="62">
        <f t="shared" si="44"/>
        <v>313.56299786481338</v>
      </c>
      <c r="DV38" s="16">
        <f>IF(ISNA(VLOOKUP(A38,'Données projet'!$A$165:$I$185,3,0)),0,VLOOKUP(A38,'Données projet'!$A$165:$I$185,3,0))</f>
        <v>2</v>
      </c>
      <c r="DW38" s="16">
        <f>IF(ISNA(VLOOKUP(A38,'Données projet'!$A$165:$I$185,4,0)),0,VLOOKUP(A38,'Données projet'!$A$165:$I$185,4,0))</f>
        <v>56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239</v>
      </c>
      <c r="EH38" s="13">
        <f>VLOOKUP(A38,'Données projet'!$A$191:$I$211,9,0)</f>
        <v>15.2</v>
      </c>
      <c r="EI38" s="13">
        <f t="array" ref="EI38">INDEX(EH:EH,MIN(IF(ISNUMBER(EH38:EH234),ROW(EH38:EH234),"")))</f>
        <v>15.2</v>
      </c>
      <c r="EJ38" s="13">
        <f>IF('Données projet'!$A$192&gt;35,EJ37+EI38-ER37,IF(A38&lt;'Données projet'!$A$192,$EG$205^A38,IF(A38='Données projet'!$A$192,'Données projet'!$B$192,EJ37+EI38-ER37)))</f>
        <v>239</v>
      </c>
      <c r="EK38" s="18">
        <f>EJ38*VLOOKUP('Données projet'!$B$15,Paramètres!$A$1:$I$89,3,0)*VLOOKUP('Données projet'!$B$15,Paramètres!$A$1:$I$89,5,0)</f>
        <v>190.14840000000001</v>
      </c>
      <c r="EL38" s="14">
        <f t="shared" si="45"/>
        <v>47.572760493232991</v>
      </c>
      <c r="EM38" s="22">
        <f t="shared" si="19"/>
        <v>414.03102119238082</v>
      </c>
      <c r="EN38" s="62">
        <f t="shared" si="20"/>
        <v>657.68155391695529</v>
      </c>
      <c r="EO38" s="62">
        <f ca="1">AVERAGE(OFFSET($EN$3,0,0,'Données projet'!$E$15+1,1))-AVERAGE(OFFSET($H$3,0,0,'Données projet'!$E$15+1,1))</f>
        <v>450.93388191845378</v>
      </c>
      <c r="EP38" s="62">
        <f t="shared" si="46"/>
        <v>483.33635017129325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11.5</v>
      </c>
      <c r="FE38" s="13">
        <f>IF('Données projet'!$A$218&gt;35,FE37+FD38-FM37,IF(A38&lt;'Données projet'!$A$218,$FB$205^A38,IF(A38='Données projet'!$A$218,'Données projet'!$B$218,FE37+FD38-FM37)))</f>
        <v>164.99999999999994</v>
      </c>
      <c r="FF38" s="18">
        <f>FE38*VLOOKUP('Données projet'!$B$16,Paramètres!$A$1:$I$89,3,0)*VLOOKUP('Données projet'!$B$16,Paramètres!$A$1:$I$89,5,0)</f>
        <v>128.69999999999996</v>
      </c>
      <c r="FG38" s="14">
        <f t="shared" si="47"/>
        <v>33.695792019186115</v>
      </c>
      <c r="FH38" s="22">
        <f t="shared" si="22"/>
        <v>282.83933776674911</v>
      </c>
      <c r="FI38" s="62">
        <f t="shared" si="23"/>
        <v>526.48987049132359</v>
      </c>
      <c r="FJ38" s="62">
        <f ca="1">AVERAGE(OFFSET($FI$3,0,0,'Données projet'!$E$16+1,1))-AVERAGE(OFFSET($H$3,0,0,'Données projet'!$E$16+1,1))</f>
        <v>309.21625451786218</v>
      </c>
      <c r="FK38" s="62">
        <f t="shared" si="48"/>
        <v>302.59481222418219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11.4</v>
      </c>
      <c r="N39" s="14">
        <f>IF('Données projet'!$A$36&gt;35,N38+M39-V38,IF(A39&lt;'Données projet'!$A$36,$K$205^A39,IF(A39='Données projet'!$A$36,'Données projet'!$B$36,N38+M39-V38)))</f>
        <v>217.4</v>
      </c>
      <c r="O39" s="14">
        <f>N39*VLOOKUP('Données projet'!$B$9,Paramètres!$A$1:$I$89,3,0)*VLOOKUP('Données projet'!$B$9,Paramètres!$A$1:$I$89,5,0)</f>
        <v>172.96344000000002</v>
      </c>
      <c r="P39" s="14">
        <f t="shared" si="33"/>
        <v>43.753066528893434</v>
      </c>
      <c r="Q39" s="22">
        <f t="shared" si="53"/>
        <v>377.44791553782278</v>
      </c>
      <c r="R39" s="62">
        <f t="shared" si="0"/>
        <v>621.96033377885715</v>
      </c>
      <c r="S39" s="62">
        <f ca="1">AVERAGE(OFFSET($R$3,0,0,'Données projet'!$E$9+1,1))-AVERAGE(OFFSET($H$3,0,0,'Données projet'!$E$9+1,1))</f>
        <v>394.70330963327166</v>
      </c>
      <c r="T39" s="62">
        <f t="shared" si="34"/>
        <v>424.06445894109982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11.5</v>
      </c>
      <c r="AI39" s="14">
        <f>IF('Données projet'!$A$62&gt;35,AI38+AH39-AQ38,IF(A39&lt;'Données projet'!$A$62,$AF$205^A39,IF(A39='Données projet'!$A$62,'Données projet'!$B$62,AI38+AH39-AQ38)))</f>
        <v>176.49999999999994</v>
      </c>
      <c r="AJ39" s="14">
        <f>AI39*VLOOKUP('Données projet'!$B$10,Paramètres!$A$1:$I$89,3,0)*VLOOKUP('Données projet'!$B$10,Paramètres!$A$1:$I$89,5,0)</f>
        <v>143.17679999999996</v>
      </c>
      <c r="AK39" s="14">
        <f t="shared" si="35"/>
        <v>37.023812674521487</v>
      </c>
      <c r="AL39" s="22">
        <f t="shared" si="4"/>
        <v>313.84940040812484</v>
      </c>
      <c r="AM39" s="62">
        <f t="shared" si="5"/>
        <v>558.3618186491592</v>
      </c>
      <c r="AN39" s="62">
        <f ca="1">AVERAGE(OFFSET($AM$3,0,0,'Données projet'!$E$10+1,1))-AVERAGE(OFFSET($H$3,0,0,'Données projet'!$E$10+1,1))</f>
        <v>319.39055628111151</v>
      </c>
      <c r="AO39" s="62">
        <f t="shared" si="36"/>
        <v>312.22190035638084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7.6</v>
      </c>
      <c r="BD39" s="13">
        <f>IF('Données projet'!$A$88&gt;35,BD38+BC39-BL38,IF(A39&lt;'Données projet'!$A$88,$BA$205^A39,IF(A39='Données projet'!$A$88,'Données projet'!$B$88,BD38+BC39-BL38)))</f>
        <v>143.59999999999997</v>
      </c>
      <c r="BE39" s="14">
        <f>BD39*VLOOKUP('Données projet'!$B$11,Paramètres!$A$1:$I$89,3,0)*VLOOKUP('Données projet'!$B$11,Paramètres!$A$1:$I$89,5,0)</f>
        <v>105.28751999999997</v>
      </c>
      <c r="BF39" s="14">
        <f t="shared" si="37"/>
        <v>28.217874029254673</v>
      </c>
      <c r="BG39" s="22">
        <f t="shared" si="7"/>
        <v>232.52189460095187</v>
      </c>
      <c r="BH39" s="62">
        <f t="shared" si="8"/>
        <v>477.03431284198632</v>
      </c>
      <c r="BI39" s="62">
        <f ca="1">AVERAGE(OFFSET($BH$3,0,0,'Données projet'!$E$11+1,1))-AVERAGE(OFFSET($H$3,0,0,'Données projet'!$E$11+1,1))</f>
        <v>257.906524944431</v>
      </c>
      <c r="BJ39" s="62">
        <f t="shared" si="38"/>
        <v>274.70390601173563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7.6</v>
      </c>
      <c r="BY39" s="13">
        <f>IF('Données projet'!$A$114&gt;35,BY38+BX39-CG38,IF(A39&lt;'Données projet'!$A$114,$BV$205^A39,IF(A39='Données projet'!$A$114,'Données projet'!$B$114,BY38+BX39-CG38)))</f>
        <v>121.60000000000005</v>
      </c>
      <c r="BZ39" s="14">
        <f>BY39*VLOOKUP('Données projet'!$B$12,Paramètres!$A$1:$I$89,3,0)*VLOOKUP('Données projet'!$B$12,Paramètres!$A$1:$I$89,5,0)</f>
        <v>98.641920000000042</v>
      </c>
      <c r="CA39" s="14">
        <f t="shared" si="39"/>
        <v>26.638196684151392</v>
      </c>
      <c r="CB39" s="22">
        <f t="shared" si="10"/>
        <v>218.19620322489709</v>
      </c>
      <c r="CC39" s="62">
        <f t="shared" si="11"/>
        <v>462.70862146593151</v>
      </c>
      <c r="CD39" s="62">
        <f ca="1">AVERAGE(OFFSET($CC$3,0,0,'Données projet'!$E$12+1,1))-AVERAGE(OFFSET($H$3,0,0,'Données projet'!$E$12+1,1))</f>
        <v>272.69564942740931</v>
      </c>
      <c r="CE39" s="62">
        <f t="shared" si="40"/>
        <v>316.57989180609252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7.5641025641025639</v>
      </c>
      <c r="CT39" s="13">
        <f>IF('Données projet'!$A$140&gt;35,CT38+CS39-DB38,IF(A39&lt;'Données projet'!$A$140,$CQ$205^A39,IF(A39='Données projet'!$A$140,'Données projet'!$B$140,CT38+CS39-DB38)))</f>
        <v>178.07692307692309</v>
      </c>
      <c r="CU39" s="18">
        <f>CT39*VLOOKUP('Données projet'!$B$13,Paramètres!$A$1:$I$89,3,0)*VLOOKUP('Données projet'!$B$13,Paramètres!$A$1:$I$89,5,0)</f>
        <v>169.45800000000003</v>
      </c>
      <c r="CV39" s="14">
        <f t="shared" si="41"/>
        <v>42.968611063971913</v>
      </c>
      <c r="CW39" s="22">
        <f t="shared" si="13"/>
        <v>369.97634760308438</v>
      </c>
      <c r="CX39" s="62">
        <f t="shared" si="14"/>
        <v>614.4887658441188</v>
      </c>
      <c r="CY39" s="62">
        <f ca="1">AVERAGE(OFFSET($CX$3,0,0,'Données projet'!$E$13+1,1))-AVERAGE(OFFSET($H$3,0,0,'Données projet'!$E$13+1,1))</f>
        <v>491.87038198656927</v>
      </c>
      <c r="CZ39" s="62">
        <f t="shared" si="42"/>
        <v>406.49261644949559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11.2</v>
      </c>
      <c r="DO39" s="13">
        <f>IF('Données projet'!$A$166&gt;35,DO38+DN39-DW38,IF(A39&lt;'Données projet'!$A$166,$DL$205^A39,IF(A39='Données projet'!$A$166,'Données projet'!$B$166,DO38+DN39-DW38)))</f>
        <v>130.20000000000007</v>
      </c>
      <c r="DP39" s="18">
        <f>DO39*VLOOKUP('Données projet'!$B$14,Paramètres!$A$1:$I$89,3,0)*VLOOKUP('Données projet'!$B$14,Paramètres!$A$1:$I$89,5,0)</f>
        <v>125.92944000000007</v>
      </c>
      <c r="DQ39" s="14">
        <f t="shared" si="43"/>
        <v>33.054038034052077</v>
      </c>
      <c r="DR39" s="22">
        <f t="shared" si="16"/>
        <v>276.89622424264081</v>
      </c>
      <c r="DS39" s="62">
        <f t="shared" si="17"/>
        <v>521.40864248367529</v>
      </c>
      <c r="DT39" s="62">
        <f ca="1">AVERAGE(OFFSET($DS$3,0,0,'Données projet'!$E$14+1,1))-AVERAGE(OFFSET($H$3,0,0,'Données projet'!$E$14+1,1))</f>
        <v>603.52431522262032</v>
      </c>
      <c r="DU39" s="62">
        <f t="shared" si="44"/>
        <v>313.56299786481338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13.2</v>
      </c>
      <c r="EJ39" s="13">
        <f>IF('Données projet'!$A$192&gt;35,EJ38+EI39-ER38,IF(A39&lt;'Données projet'!$A$192,$EG$205^A39,IF(A39='Données projet'!$A$192,'Données projet'!$B$192,EJ38+EI39-ER38)))</f>
        <v>252.2</v>
      </c>
      <c r="EK39" s="18">
        <f>EJ39*VLOOKUP('Données projet'!$B$15,Paramètres!$A$1:$I$89,3,0)*VLOOKUP('Données projet'!$B$15,Paramètres!$A$1:$I$89,5,0)</f>
        <v>200.65031999999999</v>
      </c>
      <c r="EL39" s="14">
        <f t="shared" si="45"/>
        <v>49.88706136407562</v>
      </c>
      <c r="EM39" s="22">
        <f t="shared" si="19"/>
        <v>436.35260587576499</v>
      </c>
      <c r="EN39" s="62">
        <f t="shared" si="20"/>
        <v>680.86502411679942</v>
      </c>
      <c r="EO39" s="62">
        <f ca="1">AVERAGE(OFFSET($EN$3,0,0,'Données projet'!$E$15+1,1))-AVERAGE(OFFSET($H$3,0,0,'Données projet'!$E$15+1,1))</f>
        <v>450.93388191845378</v>
      </c>
      <c r="EP39" s="62">
        <f t="shared" si="46"/>
        <v>483.33635017129325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11.5</v>
      </c>
      <c r="FE39" s="13">
        <f>IF('Données projet'!$A$218&gt;35,FE38+FD39-FM38,IF(A39&lt;'Données projet'!$A$218,$FB$205^A39,IF(A39='Données projet'!$A$218,'Données projet'!$B$218,FE38+FD39-FM38)))</f>
        <v>176.49999999999994</v>
      </c>
      <c r="FF39" s="18">
        <f>FE39*VLOOKUP('Données projet'!$B$16,Paramètres!$A$1:$I$89,3,0)*VLOOKUP('Données projet'!$B$16,Paramètres!$A$1:$I$89,5,0)</f>
        <v>137.66999999999996</v>
      </c>
      <c r="FG39" s="14">
        <f t="shared" si="47"/>
        <v>35.762714965854656</v>
      </c>
      <c r="FH39" s="22">
        <f t="shared" si="22"/>
        <v>302.06197856553007</v>
      </c>
      <c r="FI39" s="62">
        <f t="shared" si="23"/>
        <v>546.57439680656444</v>
      </c>
      <c r="FJ39" s="62">
        <f ca="1">AVERAGE(OFFSET($FI$3,0,0,'Données projet'!$E$16+1,1))-AVERAGE(OFFSET($H$3,0,0,'Données projet'!$E$16+1,1))</f>
        <v>309.21625451786218</v>
      </c>
      <c r="FK39" s="62">
        <f t="shared" si="48"/>
        <v>302.59481222418219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11.4</v>
      </c>
      <c r="N40" s="14">
        <f>IF('Données projet'!$A$36&gt;35,N39+M40-V39,IF(A40&lt;'Données projet'!$A$36,$K$205^A40,IF(A40='Données projet'!$A$36,'Données projet'!$B$36,N39+M40-V39)))</f>
        <v>228.8</v>
      </c>
      <c r="O40" s="14">
        <f>N40*VLOOKUP('Données projet'!$B$9,Paramètres!$A$1:$I$89,3,0)*VLOOKUP('Données projet'!$B$9,Paramètres!$A$1:$I$89,5,0)</f>
        <v>182.03328000000002</v>
      </c>
      <c r="P40" s="14">
        <f t="shared" si="33"/>
        <v>45.774257349740282</v>
      </c>
      <c r="Q40" s="22">
        <f t="shared" si="53"/>
        <v>396.76479421746438</v>
      </c>
      <c r="R40" s="62">
        <f t="shared" si="0"/>
        <v>642.12414618813546</v>
      </c>
      <c r="S40" s="62">
        <f ca="1">AVERAGE(OFFSET($R$3,0,0,'Données projet'!$E$9+1,1))-AVERAGE(OFFSET($H$3,0,0,'Données projet'!$E$9+1,1))</f>
        <v>394.70330963327166</v>
      </c>
      <c r="T40" s="62">
        <f t="shared" si="34"/>
        <v>424.06445894109982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>
        <f>VLOOKUP(A40,'Données projet'!$A$61:$I$81,2,0)</f>
        <v>188</v>
      </c>
      <c r="AG40" s="13">
        <f>VLOOKUP(A40,'Données projet'!$A$61:$I$81,9,0)</f>
        <v>11.5</v>
      </c>
      <c r="AH40" s="13">
        <f t="array" ref="AH40">INDEX(AG:AG,MIN(IF(ISNUMBER(AG40:AG236),ROW(AG40:AG236),"")))</f>
        <v>11.5</v>
      </c>
      <c r="AI40" s="14">
        <f>IF('Données projet'!$A$62&gt;35,AI39+AH40-AQ39,IF(A40&lt;'Données projet'!$A$62,$AF$205^A40,IF(A40='Données projet'!$A$62,'Données projet'!$B$62,AI39+AH40-AQ39)))</f>
        <v>187.99999999999994</v>
      </c>
      <c r="AJ40" s="14">
        <f>AI40*VLOOKUP('Données projet'!$B$10,Paramètres!$A$1:$I$89,3,0)*VLOOKUP('Données projet'!$B$10,Paramètres!$A$1:$I$89,5,0)</f>
        <v>152.50559999999996</v>
      </c>
      <c r="AK40" s="14">
        <f t="shared" si="35"/>
        <v>39.147442061162216</v>
      </c>
      <c r="AL40" s="22">
        <f t="shared" si="4"/>
        <v>333.79571492319081</v>
      </c>
      <c r="AM40" s="62">
        <f t="shared" si="5"/>
        <v>579.15506689386189</v>
      </c>
      <c r="AN40" s="62">
        <f ca="1">AVERAGE(OFFSET($AM$3,0,0,'Données projet'!$E$10+1,1))-AVERAGE(OFFSET($H$3,0,0,'Données projet'!$E$10+1,1))</f>
        <v>319.39055628111151</v>
      </c>
      <c r="AO40" s="62">
        <f t="shared" si="36"/>
        <v>312.22190035638084</v>
      </c>
      <c r="AP40" s="16">
        <f>IF(ISNA(VLOOKUP(A40,'Données projet'!$A$61:$I$81,3,0)),0,VLOOKUP(A40,'Données projet'!$A$61:$I$81,3,0))</f>
        <v>4</v>
      </c>
      <c r="AQ40" s="16">
        <f>IF(ISNA(VLOOKUP(A40,'Données projet'!$A$61:$I$81,4,0)),0,VLOOKUP(A40,'Données projet'!$A$61:$I$81,4,0))</f>
        <v>36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7.6</v>
      </c>
      <c r="BD40" s="13">
        <f>IF('Données projet'!$A$88&gt;35,BD39+BC40-BL39,IF(A40&lt;'Données projet'!$A$88,$BA$205^A40,IF(A40='Données projet'!$A$88,'Données projet'!$B$88,BD39+BC40-BL39)))</f>
        <v>151.19999999999996</v>
      </c>
      <c r="BE40" s="14">
        <f>BD40*VLOOKUP('Données projet'!$B$11,Paramètres!$A$1:$I$89,3,0)*VLOOKUP('Données projet'!$B$11,Paramètres!$A$1:$I$89,5,0)</f>
        <v>110.85983999999998</v>
      </c>
      <c r="BF40" s="14">
        <f t="shared" si="37"/>
        <v>29.533477687335427</v>
      </c>
      <c r="BG40" s="22">
        <f t="shared" si="7"/>
        <v>244.51836163877581</v>
      </c>
      <c r="BH40" s="62">
        <f t="shared" si="8"/>
        <v>489.87771360944691</v>
      </c>
      <c r="BI40" s="62">
        <f ca="1">AVERAGE(OFFSET($BH$3,0,0,'Données projet'!$E$11+1,1))-AVERAGE(OFFSET($H$3,0,0,'Données projet'!$E$11+1,1))</f>
        <v>257.906524944431</v>
      </c>
      <c r="BJ40" s="62">
        <f t="shared" si="38"/>
        <v>274.70390601173563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7.6</v>
      </c>
      <c r="BY40" s="13">
        <f>IF('Données projet'!$A$114&gt;35,BY39+BX40-CG39,IF(A40&lt;'Données projet'!$A$114,$BV$205^A40,IF(A40='Données projet'!$A$114,'Données projet'!$B$114,BY39+BX40-CG39)))</f>
        <v>129.20000000000005</v>
      </c>
      <c r="BZ40" s="14">
        <f>BY40*VLOOKUP('Données projet'!$B$12,Paramètres!$A$1:$I$89,3,0)*VLOOKUP('Données projet'!$B$12,Paramètres!$A$1:$I$89,5,0)</f>
        <v>104.80704000000004</v>
      </c>
      <c r="CA40" s="14">
        <f t="shared" si="39"/>
        <v>28.104060486002457</v>
      </c>
      <c r="CB40" s="22">
        <f t="shared" si="10"/>
        <v>231.48683334645435</v>
      </c>
      <c r="CC40" s="62">
        <f t="shared" si="11"/>
        <v>476.84618531712545</v>
      </c>
      <c r="CD40" s="62">
        <f ca="1">AVERAGE(OFFSET($CC$3,0,0,'Données projet'!$E$12+1,1))-AVERAGE(OFFSET($H$3,0,0,'Données projet'!$E$12+1,1))</f>
        <v>272.69564942740931</v>
      </c>
      <c r="CE40" s="62">
        <f t="shared" si="40"/>
        <v>316.57989180609252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7.5641025641025639</v>
      </c>
      <c r="CT40" s="13">
        <f>IF('Données projet'!$A$140&gt;35,CT39+CS40-DB39,IF(A40&lt;'Données projet'!$A$140,$CQ$205^A40,IF(A40='Données projet'!$A$140,'Données projet'!$B$140,CT39+CS40-DB39)))</f>
        <v>185.64102564102566</v>
      </c>
      <c r="CU40" s="18">
        <f>CT40*VLOOKUP('Données projet'!$B$13,Paramètres!$A$1:$I$89,3,0)*VLOOKUP('Données projet'!$B$13,Paramètres!$A$1:$I$89,5,0)</f>
        <v>176.65600000000003</v>
      </c>
      <c r="CV40" s="14">
        <f t="shared" si="41"/>
        <v>44.577397750316685</v>
      </c>
      <c r="CW40" s="22">
        <f t="shared" si="13"/>
        <v>385.31483441513495</v>
      </c>
      <c r="CX40" s="62">
        <f t="shared" si="14"/>
        <v>630.67418638580602</v>
      </c>
      <c r="CY40" s="62">
        <f ca="1">AVERAGE(OFFSET($CX$3,0,0,'Données projet'!$E$13+1,1))-AVERAGE(OFFSET($H$3,0,0,'Données projet'!$E$13+1,1))</f>
        <v>491.87038198656927</v>
      </c>
      <c r="CZ40" s="62">
        <f t="shared" si="42"/>
        <v>406.49261644949559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11.2</v>
      </c>
      <c r="DO40" s="13">
        <f>IF('Données projet'!$A$166&gt;35,DO39+DN40-DW39,IF(A40&lt;'Données projet'!$A$166,$DL$205^A40,IF(A40='Données projet'!$A$166,'Données projet'!$B$166,DO39+DN40-DW39)))</f>
        <v>141.40000000000006</v>
      </c>
      <c r="DP40" s="18">
        <f>DO40*VLOOKUP('Données projet'!$B$14,Paramètres!$A$1:$I$89,3,0)*VLOOKUP('Données projet'!$B$14,Paramètres!$A$1:$I$89,5,0)</f>
        <v>136.76208000000005</v>
      </c>
      <c r="DQ40" s="14">
        <f t="shared" si="43"/>
        <v>35.554236342883392</v>
      </c>
      <c r="DR40" s="22">
        <f t="shared" si="16"/>
        <v>300.11758429718867</v>
      </c>
      <c r="DS40" s="62">
        <f t="shared" si="17"/>
        <v>545.47693626785974</v>
      </c>
      <c r="DT40" s="62">
        <f ca="1">AVERAGE(OFFSET($DS$3,0,0,'Données projet'!$E$14+1,1))-AVERAGE(OFFSET($H$3,0,0,'Données projet'!$E$14+1,1))</f>
        <v>603.52431522262032</v>
      </c>
      <c r="DU40" s="62">
        <f t="shared" si="44"/>
        <v>313.56299786481338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13.2</v>
      </c>
      <c r="EJ40" s="13">
        <f>IF('Données projet'!$A$192&gt;35,EJ39+EI40-ER39,IF(A40&lt;'Données projet'!$A$192,$EG$205^A40,IF(A40='Données projet'!$A$192,'Données projet'!$B$192,EJ39+EI40-ER39)))</f>
        <v>265.39999999999998</v>
      </c>
      <c r="EK40" s="18">
        <f>EJ40*VLOOKUP('Données projet'!$B$15,Paramètres!$A$1:$I$89,3,0)*VLOOKUP('Données projet'!$B$15,Paramètres!$A$1:$I$89,5,0)</f>
        <v>211.15223999999998</v>
      </c>
      <c r="EL40" s="14">
        <f t="shared" si="45"/>
        <v>52.187298885462759</v>
      </c>
      <c r="EM40" s="22">
        <f t="shared" si="19"/>
        <v>458.64969689218088</v>
      </c>
      <c r="EN40" s="62">
        <f t="shared" si="20"/>
        <v>704.00904886285196</v>
      </c>
      <c r="EO40" s="62">
        <f ca="1">AVERAGE(OFFSET($EN$3,0,0,'Données projet'!$E$15+1,1))-AVERAGE(OFFSET($H$3,0,0,'Données projet'!$E$15+1,1))</f>
        <v>450.93388191845378</v>
      </c>
      <c r="EP40" s="62">
        <f t="shared" si="46"/>
        <v>483.33635017129325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>
        <f>VLOOKUP(A40,'Données projet'!$A$217:$I$237,2,0)</f>
        <v>188</v>
      </c>
      <c r="FC40" s="13">
        <f>VLOOKUP(A40,'Données projet'!$A$217:$I$237,9,0)</f>
        <v>11.5</v>
      </c>
      <c r="FD40" s="13">
        <f t="array" ref="FD40">INDEX(FC:FC,MIN(IF(ISNUMBER(FC40:FC236),ROW(FC40:FC236),"")))</f>
        <v>11.5</v>
      </c>
      <c r="FE40" s="13">
        <f>IF('Données projet'!$A$218&gt;35,FE39+FD40-FM39,IF(A40&lt;'Données projet'!$A$218,$FB$205^A40,IF(A40='Données projet'!$A$218,'Données projet'!$B$218,FE39+FD40-FM39)))</f>
        <v>187.99999999999994</v>
      </c>
      <c r="FF40" s="18">
        <f>FE40*VLOOKUP('Données projet'!$B$16,Paramètres!$A$1:$I$89,3,0)*VLOOKUP('Données projet'!$B$16,Paramètres!$A$1:$I$89,5,0)</f>
        <v>146.63999999999996</v>
      </c>
      <c r="FG40" s="14">
        <f t="shared" si="47"/>
        <v>37.814009712703026</v>
      </c>
      <c r="FH40" s="22">
        <f t="shared" si="22"/>
        <v>321.25740024962437</v>
      </c>
      <c r="FI40" s="62">
        <f t="shared" si="23"/>
        <v>566.61675222029544</v>
      </c>
      <c r="FJ40" s="62">
        <f ca="1">AVERAGE(OFFSET($FI$3,0,0,'Données projet'!$E$16+1,1))-AVERAGE(OFFSET($H$3,0,0,'Données projet'!$E$16+1,1))</f>
        <v>309.21625451786218</v>
      </c>
      <c r="FK40" s="62">
        <f t="shared" si="48"/>
        <v>302.59481222418219</v>
      </c>
      <c r="FL40" s="16">
        <f>IF(ISNA(VLOOKUP(A40,'Données projet'!$A$217:$I$237,3,0)),0,VLOOKUP(A40,'Données projet'!$A$217:$I$237,3,0))</f>
        <v>4</v>
      </c>
      <c r="FM40" s="16">
        <f>IF(ISNA(VLOOKUP(A40,'Données projet'!$A$217:$I$237,4,0)),0,VLOOKUP(A40,'Données projet'!$A$217:$I$237,4,0))</f>
        <v>36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11.4</v>
      </c>
      <c r="N41" s="14">
        <f>IF('Données projet'!$A$36&gt;35,N40+M41-V40,IF(A41&lt;'Données projet'!$A$36,$K$205^A41,IF(A41='Données projet'!$A$36,'Données projet'!$B$36,N40+M41-V40)))</f>
        <v>240.20000000000002</v>
      </c>
      <c r="O41" s="14">
        <f>N41*VLOOKUP('Données projet'!$B$9,Paramètres!$A$1:$I$89,3,0)*VLOOKUP('Données projet'!$B$9,Paramètres!$A$1:$I$89,5,0)</f>
        <v>191.10312000000002</v>
      </c>
      <c r="P41" s="14">
        <f t="shared" si="33"/>
        <v>47.783754789189338</v>
      </c>
      <c r="Q41" s="22">
        <f t="shared" si="53"/>
        <v>416.06130692450483</v>
      </c>
      <c r="R41" s="62">
        <f t="shared" si="0"/>
        <v>662.25290021806359</v>
      </c>
      <c r="S41" s="62">
        <f ca="1">AVERAGE(OFFSET($R$3,0,0,'Données projet'!$E$9+1,1))-AVERAGE(OFFSET($H$3,0,0,'Données projet'!$E$9+1,1))</f>
        <v>394.70330963327166</v>
      </c>
      <c r="T41" s="62">
        <f t="shared" si="34"/>
        <v>424.06445894109982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11.142857142857142</v>
      </c>
      <c r="AI41" s="14">
        <f>IF('Données projet'!$A$62&gt;35,AI40+AH41-AQ40,IF(A41&lt;'Données projet'!$A$62,$AF$205^A41,IF(A41='Données projet'!$A$62,'Données projet'!$B$62,AI40+AH41-AQ40)))</f>
        <v>163.14285714285708</v>
      </c>
      <c r="AJ41" s="14">
        <f>AI41*VLOOKUP('Données projet'!$B$10,Paramètres!$A$1:$I$89,3,0)*VLOOKUP('Données projet'!$B$10,Paramètres!$A$1:$I$89,5,0)</f>
        <v>132.34148571428568</v>
      </c>
      <c r="AK41" s="14">
        <f t="shared" si="35"/>
        <v>34.536844536486583</v>
      </c>
      <c r="AL41" s="22">
        <f t="shared" si="4"/>
        <v>290.64642518676169</v>
      </c>
      <c r="AM41" s="62">
        <f t="shared" si="5"/>
        <v>536.83801848032044</v>
      </c>
      <c r="AN41" s="62">
        <f ca="1">AVERAGE(OFFSET($AM$3,0,0,'Données projet'!$E$10+1,1))-AVERAGE(OFFSET($H$3,0,0,'Données projet'!$E$10+1,1))</f>
        <v>319.39055628111151</v>
      </c>
      <c r="AO41" s="62">
        <f t="shared" si="36"/>
        <v>312.22190035638084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7.6</v>
      </c>
      <c r="BD41" s="13">
        <f>IF('Données projet'!$A$88&gt;35,BD40+BC41-BL40,IF(A41&lt;'Données projet'!$A$88,$BA$205^A41,IF(A41='Données projet'!$A$88,'Données projet'!$B$88,BD40+BC41-BL40)))</f>
        <v>158.79999999999995</v>
      </c>
      <c r="BE41" s="14">
        <f>BD41*VLOOKUP('Données projet'!$B$11,Paramètres!$A$1:$I$89,3,0)*VLOOKUP('Données projet'!$B$11,Paramètres!$A$1:$I$89,5,0)</f>
        <v>116.43215999999998</v>
      </c>
      <c r="BF41" s="14">
        <f t="shared" si="37"/>
        <v>30.841403080279388</v>
      </c>
      <c r="BG41" s="22">
        <f t="shared" si="7"/>
        <v>256.50145569815322</v>
      </c>
      <c r="BH41" s="62">
        <f t="shared" si="8"/>
        <v>502.69304899171198</v>
      </c>
      <c r="BI41" s="62">
        <f ca="1">AVERAGE(OFFSET($BH$3,0,0,'Données projet'!$E$11+1,1))-AVERAGE(OFFSET($H$3,0,0,'Données projet'!$E$11+1,1))</f>
        <v>257.906524944431</v>
      </c>
      <c r="BJ41" s="62">
        <f t="shared" si="38"/>
        <v>274.70390601173563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7.6</v>
      </c>
      <c r="BY41" s="13">
        <f>IF('Données projet'!$A$114&gt;35,BY40+BX41-CG40,IF(A41&lt;'Données projet'!$A$114,$BV$205^A41,IF(A41='Données projet'!$A$114,'Données projet'!$B$114,BY40+BX41-CG40)))</f>
        <v>136.80000000000004</v>
      </c>
      <c r="BZ41" s="14">
        <f>BY41*VLOOKUP('Données projet'!$B$12,Paramètres!$A$1:$I$89,3,0)*VLOOKUP('Données projet'!$B$12,Paramètres!$A$1:$I$89,5,0)</f>
        <v>110.97216000000004</v>
      </c>
      <c r="CA41" s="14">
        <f t="shared" si="39"/>
        <v>29.559915623187329</v>
      </c>
      <c r="CB41" s="22">
        <f t="shared" si="10"/>
        <v>244.76003171038471</v>
      </c>
      <c r="CC41" s="62">
        <f t="shared" si="11"/>
        <v>490.95162500394343</v>
      </c>
      <c r="CD41" s="62">
        <f ca="1">AVERAGE(OFFSET($CC$3,0,0,'Données projet'!$E$12+1,1))-AVERAGE(OFFSET($H$3,0,0,'Données projet'!$E$12+1,1))</f>
        <v>272.69564942740931</v>
      </c>
      <c r="CE41" s="62">
        <f t="shared" si="40"/>
        <v>316.57989180609252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7.5641025641025639</v>
      </c>
      <c r="CT41" s="13">
        <f>IF('Données projet'!$A$140&gt;35,CT40+CS41-DB40,IF(A41&lt;'Données projet'!$A$140,$CQ$205^A41,IF(A41='Données projet'!$A$140,'Données projet'!$B$140,CT40+CS41-DB40)))</f>
        <v>193.20512820512823</v>
      </c>
      <c r="CU41" s="18">
        <f>CT41*VLOOKUP('Données projet'!$B$13,Paramètres!$A$1:$I$89,3,0)*VLOOKUP('Données projet'!$B$13,Paramètres!$A$1:$I$89,5,0)</f>
        <v>183.85400000000004</v>
      </c>
      <c r="CV41" s="14">
        <f t="shared" si="41"/>
        <v>46.178570095276363</v>
      </c>
      <c r="CW41" s="22">
        <f t="shared" si="13"/>
        <v>400.6400595826064</v>
      </c>
      <c r="CX41" s="62">
        <f t="shared" si="14"/>
        <v>646.83165287616509</v>
      </c>
      <c r="CY41" s="62">
        <f ca="1">AVERAGE(OFFSET($CX$3,0,0,'Données projet'!$E$13+1,1))-AVERAGE(OFFSET($H$3,0,0,'Données projet'!$E$13+1,1))</f>
        <v>491.87038198656927</v>
      </c>
      <c r="CZ41" s="62">
        <f t="shared" si="42"/>
        <v>406.49261644949559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11.2</v>
      </c>
      <c r="DO41" s="13">
        <f>IF('Données projet'!$A$166&gt;35,DO40+DN41-DW40,IF(A41&lt;'Données projet'!$A$166,$DL$205^A41,IF(A41='Données projet'!$A$166,'Données projet'!$B$166,DO40+DN41-DW40)))</f>
        <v>152.60000000000005</v>
      </c>
      <c r="DP41" s="18">
        <f>DO41*VLOOKUP('Données projet'!$B$14,Paramètres!$A$1:$I$89,3,0)*VLOOKUP('Données projet'!$B$14,Paramètres!$A$1:$I$89,5,0)</f>
        <v>147.59472000000005</v>
      </c>
      <c r="DQ41" s="14">
        <f t="shared" si="43"/>
        <v>38.031463918082679</v>
      </c>
      <c r="DR41" s="22">
        <f t="shared" si="16"/>
        <v>323.29893699066071</v>
      </c>
      <c r="DS41" s="62">
        <f t="shared" si="17"/>
        <v>569.4905302842194</v>
      </c>
      <c r="DT41" s="62">
        <f ca="1">AVERAGE(OFFSET($DS$3,0,0,'Données projet'!$E$14+1,1))-AVERAGE(OFFSET($H$3,0,0,'Données projet'!$E$14+1,1))</f>
        <v>603.52431522262032</v>
      </c>
      <c r="DU41" s="62">
        <f t="shared" si="44"/>
        <v>313.56299786481338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13.2</v>
      </c>
      <c r="EJ41" s="13">
        <f>IF('Données projet'!$A$192&gt;35,EJ40+EI41-ER40,IF(A41&lt;'Données projet'!$A$192,$EG$205^A41,IF(A41='Données projet'!$A$192,'Données projet'!$B$192,EJ40+EI41-ER40)))</f>
        <v>278.59999999999997</v>
      </c>
      <c r="EK41" s="18">
        <f>EJ41*VLOOKUP('Données projet'!$B$15,Paramètres!$A$1:$I$89,3,0)*VLOOKUP('Données projet'!$B$15,Paramètres!$A$1:$I$89,5,0)</f>
        <v>221.65415999999999</v>
      </c>
      <c r="EL41" s="14">
        <f t="shared" si="45"/>
        <v>54.474252334510162</v>
      </c>
      <c r="EM41" s="22">
        <f t="shared" si="19"/>
        <v>480.92365148260507</v>
      </c>
      <c r="EN41" s="62">
        <f t="shared" si="20"/>
        <v>727.11524477616376</v>
      </c>
      <c r="EO41" s="62">
        <f ca="1">AVERAGE(OFFSET($EN$3,0,0,'Données projet'!$E$15+1,1))-AVERAGE(OFFSET($H$3,0,0,'Données projet'!$E$15+1,1))</f>
        <v>450.93388191845378</v>
      </c>
      <c r="EP41" s="62">
        <f t="shared" si="46"/>
        <v>483.33635017129325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11.142857142857142</v>
      </c>
      <c r="FE41" s="13">
        <f>IF('Données projet'!$A$218&gt;35,FE40+FD41-FM40,IF(A41&lt;'Données projet'!$A$218,$FB$205^A41,IF(A41='Données projet'!$A$218,'Données projet'!$B$218,FE40+FD41-FM40)))</f>
        <v>163.14285714285708</v>
      </c>
      <c r="FF41" s="18">
        <f>FE41*VLOOKUP('Données projet'!$B$16,Paramètres!$A$1:$I$89,3,0)*VLOOKUP('Données projet'!$B$16,Paramètres!$A$1:$I$89,5,0)</f>
        <v>127.25142857142853</v>
      </c>
      <c r="FG41" s="14">
        <f t="shared" si="47"/>
        <v>33.360457439554281</v>
      </c>
      <c r="FH41" s="22">
        <f t="shared" si="22"/>
        <v>279.73236813579501</v>
      </c>
      <c r="FI41" s="62">
        <f t="shared" si="23"/>
        <v>525.92396142935377</v>
      </c>
      <c r="FJ41" s="62">
        <f ca="1">AVERAGE(OFFSET($FI$3,0,0,'Données projet'!$E$16+1,1))-AVERAGE(OFFSET($H$3,0,0,'Données projet'!$E$16+1,1))</f>
        <v>309.21625451786218</v>
      </c>
      <c r="FK41" s="62">
        <f t="shared" si="48"/>
        <v>302.59481222418219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11.4</v>
      </c>
      <c r="N42" s="14">
        <f>IF('Données projet'!$A$36&gt;35,N41+M42-V41,IF(A42&lt;'Données projet'!$A$36,$K$205^A42,IF(A42='Données projet'!$A$36,'Données projet'!$B$36,N41+M42-V41)))</f>
        <v>251.60000000000002</v>
      </c>
      <c r="O42" s="14">
        <f>N42*VLOOKUP('Données projet'!$B$9,Paramètres!$A$1:$I$89,3,0)*VLOOKUP('Données projet'!$B$9,Paramètres!$A$1:$I$89,5,0)</f>
        <v>200.17296000000002</v>
      </c>
      <c r="P42" s="14">
        <f t="shared" si="33"/>
        <v>49.782177185856028</v>
      </c>
      <c r="Q42" s="22">
        <f t="shared" si="53"/>
        <v>435.33853059869926</v>
      </c>
      <c r="R42" s="62">
        <f t="shared" si="0"/>
        <v>682.34792768880641</v>
      </c>
      <c r="S42" s="62">
        <f ca="1">AVERAGE(OFFSET($R$3,0,0,'Données projet'!$E$9+1,1))-AVERAGE(OFFSET($H$3,0,0,'Données projet'!$E$9+1,1))</f>
        <v>394.70330963327166</v>
      </c>
      <c r="T42" s="62">
        <f t="shared" si="34"/>
        <v>424.06445894109982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11.142857142857142</v>
      </c>
      <c r="AI42" s="14">
        <f>IF('Données projet'!$A$62&gt;35,AI41+AH42-AQ41,IF(A42&lt;'Données projet'!$A$62,$AF$205^A42,IF(A42='Données projet'!$A$62,'Données projet'!$B$62,AI41+AH42-AQ41)))</f>
        <v>174.28571428571422</v>
      </c>
      <c r="AJ42" s="14">
        <f>AI42*VLOOKUP('Données projet'!$B$10,Paramètres!$A$1:$I$89,3,0)*VLOOKUP('Données projet'!$B$10,Paramètres!$A$1:$I$89,5,0)</f>
        <v>141.38057142857139</v>
      </c>
      <c r="AK42" s="14">
        <f t="shared" si="35"/>
        <v>36.613094170880125</v>
      </c>
      <c r="AL42" s="22">
        <f t="shared" si="4"/>
        <v>310.005634252378</v>
      </c>
      <c r="AM42" s="62">
        <f t="shared" si="5"/>
        <v>557.01503134248514</v>
      </c>
      <c r="AN42" s="62">
        <f ca="1">AVERAGE(OFFSET($AM$3,0,0,'Données projet'!$E$10+1,1))-AVERAGE(OFFSET($H$3,0,0,'Données projet'!$E$10+1,1))</f>
        <v>319.39055628111151</v>
      </c>
      <c r="AO42" s="62">
        <f t="shared" si="36"/>
        <v>312.22190035638084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7.6</v>
      </c>
      <c r="BD42" s="13">
        <f>IF('Données projet'!$A$88&gt;35,BD41+BC42-BL41,IF(A42&lt;'Données projet'!$A$88,$BA$205^A42,IF(A42='Données projet'!$A$88,'Données projet'!$B$88,BD41+BC42-BL41)))</f>
        <v>166.39999999999995</v>
      </c>
      <c r="BE42" s="14">
        <f>BD42*VLOOKUP('Données projet'!$B$11,Paramètres!$A$1:$I$89,3,0)*VLOOKUP('Données projet'!$B$11,Paramètres!$A$1:$I$89,5,0)</f>
        <v>122.00447999999996</v>
      </c>
      <c r="BF42" s="14">
        <f t="shared" si="37"/>
        <v>32.142059634860118</v>
      </c>
      <c r="BG42" s="22">
        <f t="shared" si="7"/>
        <v>268.47188986404791</v>
      </c>
      <c r="BH42" s="62">
        <f t="shared" si="8"/>
        <v>515.48128695415505</v>
      </c>
      <c r="BI42" s="62">
        <f ca="1">AVERAGE(OFFSET($BH$3,0,0,'Données projet'!$E$11+1,1))-AVERAGE(OFFSET($H$3,0,0,'Données projet'!$E$11+1,1))</f>
        <v>257.906524944431</v>
      </c>
      <c r="BJ42" s="62">
        <f t="shared" si="38"/>
        <v>274.70390601173563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7.6</v>
      </c>
      <c r="BY42" s="13">
        <f>IF('Données projet'!$A$114&gt;35,BY41+BX42-CG41,IF(A42&lt;'Données projet'!$A$114,$BV$205^A42,IF(A42='Données projet'!$A$114,'Données projet'!$B$114,BY41+BX42-CG41)))</f>
        <v>144.40000000000003</v>
      </c>
      <c r="BZ42" s="14">
        <f>BY42*VLOOKUP('Données projet'!$B$12,Paramètres!$A$1:$I$89,3,0)*VLOOKUP('Données projet'!$B$12,Paramètres!$A$1:$I$89,5,0)</f>
        <v>117.13728000000003</v>
      </c>
      <c r="CA42" s="14">
        <f t="shared" si="39"/>
        <v>31.006381507018595</v>
      </c>
      <c r="CB42" s="22">
        <f t="shared" si="10"/>
        <v>258.01687712472409</v>
      </c>
      <c r="CC42" s="62">
        <f t="shared" si="11"/>
        <v>505.02627421483123</v>
      </c>
      <c r="CD42" s="62">
        <f ca="1">AVERAGE(OFFSET($CC$3,0,0,'Données projet'!$E$12+1,1))-AVERAGE(OFFSET($H$3,0,0,'Données projet'!$E$12+1,1))</f>
        <v>272.69564942740931</v>
      </c>
      <c r="CE42" s="62">
        <f t="shared" si="40"/>
        <v>316.57989180609252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7.5641025641025639</v>
      </c>
      <c r="CT42" s="13">
        <f>IF('Données projet'!$A$140&gt;35,CT41+CS42-DB41,IF(A42&lt;'Données projet'!$A$140,$CQ$205^A42,IF(A42='Données projet'!$A$140,'Données projet'!$B$140,CT41+CS42-DB41)))</f>
        <v>200.7692307692308</v>
      </c>
      <c r="CU42" s="18">
        <f>CT42*VLOOKUP('Données projet'!$B$13,Paramètres!$A$1:$I$89,3,0)*VLOOKUP('Données projet'!$B$13,Paramètres!$A$1:$I$89,5,0)</f>
        <v>191.05200000000005</v>
      </c>
      <c r="CV42" s="14">
        <f t="shared" si="41"/>
        <v>47.77246032039492</v>
      </c>
      <c r="CW42" s="22">
        <f t="shared" si="13"/>
        <v>415.95260172468784</v>
      </c>
      <c r="CX42" s="62">
        <f t="shared" si="14"/>
        <v>662.96199881479492</v>
      </c>
      <c r="CY42" s="62">
        <f ca="1">AVERAGE(OFFSET($CX$3,0,0,'Données projet'!$E$13+1,1))-AVERAGE(OFFSET($H$3,0,0,'Données projet'!$E$13+1,1))</f>
        <v>491.87038198656927</v>
      </c>
      <c r="CZ42" s="62">
        <f t="shared" si="42"/>
        <v>406.49261644949559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11.2</v>
      </c>
      <c r="DO42" s="13">
        <f>IF('Données projet'!$A$166&gt;35,DO41+DN42-DW41,IF(A42&lt;'Données projet'!$A$166,$DL$205^A42,IF(A42='Données projet'!$A$166,'Données projet'!$B$166,DO41+DN42-DW41)))</f>
        <v>163.80000000000004</v>
      </c>
      <c r="DP42" s="18">
        <f>DO42*VLOOKUP('Données projet'!$B$14,Paramètres!$A$1:$I$89,3,0)*VLOOKUP('Données projet'!$B$14,Paramètres!$A$1:$I$89,5,0)</f>
        <v>158.42736000000005</v>
      </c>
      <c r="DQ42" s="14">
        <f t="shared" si="43"/>
        <v>40.487598405868248</v>
      </c>
      <c r="DR42" s="22">
        <f t="shared" si="16"/>
        <v>346.44355255688725</v>
      </c>
      <c r="DS42" s="62">
        <f t="shared" si="17"/>
        <v>593.4529496469944</v>
      </c>
      <c r="DT42" s="62">
        <f ca="1">AVERAGE(OFFSET($DS$3,0,0,'Données projet'!$E$14+1,1))-AVERAGE(OFFSET($H$3,0,0,'Données projet'!$E$14+1,1))</f>
        <v>603.52431522262032</v>
      </c>
      <c r="DU42" s="62">
        <f t="shared" si="44"/>
        <v>313.56299786481338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13.2</v>
      </c>
      <c r="EJ42" s="13">
        <f>IF('Données projet'!$A$192&gt;35,EJ41+EI42-ER41,IF(A42&lt;'Données projet'!$A$192,$EG$205^A42,IF(A42='Données projet'!$A$192,'Données projet'!$B$192,EJ41+EI42-ER41)))</f>
        <v>291.79999999999995</v>
      </c>
      <c r="EK42" s="18">
        <f>EJ42*VLOOKUP('Données projet'!$B$15,Paramètres!$A$1:$I$89,3,0)*VLOOKUP('Données projet'!$B$15,Paramètres!$A$1:$I$89,5,0)</f>
        <v>232.15607999999997</v>
      </c>
      <c r="EL42" s="14">
        <f t="shared" si="45"/>
        <v>56.748622971669057</v>
      </c>
      <c r="EM42" s="22">
        <f t="shared" si="19"/>
        <v>503.17569100899021</v>
      </c>
      <c r="EN42" s="62">
        <f t="shared" si="20"/>
        <v>750.18508809909736</v>
      </c>
      <c r="EO42" s="62">
        <f ca="1">AVERAGE(OFFSET($EN$3,0,0,'Données projet'!$E$15+1,1))-AVERAGE(OFFSET($H$3,0,0,'Données projet'!$E$15+1,1))</f>
        <v>450.93388191845378</v>
      </c>
      <c r="EP42" s="62">
        <f t="shared" si="46"/>
        <v>483.33635017129325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11.142857142857142</v>
      </c>
      <c r="FE42" s="13">
        <f>IF('Données projet'!$A$218&gt;35,FE41+FD42-FM41,IF(A42&lt;'Données projet'!$A$218,$FB$205^A42,IF(A42='Données projet'!$A$218,'Données projet'!$B$218,FE41+FD42-FM41)))</f>
        <v>174.28571428571422</v>
      </c>
      <c r="FF42" s="18">
        <f>FE42*VLOOKUP('Données projet'!$B$16,Paramètres!$A$1:$I$89,3,0)*VLOOKUP('Données projet'!$B$16,Paramètres!$A$1:$I$89,5,0)</f>
        <v>135.94285714285709</v>
      </c>
      <c r="FG42" s="14">
        <f t="shared" si="47"/>
        <v>35.365986273808367</v>
      </c>
      <c r="FH42" s="22">
        <f t="shared" si="22"/>
        <v>298.36290228402567</v>
      </c>
      <c r="FI42" s="62">
        <f t="shared" si="23"/>
        <v>545.37229937413281</v>
      </c>
      <c r="FJ42" s="62">
        <f ca="1">AVERAGE(OFFSET($FI$3,0,0,'Données projet'!$E$16+1,1))-AVERAGE(OFFSET($H$3,0,0,'Données projet'!$E$16+1,1))</f>
        <v>309.21625451786218</v>
      </c>
      <c r="FK42" s="62">
        <f t="shared" si="48"/>
        <v>302.59481222418219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263</v>
      </c>
      <c r="L43" s="13">
        <f>VLOOKUP(A43,'Données projet'!$A$35:$I$55,9,0)</f>
        <v>11.4</v>
      </c>
      <c r="M43" s="13">
        <f t="array" ref="M43">INDEX(L:L,MIN(IF(ISNUMBER(L43:L239),ROW(L43:L239),"")))</f>
        <v>11.4</v>
      </c>
      <c r="N43" s="14">
        <f>IF('Données projet'!$A$36&gt;35,N42+M43-V42,IF(A43&lt;'Données projet'!$A$36,$K$205^A43,IF(A43='Données projet'!$A$36,'Données projet'!$B$36,N42+M43-V42)))</f>
        <v>263</v>
      </c>
      <c r="O43" s="14">
        <f>N43*VLOOKUP('Données projet'!$B$9,Paramètres!$A$1:$I$89,3,0)*VLOOKUP('Données projet'!$B$9,Paramètres!$A$1:$I$89,5,0)</f>
        <v>209.24279999999999</v>
      </c>
      <c r="P43" s="14">
        <f t="shared" si="33"/>
        <v>51.770083677016814</v>
      </c>
      <c r="Q43" s="22">
        <f t="shared" si="53"/>
        <v>454.59743907080428</v>
      </c>
      <c r="R43" s="62">
        <f t="shared" si="0"/>
        <v>702.41045288992507</v>
      </c>
      <c r="S43" s="62">
        <f ca="1">AVERAGE(OFFSET($R$3,0,0,'Données projet'!$E$9+1,1))-AVERAGE(OFFSET($H$3,0,0,'Données projet'!$E$9+1,1))</f>
        <v>394.70330963327166</v>
      </c>
      <c r="T43" s="62">
        <f t="shared" si="34"/>
        <v>424.06445894109982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70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11.142857142857142</v>
      </c>
      <c r="AI43" s="14">
        <f>IF('Données projet'!$A$62&gt;35,AI42+AH43-AQ42,IF(A43&lt;'Données projet'!$A$62,$AF$205^A43,IF(A43='Données projet'!$A$62,'Données projet'!$B$62,AI42+AH43-AQ42)))</f>
        <v>185.42857142857136</v>
      </c>
      <c r="AJ43" s="14">
        <f>AI43*VLOOKUP('Données projet'!$B$10,Paramètres!$A$1:$I$89,3,0)*VLOOKUP('Données projet'!$B$10,Paramètres!$A$1:$I$89,5,0)</f>
        <v>150.41965714285709</v>
      </c>
      <c r="AK43" s="14">
        <f t="shared" si="35"/>
        <v>38.673938700014816</v>
      </c>
      <c r="AL43" s="22">
        <f t="shared" si="4"/>
        <v>329.33801275966857</v>
      </c>
      <c r="AM43" s="62">
        <f t="shared" si="5"/>
        <v>577.15102657878936</v>
      </c>
      <c r="AN43" s="62">
        <f ca="1">AVERAGE(OFFSET($AM$3,0,0,'Données projet'!$E$10+1,1))-AVERAGE(OFFSET($H$3,0,0,'Données projet'!$E$10+1,1))</f>
        <v>319.39055628111151</v>
      </c>
      <c r="AO43" s="62">
        <f t="shared" si="36"/>
        <v>312.22190035638084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174</v>
      </c>
      <c r="BB43" s="13">
        <f>VLOOKUP(A43,'Données projet'!$A$87:$I$107,9,0)</f>
        <v>7.6</v>
      </c>
      <c r="BC43" s="13">
        <f t="array" ref="BC43">INDEX(BB:BB,MIN(IF(ISNUMBER(BB43:BB239),ROW(BB43:BB239),"")))</f>
        <v>7.6</v>
      </c>
      <c r="BD43" s="13">
        <f>IF('Données projet'!$A$88&gt;35,BD42+BC43-BL42,IF(A43&lt;'Données projet'!$A$88,$BA$205^A43,IF(A43='Données projet'!$A$88,'Données projet'!$B$88,BD42+BC43-BL42)))</f>
        <v>173.99999999999994</v>
      </c>
      <c r="BE43" s="14">
        <f>BD43*VLOOKUP('Données projet'!$B$11,Paramètres!$A$1:$I$89,3,0)*VLOOKUP('Données projet'!$B$11,Paramètres!$A$1:$I$89,5,0)</f>
        <v>127.57679999999996</v>
      </c>
      <c r="BF43" s="14">
        <f t="shared" si="37"/>
        <v>33.435817264319823</v>
      </c>
      <c r="BG43" s="22">
        <f t="shared" si="7"/>
        <v>280.43030840202363</v>
      </c>
      <c r="BH43" s="62">
        <f t="shared" si="8"/>
        <v>528.24332222114447</v>
      </c>
      <c r="BI43" s="62">
        <f ca="1">AVERAGE(OFFSET($BH$3,0,0,'Données projet'!$E$11+1,1))-AVERAGE(OFFSET($H$3,0,0,'Données projet'!$E$11+1,1))</f>
        <v>257.906524944431</v>
      </c>
      <c r="BJ43" s="62">
        <f t="shared" si="38"/>
        <v>274.70390601173563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42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152</v>
      </c>
      <c r="BW43" s="13">
        <f>VLOOKUP(A43,'Données projet'!$A$113:$I$133,9,0)</f>
        <v>7.6</v>
      </c>
      <c r="BX43" s="13">
        <f t="array" ref="BX43">INDEX(BW:BW,MIN(IF(ISNUMBER(BW43:BW239),ROW(BW43:BW239),"")))</f>
        <v>7.6</v>
      </c>
      <c r="BY43" s="13">
        <f>IF('Données projet'!$A$114&gt;35,BY42+BX43-CG42,IF(A43&lt;'Données projet'!$A$114,$BV$205^A43,IF(A43='Données projet'!$A$114,'Données projet'!$B$114,BY42+BX43-CG42)))</f>
        <v>152.00000000000003</v>
      </c>
      <c r="BZ43" s="14">
        <f>BY43*VLOOKUP('Données projet'!$B$12,Paramètres!$A$1:$I$89,3,0)*VLOOKUP('Données projet'!$B$12,Paramètres!$A$1:$I$89,5,0)</f>
        <v>123.30240000000003</v>
      </c>
      <c r="CA43" s="14">
        <f t="shared" si="39"/>
        <v>32.444008665071891</v>
      </c>
      <c r="CB43" s="22">
        <f t="shared" si="10"/>
        <v>271.25832842500023</v>
      </c>
      <c r="CC43" s="62">
        <f t="shared" si="11"/>
        <v>519.07134224412107</v>
      </c>
      <c r="CD43" s="62">
        <f ca="1">AVERAGE(OFFSET($CC$3,0,0,'Données projet'!$E$12+1,1))-AVERAGE(OFFSET($H$3,0,0,'Données projet'!$E$12+1,1))</f>
        <v>272.69564942740931</v>
      </c>
      <c r="CE43" s="62">
        <f t="shared" si="40"/>
        <v>316.57989180609252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208.33333333333331</v>
      </c>
      <c r="CR43" s="13">
        <f>VLOOKUP(A43,'Données projet'!$A$139:$I$159,9,0)</f>
        <v>7.5641025641025639</v>
      </c>
      <c r="CS43" s="13">
        <f t="array" ref="CS43">INDEX(CR:CR,MIN(IF(ISNUMBER(CR43:CR239),ROW(CR43:CR239),"")))</f>
        <v>7.5641025641025639</v>
      </c>
      <c r="CT43" s="13">
        <f>IF('Données projet'!$A$140&gt;35,CT42+CS43-DB42,IF(A43&lt;'Données projet'!$A$140,$CQ$205^A43,IF(A43='Données projet'!$A$140,'Données projet'!$B$140,CT42+CS43-DB42)))</f>
        <v>208.33333333333337</v>
      </c>
      <c r="CU43" s="18">
        <f>CT43*VLOOKUP('Données projet'!$B$13,Paramètres!$A$1:$I$89,3,0)*VLOOKUP('Données projet'!$B$13,Paramètres!$A$1:$I$89,5,0)</f>
        <v>198.25000000000006</v>
      </c>
      <c r="CV43" s="14">
        <f t="shared" si="41"/>
        <v>49.359374195866835</v>
      </c>
      <c r="CW43" s="22">
        <f t="shared" si="13"/>
        <v>431.25299339113485</v>
      </c>
      <c r="CX43" s="62">
        <f t="shared" si="14"/>
        <v>679.06600721025563</v>
      </c>
      <c r="CY43" s="62">
        <f ca="1">AVERAGE(OFFSET($CX$3,0,0,'Données projet'!$E$13+1,1))-AVERAGE(OFFSET($H$3,0,0,'Données projet'!$E$13+1,1))</f>
        <v>491.87038198656927</v>
      </c>
      <c r="CZ43" s="62">
        <f t="shared" si="42"/>
        <v>406.49261644949559</v>
      </c>
      <c r="DA43" s="16">
        <f>IF(ISNA(VLOOKUP(A43,'Données projet'!$A$139:$I$159,3,0)),0,VLOOKUP(A43,'Données projet'!$A$139:$I$159,3,0))</f>
        <v>3</v>
      </c>
      <c r="DB43" s="16">
        <f>IF(ISNA(VLOOKUP(A43,'Données projet'!$A$139:$I$159,4,0)),0,VLOOKUP(A43,'Données projet'!$A$139:$I$159,4,0))</f>
        <v>41.025641025641022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175</v>
      </c>
      <c r="DM43" s="13">
        <f>VLOOKUP(A43,'Données projet'!$A$165:$I$185,9,0)</f>
        <v>11.2</v>
      </c>
      <c r="DN43" s="13">
        <f t="array" ref="DN43">INDEX(DM:DM,MIN(IF(ISNUMBER(DM43:DM239),ROW(DM43:DM239),"")))</f>
        <v>11.2</v>
      </c>
      <c r="DO43" s="13">
        <f>IF('Données projet'!$A$166&gt;35,DO42+DN43-DW42,IF(A43&lt;'Données projet'!$A$166,$DL$205^A43,IF(A43='Données projet'!$A$166,'Données projet'!$B$166,DO42+DN43-DW42)))</f>
        <v>175.00000000000003</v>
      </c>
      <c r="DP43" s="18">
        <f>DO43*VLOOKUP('Données projet'!$B$14,Paramètres!$A$1:$I$89,3,0)*VLOOKUP('Données projet'!$B$14,Paramètres!$A$1:$I$89,5,0)</f>
        <v>169.26000000000002</v>
      </c>
      <c r="DQ43" s="14">
        <f t="shared" si="43"/>
        <v>42.924246146122272</v>
      </c>
      <c r="DR43" s="22">
        <f t="shared" si="16"/>
        <v>369.55422870449632</v>
      </c>
      <c r="DS43" s="62">
        <f t="shared" si="17"/>
        <v>617.36724252361716</v>
      </c>
      <c r="DT43" s="62">
        <f ca="1">AVERAGE(OFFSET($DS$3,0,0,'Données projet'!$E$14+1,1))-AVERAGE(OFFSET($H$3,0,0,'Données projet'!$E$14+1,1))</f>
        <v>603.52431522262032</v>
      </c>
      <c r="DU43" s="62">
        <f t="shared" si="44"/>
        <v>313.56299786481338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305</v>
      </c>
      <c r="EH43" s="13">
        <f>VLOOKUP(A43,'Données projet'!$A$191:$I$211,9,0)</f>
        <v>13.2</v>
      </c>
      <c r="EI43" s="13">
        <f t="array" ref="EI43">INDEX(EH:EH,MIN(IF(ISNUMBER(EH43:EH239),ROW(EH43:EH239),"")))</f>
        <v>13.2</v>
      </c>
      <c r="EJ43" s="13">
        <f>IF('Données projet'!$A$192&gt;35,EJ42+EI43-ER42,IF(A43&lt;'Données projet'!$A$192,$EG$205^A43,IF(A43='Données projet'!$A$192,'Données projet'!$B$192,EJ42+EI43-ER42)))</f>
        <v>304.99999999999994</v>
      </c>
      <c r="EK43" s="18">
        <f>EJ43*VLOOKUP('Données projet'!$B$15,Paramètres!$A$1:$I$89,3,0)*VLOOKUP('Données projet'!$B$15,Paramètres!$A$1:$I$89,5,0)</f>
        <v>242.65799999999999</v>
      </c>
      <c r="EL43" s="14">
        <f t="shared" si="45"/>
        <v>59.011045025839607</v>
      </c>
      <c r="EM43" s="22">
        <f t="shared" si="19"/>
        <v>525.40692008667054</v>
      </c>
      <c r="EN43" s="62">
        <f t="shared" si="20"/>
        <v>773.21993390579132</v>
      </c>
      <c r="EO43" s="62">
        <f ca="1">AVERAGE(OFFSET($EN$3,0,0,'Données projet'!$E$15+1,1))-AVERAGE(OFFSET($H$3,0,0,'Données projet'!$E$15+1,1))</f>
        <v>450.93388191845378</v>
      </c>
      <c r="EP43" s="62">
        <f t="shared" si="46"/>
        <v>483.33635017129325</v>
      </c>
      <c r="EQ43" s="16">
        <f>IF(ISNA(VLOOKUP(A43,'Données projet'!$A$191:$I$211,3,0)),0,VLOOKUP(A43,'Données projet'!$A$191:$I$211,3,0))</f>
        <v>3</v>
      </c>
      <c r="ER43" s="16">
        <f>IF(ISNA(VLOOKUP(A43,'Données projet'!$A$191:$I$211,4,0)),0,VLOOKUP(A43,'Données projet'!$A$191:$I$211,4,0))</f>
        <v>82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11.142857142857142</v>
      </c>
      <c r="FE43" s="13">
        <f>IF('Données projet'!$A$218&gt;35,FE42+FD43-FM42,IF(A43&lt;'Données projet'!$A$218,$FB$205^A43,IF(A43='Données projet'!$A$218,'Données projet'!$B$218,FE42+FD43-FM42)))</f>
        <v>185.42857142857136</v>
      </c>
      <c r="FF43" s="18">
        <f>FE43*VLOOKUP('Données projet'!$B$16,Paramètres!$A$1:$I$89,3,0)*VLOOKUP('Données projet'!$B$16,Paramètres!$A$1:$I$89,5,0)</f>
        <v>144.63428571428565</v>
      </c>
      <c r="FG43" s="14">
        <f t="shared" si="47"/>
        <v>37.356634728420524</v>
      </c>
      <c r="FH43" s="22">
        <f t="shared" si="22"/>
        <v>316.96751977104657</v>
      </c>
      <c r="FI43" s="62">
        <f t="shared" si="23"/>
        <v>564.78053359016735</v>
      </c>
      <c r="FJ43" s="62">
        <f ca="1">AVERAGE(OFFSET($FI$3,0,0,'Données projet'!$E$16+1,1))-AVERAGE(OFFSET($H$3,0,0,'Données projet'!$E$16+1,1))</f>
        <v>309.21625451786218</v>
      </c>
      <c r="FK43" s="62">
        <f t="shared" si="48"/>
        <v>302.59481222418219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9.8000000000000007</v>
      </c>
      <c r="N44" s="14">
        <f>IF('Données projet'!$A$36&gt;35,N43+M44-V43,IF(A44&lt;'Données projet'!$A$36,$K$205^A44,IF(A44='Données projet'!$A$36,'Données projet'!$B$36,N43+M44-V43)))</f>
        <v>202.8</v>
      </c>
      <c r="O44" s="14">
        <f>N44*VLOOKUP('Données projet'!$B$9,Paramètres!$A$1:$I$89,3,0)*VLOOKUP('Données projet'!$B$9,Paramètres!$A$1:$I$89,5,0)</f>
        <v>161.34768000000003</v>
      </c>
      <c r="P44" s="14">
        <f t="shared" si="33"/>
        <v>41.146339844316657</v>
      </c>
      <c r="Q44" s="22">
        <f t="shared" si="53"/>
        <v>352.6770845621848</v>
      </c>
      <c r="R44" s="62">
        <f t="shared" si="0"/>
        <v>601.27977415668875</v>
      </c>
      <c r="S44" s="62">
        <f ca="1">AVERAGE(OFFSET($R$3,0,0,'Données projet'!$E$9+1,1))-AVERAGE(OFFSET($H$3,0,0,'Données projet'!$E$9+1,1))</f>
        <v>394.70330963327166</v>
      </c>
      <c r="T44" s="62">
        <f t="shared" si="34"/>
        <v>424.06445894109982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11.142857142857142</v>
      </c>
      <c r="AI44" s="14">
        <f>IF('Données projet'!$A$62&gt;35,AI43+AH44-AQ43,IF(A44&lt;'Données projet'!$A$62,$AF$205^A44,IF(A44='Données projet'!$A$62,'Données projet'!$B$62,AI43+AH44-AQ43)))</f>
        <v>196.5714285714285</v>
      </c>
      <c r="AJ44" s="14">
        <f>AI44*VLOOKUP('Données projet'!$B$10,Paramètres!$A$1:$I$89,3,0)*VLOOKUP('Données projet'!$B$10,Paramètres!$A$1:$I$89,5,0)</f>
        <v>159.45874285714279</v>
      </c>
      <c r="AK44" s="14">
        <f t="shared" si="35"/>
        <v>40.720409281188005</v>
      </c>
      <c r="AL44" s="22">
        <f t="shared" si="4"/>
        <v>348.64535664092614</v>
      </c>
      <c r="AM44" s="62">
        <f t="shared" si="5"/>
        <v>597.24804623543014</v>
      </c>
      <c r="AN44" s="62">
        <f ca="1">AVERAGE(OFFSET($AM$3,0,0,'Données projet'!$E$10+1,1))-AVERAGE(OFFSET($H$3,0,0,'Données projet'!$E$10+1,1))</f>
        <v>319.39055628111151</v>
      </c>
      <c r="AO44" s="62">
        <f t="shared" si="36"/>
        <v>312.22190035638084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6.6</v>
      </c>
      <c r="BD44" s="13">
        <f>IF('Données projet'!$A$88&gt;35,BD43+BC44-BL43,IF(A44&lt;'Données projet'!$A$88,$BA$205^A44,IF(A44='Données projet'!$A$88,'Données projet'!$B$88,BD43+BC44-BL43)))</f>
        <v>138.59999999999994</v>
      </c>
      <c r="BE44" s="14">
        <f>BD44*VLOOKUP('Données projet'!$B$11,Paramètres!$A$1:$I$89,3,0)*VLOOKUP('Données projet'!$B$11,Paramètres!$A$1:$I$89,5,0)</f>
        <v>101.62151999999995</v>
      </c>
      <c r="BF44" s="14">
        <f t="shared" si="37"/>
        <v>27.347939943978915</v>
      </c>
      <c r="BG44" s="22">
        <f t="shared" si="7"/>
        <v>224.62180940242982</v>
      </c>
      <c r="BH44" s="62">
        <f t="shared" si="8"/>
        <v>473.22449899693379</v>
      </c>
      <c r="BI44" s="62">
        <f ca="1">AVERAGE(OFFSET($BH$3,0,0,'Données projet'!$E$11+1,1))-AVERAGE(OFFSET($H$3,0,0,'Données projet'!$E$11+1,1))</f>
        <v>257.906524944431</v>
      </c>
      <c r="BJ44" s="62">
        <f t="shared" si="38"/>
        <v>274.70390601173563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7.6</v>
      </c>
      <c r="BY44" s="13">
        <f>IF('Données projet'!$A$114&gt;35,BY43+BX44-CG43,IF(A44&lt;'Données projet'!$A$114,$BV$205^A44,IF(A44='Données projet'!$A$114,'Données projet'!$B$114,BY43+BX44-CG43)))</f>
        <v>159.60000000000002</v>
      </c>
      <c r="BZ44" s="14">
        <f>BY44*VLOOKUP('Données projet'!$B$12,Paramètres!$A$1:$I$89,3,0)*VLOOKUP('Données projet'!$B$12,Paramètres!$A$1:$I$89,5,0)</f>
        <v>129.46752000000004</v>
      </c>
      <c r="CA44" s="14">
        <f t="shared" si="39"/>
        <v>33.873289462262882</v>
      </c>
      <c r="CB44" s="22">
        <f t="shared" si="10"/>
        <v>284.48524314677451</v>
      </c>
      <c r="CC44" s="62">
        <f t="shared" si="11"/>
        <v>533.08793274127845</v>
      </c>
      <c r="CD44" s="62">
        <f ca="1">AVERAGE(OFFSET($CC$3,0,0,'Données projet'!$E$12+1,1))-AVERAGE(OFFSET($H$3,0,0,'Données projet'!$E$12+1,1))</f>
        <v>272.69564942740931</v>
      </c>
      <c r="CE44" s="62">
        <f t="shared" si="40"/>
        <v>316.57989180609252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7.1794871794871824</v>
      </c>
      <c r="CT44" s="13">
        <f>IF('Données projet'!$A$140&gt;35,CT43+CS44-DB43,IF(A44&lt;'Données projet'!$A$140,$CQ$205^A44,IF(A44='Données projet'!$A$140,'Données projet'!$B$140,CT43+CS44-DB43)))</f>
        <v>174.48717948717953</v>
      </c>
      <c r="CU44" s="18">
        <f>CT44*VLOOKUP('Données projet'!$B$13,Paramètres!$A$1:$I$89,3,0)*VLOOKUP('Données projet'!$B$13,Paramètres!$A$1:$I$89,5,0)</f>
        <v>166.04200000000003</v>
      </c>
      <c r="CV44" s="14">
        <f t="shared" si="41"/>
        <v>42.202351530478488</v>
      </c>
      <c r="CW44" s="22">
        <f t="shared" si="13"/>
        <v>362.69224558225005</v>
      </c>
      <c r="CX44" s="62">
        <f t="shared" si="14"/>
        <v>611.29493517675405</v>
      </c>
      <c r="CY44" s="62">
        <f ca="1">AVERAGE(OFFSET($CX$3,0,0,'Données projet'!$E$13+1,1))-AVERAGE(OFFSET($H$3,0,0,'Données projet'!$E$13+1,1))</f>
        <v>491.87038198656927</v>
      </c>
      <c r="CZ44" s="62">
        <f t="shared" si="42"/>
        <v>406.49261644949559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11.4</v>
      </c>
      <c r="DO44" s="13">
        <f>IF('Données projet'!$A$166&gt;35,DO43+DN44-DW43,IF(A44&lt;'Données projet'!$A$166,$DL$205^A44,IF(A44='Données projet'!$A$166,'Données projet'!$B$166,DO43+DN44-DW43)))</f>
        <v>186.40000000000003</v>
      </c>
      <c r="DP44" s="18">
        <f>DO44*VLOOKUP('Données projet'!$B$14,Paramètres!$A$1:$I$89,3,0)*VLOOKUP('Données projet'!$B$14,Paramètres!$A$1:$I$89,5,0)</f>
        <v>180.28608000000006</v>
      </c>
      <c r="DQ44" s="14">
        <f t="shared" si="43"/>
        <v>45.38582781198636</v>
      </c>
      <c r="DR44" s="22">
        <f t="shared" si="16"/>
        <v>393.04523943920964</v>
      </c>
      <c r="DS44" s="62">
        <f t="shared" si="17"/>
        <v>641.64792903371358</v>
      </c>
      <c r="DT44" s="62">
        <f ca="1">AVERAGE(OFFSET($DS$3,0,0,'Données projet'!$E$14+1,1))-AVERAGE(OFFSET($H$3,0,0,'Données projet'!$E$14+1,1))</f>
        <v>603.52431522262032</v>
      </c>
      <c r="DU44" s="62">
        <f t="shared" si="44"/>
        <v>313.56299786481338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11.4</v>
      </c>
      <c r="EJ44" s="13">
        <f>IF('Données projet'!$A$192&gt;35,EJ43+EI44-ER43,IF(A44&lt;'Données projet'!$A$192,$EG$205^A44,IF(A44='Données projet'!$A$192,'Données projet'!$B$192,EJ43+EI44-ER43)))</f>
        <v>234.39999999999992</v>
      </c>
      <c r="EK44" s="18">
        <f>EJ44*VLOOKUP('Données projet'!$B$15,Paramètres!$A$1:$I$89,3,0)*VLOOKUP('Données projet'!$B$15,Paramètres!$A$1:$I$89,5,0)</f>
        <v>186.48863999999995</v>
      </c>
      <c r="EL44" s="14">
        <f t="shared" si="45"/>
        <v>46.762800221578807</v>
      </c>
      <c r="EM44" s="22">
        <f t="shared" si="19"/>
        <v>406.24625838591629</v>
      </c>
      <c r="EN44" s="62">
        <f t="shared" si="20"/>
        <v>654.84894798042023</v>
      </c>
      <c r="EO44" s="62">
        <f ca="1">AVERAGE(OFFSET($EN$3,0,0,'Données projet'!$E$15+1,1))-AVERAGE(OFFSET($H$3,0,0,'Données projet'!$E$15+1,1))</f>
        <v>450.93388191845378</v>
      </c>
      <c r="EP44" s="62">
        <f t="shared" si="46"/>
        <v>483.33635017129325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11.142857142857142</v>
      </c>
      <c r="FE44" s="13">
        <f>IF('Données projet'!$A$218&gt;35,FE43+FD44-FM43,IF(A44&lt;'Données projet'!$A$218,$FB$205^A44,IF(A44='Données projet'!$A$218,'Données projet'!$B$218,FE43+FD44-FM43)))</f>
        <v>196.5714285714285</v>
      </c>
      <c r="FF44" s="18">
        <f>FE44*VLOOKUP('Données projet'!$B$16,Paramètres!$A$1:$I$89,3,0)*VLOOKUP('Données projet'!$B$16,Paramètres!$A$1:$I$89,5,0)</f>
        <v>153.32571428571424</v>
      </c>
      <c r="FG44" s="14">
        <f t="shared" si="47"/>
        <v>39.333398837614155</v>
      </c>
      <c r="FH44" s="22">
        <f t="shared" si="22"/>
        <v>335.5479553564636</v>
      </c>
      <c r="FI44" s="62">
        <f t="shared" si="23"/>
        <v>584.1506449509676</v>
      </c>
      <c r="FJ44" s="62">
        <f ca="1">AVERAGE(OFFSET($FI$3,0,0,'Données projet'!$E$16+1,1))-AVERAGE(OFFSET($H$3,0,0,'Données projet'!$E$16+1,1))</f>
        <v>309.21625451786218</v>
      </c>
      <c r="FK44" s="62">
        <f t="shared" si="48"/>
        <v>302.59481222418219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9.8000000000000007</v>
      </c>
      <c r="N45" s="14">
        <f>IF('Données projet'!$A$36&gt;35,N44+M45-V44,IF(A45&lt;'Données projet'!$A$36,$K$205^A45,IF(A45='Données projet'!$A$36,'Données projet'!$B$36,N44+M45-V44)))</f>
        <v>212.60000000000002</v>
      </c>
      <c r="O45" s="14">
        <f>N45*VLOOKUP('Données projet'!$B$9,Paramètres!$A$1:$I$89,3,0)*VLOOKUP('Données projet'!$B$9,Paramètres!$A$1:$I$89,5,0)</f>
        <v>169.14456000000004</v>
      </c>
      <c r="P45" s="14">
        <f t="shared" si="33"/>
        <v>42.898377267189964</v>
      </c>
      <c r="Q45" s="22">
        <f t="shared" si="53"/>
        <v>369.30811574035596</v>
      </c>
      <c r="R45" s="62">
        <f t="shared" si="0"/>
        <v>618.68678200099066</v>
      </c>
      <c r="S45" s="62">
        <f ca="1">AVERAGE(OFFSET($R$3,0,0,'Données projet'!$E$9+1,1))-AVERAGE(OFFSET($H$3,0,0,'Données projet'!$E$9+1,1))</f>
        <v>394.70330963327166</v>
      </c>
      <c r="T45" s="62">
        <f t="shared" si="34"/>
        <v>424.06445894109982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11.142857142857142</v>
      </c>
      <c r="AI45" s="14">
        <f>IF('Données projet'!$A$62&gt;35,AI44+AH45-AQ44,IF(A45&lt;'Données projet'!$A$62,$AF$205^A45,IF(A45='Données projet'!$A$62,'Données projet'!$B$62,AI44+AH45-AQ44)))</f>
        <v>207.71428571428564</v>
      </c>
      <c r="AJ45" s="14">
        <f>AI45*VLOOKUP('Données projet'!$B$10,Paramètres!$A$1:$I$89,3,0)*VLOOKUP('Données projet'!$B$10,Paramètres!$A$1:$I$89,5,0)</f>
        <v>168.49782857142853</v>
      </c>
      <c r="AK45" s="14">
        <f t="shared" si="35"/>
        <v>42.753413564296331</v>
      </c>
      <c r="AL45" s="22">
        <f t="shared" si="4"/>
        <v>367.92924671972077</v>
      </c>
      <c r="AM45" s="62">
        <f t="shared" si="5"/>
        <v>617.30791298035547</v>
      </c>
      <c r="AN45" s="62">
        <f ca="1">AVERAGE(OFFSET($AM$3,0,0,'Données projet'!$E$10+1,1))-AVERAGE(OFFSET($H$3,0,0,'Données projet'!$E$10+1,1))</f>
        <v>319.39055628111151</v>
      </c>
      <c r="AO45" s="62">
        <f t="shared" si="36"/>
        <v>312.22190035638084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6.6</v>
      </c>
      <c r="BD45" s="13">
        <f>IF('Données projet'!$A$88&gt;35,BD44+BC45-BL44,IF(A45&lt;'Données projet'!$A$88,$BA$205^A45,IF(A45='Données projet'!$A$88,'Données projet'!$B$88,BD44+BC45-BL44)))</f>
        <v>145.19999999999993</v>
      </c>
      <c r="BE45" s="14">
        <f>BD45*VLOOKUP('Données projet'!$B$11,Paramètres!$A$1:$I$89,3,0)*VLOOKUP('Données projet'!$B$11,Paramètres!$A$1:$I$89,5,0)</f>
        <v>106.46063999999994</v>
      </c>
      <c r="BF45" s="14">
        <f t="shared" si="37"/>
        <v>28.495503128802824</v>
      </c>
      <c r="BG45" s="22">
        <f t="shared" si="7"/>
        <v>235.04861594933149</v>
      </c>
      <c r="BH45" s="62">
        <f t="shared" si="8"/>
        <v>484.42728220996622</v>
      </c>
      <c r="BI45" s="62">
        <f ca="1">AVERAGE(OFFSET($BH$3,0,0,'Données projet'!$E$11+1,1))-AVERAGE(OFFSET($H$3,0,0,'Données projet'!$E$11+1,1))</f>
        <v>257.906524944431</v>
      </c>
      <c r="BJ45" s="62">
        <f t="shared" si="38"/>
        <v>274.70390601173563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7.6</v>
      </c>
      <c r="BY45" s="13">
        <f>IF('Données projet'!$A$114&gt;35,BY44+BX45-CG44,IF(A45&lt;'Données projet'!$A$114,$BV$205^A45,IF(A45='Données projet'!$A$114,'Données projet'!$B$114,BY44+BX45-CG44)))</f>
        <v>167.20000000000002</v>
      </c>
      <c r="BZ45" s="14">
        <f>BY45*VLOOKUP('Données projet'!$B$12,Paramètres!$A$1:$I$89,3,0)*VLOOKUP('Données projet'!$B$12,Paramètres!$A$1:$I$89,5,0)</f>
        <v>135.63264000000004</v>
      </c>
      <c r="CA45" s="14">
        <f t="shared" si="39"/>
        <v>35.294666721954265</v>
      </c>
      <c r="CB45" s="22">
        <f t="shared" si="10"/>
        <v>297.69839254073707</v>
      </c>
      <c r="CC45" s="62">
        <f t="shared" si="11"/>
        <v>547.07705880137178</v>
      </c>
      <c r="CD45" s="62">
        <f ca="1">AVERAGE(OFFSET($CC$3,0,0,'Données projet'!$E$12+1,1))-AVERAGE(OFFSET($H$3,0,0,'Données projet'!$E$12+1,1))</f>
        <v>272.69564942740931</v>
      </c>
      <c r="CE45" s="62">
        <f t="shared" si="40"/>
        <v>316.57989180609252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7.1794871794871824</v>
      </c>
      <c r="CT45" s="13">
        <f>IF('Données projet'!$A$140&gt;35,CT44+CS45-DB44,IF(A45&lt;'Données projet'!$A$140,$CQ$205^A45,IF(A45='Données projet'!$A$140,'Données projet'!$B$140,CT44+CS45-DB44)))</f>
        <v>181.66666666666671</v>
      </c>
      <c r="CU45" s="18">
        <f>CT45*VLOOKUP('Données projet'!$B$13,Paramètres!$A$1:$I$89,3,0)*VLOOKUP('Données projet'!$B$13,Paramètres!$A$1:$I$89,5,0)</f>
        <v>172.87400000000005</v>
      </c>
      <c r="CV45" s="14">
        <f t="shared" si="41"/>
        <v>43.733074597486798</v>
      </c>
      <c r="CW45" s="22">
        <f t="shared" si="13"/>
        <v>377.25732159062289</v>
      </c>
      <c r="CX45" s="62">
        <f t="shared" si="14"/>
        <v>626.6359878512576</v>
      </c>
      <c r="CY45" s="62">
        <f ca="1">AVERAGE(OFFSET($CX$3,0,0,'Données projet'!$E$13+1,1))-AVERAGE(OFFSET($H$3,0,0,'Données projet'!$E$13+1,1))</f>
        <v>491.87038198656927</v>
      </c>
      <c r="CZ45" s="62">
        <f t="shared" si="42"/>
        <v>406.49261644949559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11.4</v>
      </c>
      <c r="DO45" s="13">
        <f>IF('Données projet'!$A$166&gt;35,DO44+DN45-DW44,IF(A45&lt;'Données projet'!$A$166,$DL$205^A45,IF(A45='Données projet'!$A$166,'Données projet'!$B$166,DO44+DN45-DW44)))</f>
        <v>197.80000000000004</v>
      </c>
      <c r="DP45" s="18">
        <f>DO45*VLOOKUP('Données projet'!$B$14,Paramètres!$A$1:$I$89,3,0)*VLOOKUP('Données projet'!$B$14,Paramètres!$A$1:$I$89,5,0)</f>
        <v>191.31216000000003</v>
      </c>
      <c r="DQ45" s="14">
        <f t="shared" si="43"/>
        <v>47.829936494057677</v>
      </c>
      <c r="DR45" s="22">
        <f t="shared" si="16"/>
        <v>416.50581806048382</v>
      </c>
      <c r="DS45" s="62">
        <f t="shared" si="17"/>
        <v>665.88448432111852</v>
      </c>
      <c r="DT45" s="62">
        <f ca="1">AVERAGE(OFFSET($DS$3,0,0,'Données projet'!$E$14+1,1))-AVERAGE(OFFSET($H$3,0,0,'Données projet'!$E$14+1,1))</f>
        <v>603.52431522262032</v>
      </c>
      <c r="DU45" s="62">
        <f t="shared" si="44"/>
        <v>313.56299786481338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11.4</v>
      </c>
      <c r="EJ45" s="13">
        <f>IF('Données projet'!$A$192&gt;35,EJ44+EI45-ER44,IF(A45&lt;'Données projet'!$A$192,$EG$205^A45,IF(A45='Données projet'!$A$192,'Données projet'!$B$192,EJ44+EI45-ER44)))</f>
        <v>245.79999999999993</v>
      </c>
      <c r="EK45" s="18">
        <f>EJ45*VLOOKUP('Données projet'!$B$15,Paramètres!$A$1:$I$89,3,0)*VLOOKUP('Données projet'!$B$15,Paramètres!$A$1:$I$89,5,0)</f>
        <v>195.55847999999995</v>
      </c>
      <c r="EL45" s="14">
        <f t="shared" si="45"/>
        <v>48.766783903364477</v>
      </c>
      <c r="EM45" s="22">
        <f t="shared" si="19"/>
        <v>425.53316796502639</v>
      </c>
      <c r="EN45" s="62">
        <f t="shared" si="20"/>
        <v>674.9118342256611</v>
      </c>
      <c r="EO45" s="62">
        <f ca="1">AVERAGE(OFFSET($EN$3,0,0,'Données projet'!$E$15+1,1))-AVERAGE(OFFSET($H$3,0,0,'Données projet'!$E$15+1,1))</f>
        <v>450.93388191845378</v>
      </c>
      <c r="EP45" s="62">
        <f t="shared" si="46"/>
        <v>483.33635017129325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11.142857142857142</v>
      </c>
      <c r="FE45" s="13">
        <f>IF('Données projet'!$A$218&gt;35,FE44+FD45-FM44,IF(A45&lt;'Données projet'!$A$218,$FB$205^A45,IF(A45='Données projet'!$A$218,'Données projet'!$B$218,FE44+FD45-FM44)))</f>
        <v>207.71428571428564</v>
      </c>
      <c r="FF45" s="18">
        <f>FE45*VLOOKUP('Données projet'!$B$16,Paramètres!$A$1:$I$89,3,0)*VLOOKUP('Données projet'!$B$16,Paramètres!$A$1:$I$89,5,0)</f>
        <v>162.0171428571428</v>
      </c>
      <c r="FG45" s="14">
        <f t="shared" si="47"/>
        <v>41.29715533509664</v>
      </c>
      <c r="FH45" s="22">
        <f t="shared" si="22"/>
        <v>354.10573601815037</v>
      </c>
      <c r="FI45" s="62">
        <f t="shared" si="23"/>
        <v>603.48440227878507</v>
      </c>
      <c r="FJ45" s="62">
        <f ca="1">AVERAGE(OFFSET($FI$3,0,0,'Données projet'!$E$16+1,1))-AVERAGE(OFFSET($H$3,0,0,'Données projet'!$E$16+1,1))</f>
        <v>309.21625451786218</v>
      </c>
      <c r="FK45" s="62">
        <f t="shared" si="48"/>
        <v>302.59481222418219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9.8000000000000007</v>
      </c>
      <c r="N46" s="14">
        <f>IF('Données projet'!$A$36&gt;35,N45+M46-V45,IF(A46&lt;'Données projet'!$A$36,$K$205^A46,IF(A46='Données projet'!$A$36,'Données projet'!$B$36,N45+M46-V45)))</f>
        <v>222.40000000000003</v>
      </c>
      <c r="O46" s="14">
        <f>N46*VLOOKUP('Données projet'!$B$9,Paramètres!$A$1:$I$89,3,0)*VLOOKUP('Données projet'!$B$9,Paramètres!$A$1:$I$89,5,0)</f>
        <v>176.94144000000003</v>
      </c>
      <c r="P46" s="14">
        <f t="shared" si="33"/>
        <v>44.641035679901449</v>
      </c>
      <c r="Q46" s="22">
        <f t="shared" si="53"/>
        <v>385.92281180916171</v>
      </c>
      <c r="R46" s="62">
        <f t="shared" si="0"/>
        <v>636.0639932755937</v>
      </c>
      <c r="S46" s="62">
        <f ca="1">AVERAGE(OFFSET($R$3,0,0,'Données projet'!$E$9+1,1))-AVERAGE(OFFSET($H$3,0,0,'Données projet'!$E$9+1,1))</f>
        <v>394.70330963327166</v>
      </c>
      <c r="T46" s="62">
        <f t="shared" si="34"/>
        <v>424.06445894109982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11.142857142857142</v>
      </c>
      <c r="AI46" s="14">
        <f>IF('Données projet'!$A$62&gt;35,AI45+AH46-AQ45,IF(A46&lt;'Données projet'!$A$62,$AF$205^A46,IF(A46='Données projet'!$A$62,'Données projet'!$B$62,AI45+AH46-AQ45)))</f>
        <v>218.85714285714278</v>
      </c>
      <c r="AJ46" s="14">
        <f>AI46*VLOOKUP('Données projet'!$B$10,Paramètres!$A$1:$I$89,3,0)*VLOOKUP('Données projet'!$B$10,Paramètres!$A$1:$I$89,5,0)</f>
        <v>177.53691428571423</v>
      </c>
      <c r="AK46" s="14">
        <f t="shared" si="35"/>
        <v>44.773756317302826</v>
      </c>
      <c r="AL46" s="22">
        <f t="shared" si="4"/>
        <v>387.19108463358799</v>
      </c>
      <c r="AM46" s="62">
        <f t="shared" si="5"/>
        <v>637.33226610001998</v>
      </c>
      <c r="AN46" s="62">
        <f ca="1">AVERAGE(OFFSET($AM$3,0,0,'Données projet'!$E$10+1,1))-AVERAGE(OFFSET($H$3,0,0,'Données projet'!$E$10+1,1))</f>
        <v>319.39055628111151</v>
      </c>
      <c r="AO46" s="62">
        <f t="shared" si="36"/>
        <v>312.22190035638084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6.6</v>
      </c>
      <c r="BD46" s="13">
        <f>IF('Données projet'!$A$88&gt;35,BD45+BC46-BL45,IF(A46&lt;'Données projet'!$A$88,$BA$205^A46,IF(A46='Données projet'!$A$88,'Données projet'!$B$88,BD45+BC46-BL45)))</f>
        <v>151.79999999999993</v>
      </c>
      <c r="BE46" s="14">
        <f>BD46*VLOOKUP('Données projet'!$B$11,Paramètres!$A$1:$I$89,3,0)*VLOOKUP('Données projet'!$B$11,Paramètres!$A$1:$I$89,5,0)</f>
        <v>111.29975999999995</v>
      </c>
      <c r="BF46" s="14">
        <f t="shared" si="37"/>
        <v>29.637008492427363</v>
      </c>
      <c r="BG46" s="22">
        <f t="shared" si="7"/>
        <v>245.46487179097758</v>
      </c>
      <c r="BH46" s="62">
        <f t="shared" si="8"/>
        <v>495.6060532574096</v>
      </c>
      <c r="BI46" s="62">
        <f ca="1">AVERAGE(OFFSET($BH$3,0,0,'Données projet'!$E$11+1,1))-AVERAGE(OFFSET($H$3,0,0,'Données projet'!$E$11+1,1))</f>
        <v>257.906524944431</v>
      </c>
      <c r="BJ46" s="62">
        <f t="shared" si="38"/>
        <v>274.70390601173563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7.6</v>
      </c>
      <c r="BY46" s="13">
        <f>IF('Données projet'!$A$114&gt;35,BY45+BX46-CG45,IF(A46&lt;'Données projet'!$A$114,$BV$205^A46,IF(A46='Données projet'!$A$114,'Données projet'!$B$114,BY45+BX46-CG45)))</f>
        <v>174.8</v>
      </c>
      <c r="BZ46" s="14">
        <f>BY46*VLOOKUP('Données projet'!$B$12,Paramètres!$A$1:$I$89,3,0)*VLOOKUP('Données projet'!$B$12,Paramètres!$A$1:$I$89,5,0)</f>
        <v>141.79776000000004</v>
      </c>
      <c r="CA46" s="14">
        <f t="shared" si="39"/>
        <v>36.708540735279854</v>
      </c>
      <c r="CB46" s="22">
        <f t="shared" si="10"/>
        <v>310.89847378061245</v>
      </c>
      <c r="CC46" s="62">
        <f t="shared" si="11"/>
        <v>561.03965524704449</v>
      </c>
      <c r="CD46" s="62">
        <f ca="1">AVERAGE(OFFSET($CC$3,0,0,'Données projet'!$E$12+1,1))-AVERAGE(OFFSET($H$3,0,0,'Données projet'!$E$12+1,1))</f>
        <v>272.69564942740931</v>
      </c>
      <c r="CE46" s="62">
        <f t="shared" si="40"/>
        <v>316.57989180609252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7.1794871794871824</v>
      </c>
      <c r="CT46" s="13">
        <f>IF('Données projet'!$A$140&gt;35,CT45+CS46-DB45,IF(A46&lt;'Données projet'!$A$140,$CQ$205^A46,IF(A46='Données projet'!$A$140,'Données projet'!$B$140,CT45+CS46-DB45)))</f>
        <v>188.8461538461539</v>
      </c>
      <c r="CU46" s="18">
        <f>CT46*VLOOKUP('Données projet'!$B$13,Paramètres!$A$1:$I$89,3,0)*VLOOKUP('Données projet'!$B$13,Paramètres!$A$1:$I$89,5,0)</f>
        <v>179.70600000000005</v>
      </c>
      <c r="CV46" s="14">
        <f t="shared" si="41"/>
        <v>45.256770361575043</v>
      </c>
      <c r="CW46" s="22">
        <f t="shared" si="13"/>
        <v>391.8101583797432</v>
      </c>
      <c r="CX46" s="62">
        <f t="shared" si="14"/>
        <v>641.95133984617519</v>
      </c>
      <c r="CY46" s="62">
        <f ca="1">AVERAGE(OFFSET($CX$3,0,0,'Données projet'!$E$13+1,1))-AVERAGE(OFFSET($H$3,0,0,'Données projet'!$E$13+1,1))</f>
        <v>491.87038198656927</v>
      </c>
      <c r="CZ46" s="62">
        <f t="shared" si="42"/>
        <v>406.49261644949559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11.4</v>
      </c>
      <c r="DO46" s="13">
        <f>IF('Données projet'!$A$166&gt;35,DO45+DN46-DW45,IF(A46&lt;'Données projet'!$A$166,$DL$205^A46,IF(A46='Données projet'!$A$166,'Données projet'!$B$166,DO45+DN46-DW45)))</f>
        <v>209.20000000000005</v>
      </c>
      <c r="DP46" s="18">
        <f>DO46*VLOOKUP('Données projet'!$B$14,Paramètres!$A$1:$I$89,3,0)*VLOOKUP('Données projet'!$B$14,Paramètres!$A$1:$I$89,5,0)</f>
        <v>202.33824000000007</v>
      </c>
      <c r="DQ46" s="14">
        <f t="shared" si="43"/>
        <v>50.257693963357795</v>
      </c>
      <c r="DR46" s="22">
        <f t="shared" si="16"/>
        <v>439.93791831951495</v>
      </c>
      <c r="DS46" s="62">
        <f t="shared" si="17"/>
        <v>690.07909978594694</v>
      </c>
      <c r="DT46" s="62">
        <f ca="1">AVERAGE(OFFSET($DS$3,0,0,'Données projet'!$E$14+1,1))-AVERAGE(OFFSET($H$3,0,0,'Données projet'!$E$14+1,1))</f>
        <v>603.52431522262032</v>
      </c>
      <c r="DU46" s="62">
        <f t="shared" si="44"/>
        <v>313.56299786481338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11.4</v>
      </c>
      <c r="EJ46" s="13">
        <f>IF('Données projet'!$A$192&gt;35,EJ45+EI46-ER45,IF(A46&lt;'Données projet'!$A$192,$EG$205^A46,IF(A46='Données projet'!$A$192,'Données projet'!$B$192,EJ45+EI46-ER45)))</f>
        <v>257.19999999999993</v>
      </c>
      <c r="EK46" s="18">
        <f>EJ46*VLOOKUP('Données projet'!$B$15,Paramètres!$A$1:$I$89,3,0)*VLOOKUP('Données projet'!$B$15,Paramètres!$A$1:$I$89,5,0)</f>
        <v>204.62831999999995</v>
      </c>
      <c r="EL46" s="14">
        <f t="shared" si="45"/>
        <v>50.759974072251445</v>
      </c>
      <c r="EM46" s="22">
        <f t="shared" si="19"/>
        <v>444.80127884250447</v>
      </c>
      <c r="EN46" s="62">
        <f t="shared" si="20"/>
        <v>694.94246030893646</v>
      </c>
      <c r="EO46" s="62">
        <f ca="1">AVERAGE(OFFSET($EN$3,0,0,'Données projet'!$E$15+1,1))-AVERAGE(OFFSET($H$3,0,0,'Données projet'!$E$15+1,1))</f>
        <v>450.93388191845378</v>
      </c>
      <c r="EP46" s="62">
        <f t="shared" si="46"/>
        <v>483.33635017129325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11.142857142857142</v>
      </c>
      <c r="FE46" s="13">
        <f>IF('Données projet'!$A$218&gt;35,FE45+FD46-FM45,IF(A46&lt;'Données projet'!$A$218,$FB$205^A46,IF(A46='Données projet'!$A$218,'Données projet'!$B$218,FE45+FD46-FM45)))</f>
        <v>218.85714285714278</v>
      </c>
      <c r="FF46" s="18">
        <f>FE46*VLOOKUP('Données projet'!$B$16,Paramètres!$A$1:$I$89,3,0)*VLOOKUP('Données projet'!$B$16,Paramètres!$A$1:$I$89,5,0)</f>
        <v>170.70857142857136</v>
      </c>
      <c r="FG46" s="14">
        <f t="shared" si="47"/>
        <v>43.248681576985376</v>
      </c>
      <c r="FH46" s="22">
        <f t="shared" si="22"/>
        <v>372.64221565134466</v>
      </c>
      <c r="FI46" s="62">
        <f t="shared" si="23"/>
        <v>622.78339711777676</v>
      </c>
      <c r="FJ46" s="62">
        <f ca="1">AVERAGE(OFFSET($FI$3,0,0,'Données projet'!$E$16+1,1))-AVERAGE(OFFSET($H$3,0,0,'Données projet'!$E$16+1,1))</f>
        <v>309.21625451786218</v>
      </c>
      <c r="FK46" s="62">
        <f t="shared" si="48"/>
        <v>302.59481222418219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9.8000000000000007</v>
      </c>
      <c r="N47" s="14">
        <f>IF('Données projet'!$A$36&gt;35,N46+M47-V46,IF(A47&lt;'Données projet'!$A$36,$K$205^A47,IF(A47='Données projet'!$A$36,'Données projet'!$B$36,N46+M47-V46)))</f>
        <v>232.20000000000005</v>
      </c>
      <c r="O47" s="14">
        <f>N47*VLOOKUP('Données projet'!$B$9,Paramètres!$A$1:$I$89,3,0)*VLOOKUP('Données projet'!$B$9,Paramètres!$A$1:$I$89,5,0)</f>
        <v>184.73832000000004</v>
      </c>
      <c r="P47" s="14">
        <f t="shared" si="33"/>
        <v>46.374775595471988</v>
      </c>
      <c r="Q47" s="22">
        <f t="shared" si="53"/>
        <v>402.52197482878046</v>
      </c>
      <c r="R47" s="62">
        <f t="shared" si="0"/>
        <v>653.41244356691789</v>
      </c>
      <c r="S47" s="62">
        <f ca="1">AVERAGE(OFFSET($R$3,0,0,'Données projet'!$E$9+1,1))-AVERAGE(OFFSET($H$3,0,0,'Données projet'!$E$9+1,1))</f>
        <v>394.70330963327166</v>
      </c>
      <c r="T47" s="62">
        <f t="shared" si="34"/>
        <v>424.06445894109982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>
        <f>VLOOKUP(A47,'Données projet'!$A$61:$I$81,2,0)</f>
        <v>230</v>
      </c>
      <c r="AG47" s="13">
        <f>VLOOKUP(A47,'Données projet'!$A$61:$I$81,9,0)</f>
        <v>11.142857142857142</v>
      </c>
      <c r="AH47" s="13">
        <f t="array" ref="AH47">INDEX(AG:AG,MIN(IF(ISNUMBER(AG47:AG243),ROW(AG47:AG243),"")))</f>
        <v>11.142857142857142</v>
      </c>
      <c r="AI47" s="14">
        <f>IF('Données projet'!$A$62&gt;35,AI46+AH47-AQ46,IF(A47&lt;'Données projet'!$A$62,$AF$205^A47,IF(A47='Données projet'!$A$62,'Données projet'!$B$62,AI46+AH47-AQ46)))</f>
        <v>229.99999999999991</v>
      </c>
      <c r="AJ47" s="14">
        <f>AI47*VLOOKUP('Données projet'!$B$10,Paramètres!$A$1:$I$89,3,0)*VLOOKUP('Données projet'!$B$10,Paramètres!$A$1:$I$89,5,0)</f>
        <v>186.57599999999996</v>
      </c>
      <c r="AK47" s="14">
        <f t="shared" si="35"/>
        <v>46.782155731694274</v>
      </c>
      <c r="AL47" s="22">
        <f t="shared" si="4"/>
        <v>406.43212123270081</v>
      </c>
      <c r="AM47" s="62">
        <f t="shared" si="5"/>
        <v>657.32258997083818</v>
      </c>
      <c r="AN47" s="62">
        <f ca="1">AVERAGE(OFFSET($AM$3,0,0,'Données projet'!$E$10+1,1))-AVERAGE(OFFSET($H$3,0,0,'Données projet'!$E$10+1,1))</f>
        <v>319.39055628111151</v>
      </c>
      <c r="AO47" s="62">
        <f t="shared" si="36"/>
        <v>312.22190035638084</v>
      </c>
      <c r="AP47" s="16">
        <f>IF(ISNA(VLOOKUP(A47,'Données projet'!$A$61:$I$81,3,0)),0,VLOOKUP(A47,'Données projet'!$A$61:$I$81,3,0))</f>
        <v>5</v>
      </c>
      <c r="AQ47" s="16">
        <f>IF(ISNA(VLOOKUP(A47,'Données projet'!$A$61:$I$81,4,0)),0,VLOOKUP(A47,'Données projet'!$A$61:$I$81,4,0))</f>
        <v>43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6.6</v>
      </c>
      <c r="BD47" s="13">
        <f>IF('Données projet'!$A$88&gt;35,BD46+BC47-BL46,IF(A47&lt;'Données projet'!$A$88,$BA$205^A47,IF(A47='Données projet'!$A$88,'Données projet'!$B$88,BD46+BC47-BL46)))</f>
        <v>158.39999999999992</v>
      </c>
      <c r="BE47" s="14">
        <f>BD47*VLOOKUP('Données projet'!$B$11,Paramètres!$A$1:$I$89,3,0)*VLOOKUP('Données projet'!$B$11,Paramètres!$A$1:$I$89,5,0)</f>
        <v>116.13887999999994</v>
      </c>
      <c r="BF47" s="14">
        <f t="shared" si="37"/>
        <v>30.772749522187699</v>
      </c>
      <c r="BG47" s="22">
        <f t="shared" si="7"/>
        <v>255.87108808447678</v>
      </c>
      <c r="BH47" s="62">
        <f t="shared" si="8"/>
        <v>506.76155682261424</v>
      </c>
      <c r="BI47" s="62">
        <f ca="1">AVERAGE(OFFSET($BH$3,0,0,'Données projet'!$E$11+1,1))-AVERAGE(OFFSET($H$3,0,0,'Données projet'!$E$11+1,1))</f>
        <v>257.906524944431</v>
      </c>
      <c r="BJ47" s="62">
        <f t="shared" si="38"/>
        <v>274.70390601173563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7.6</v>
      </c>
      <c r="BY47" s="13">
        <f>IF('Données projet'!$A$114&gt;35,BY46+BX47-CG46,IF(A47&lt;'Données projet'!$A$114,$BV$205^A47,IF(A47='Données projet'!$A$114,'Données projet'!$B$114,BY46+BX47-CG46)))</f>
        <v>182.4</v>
      </c>
      <c r="BZ47" s="14">
        <f>BY47*VLOOKUP('Données projet'!$B$12,Paramètres!$A$1:$I$89,3,0)*VLOOKUP('Données projet'!$B$12,Paramètres!$A$1:$I$89,5,0)</f>
        <v>147.96288000000001</v>
      </c>
      <c r="CA47" s="14">
        <f t="shared" si="39"/>
        <v>38.115275017059226</v>
      </c>
      <c r="CB47" s="22">
        <f t="shared" si="10"/>
        <v>324.0861199880448</v>
      </c>
      <c r="CC47" s="62">
        <f t="shared" si="11"/>
        <v>574.97658872618217</v>
      </c>
      <c r="CD47" s="62">
        <f ca="1">AVERAGE(OFFSET($CC$3,0,0,'Données projet'!$E$12+1,1))-AVERAGE(OFFSET($H$3,0,0,'Données projet'!$E$12+1,1))</f>
        <v>272.69564942740931</v>
      </c>
      <c r="CE47" s="62">
        <f t="shared" si="40"/>
        <v>316.57989180609252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7.1794871794871824</v>
      </c>
      <c r="CT47" s="13">
        <f>IF('Données projet'!$A$140&gt;35,CT46+CS47-DB46,IF(A47&lt;'Données projet'!$A$140,$CQ$205^A47,IF(A47='Données projet'!$A$140,'Données projet'!$B$140,CT46+CS47-DB46)))</f>
        <v>196.02564102564108</v>
      </c>
      <c r="CU47" s="18">
        <f>CT47*VLOOKUP('Données projet'!$B$13,Paramètres!$A$1:$I$89,3,0)*VLOOKUP('Données projet'!$B$13,Paramètres!$A$1:$I$89,5,0)</f>
        <v>186.53800000000007</v>
      </c>
      <c r="CV47" s="14">
        <f t="shared" si="41"/>
        <v>46.77373656895319</v>
      </c>
      <c r="CW47" s="22">
        <f t="shared" si="13"/>
        <v>406.35127452426019</v>
      </c>
      <c r="CX47" s="62">
        <f t="shared" si="14"/>
        <v>657.24174326239768</v>
      </c>
      <c r="CY47" s="62">
        <f ca="1">AVERAGE(OFFSET($CX$3,0,0,'Données projet'!$E$13+1,1))-AVERAGE(OFFSET($H$3,0,0,'Données projet'!$E$13+1,1))</f>
        <v>491.87038198656927</v>
      </c>
      <c r="CZ47" s="62">
        <f t="shared" si="42"/>
        <v>406.49261644949559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11.4</v>
      </c>
      <c r="DO47" s="13">
        <f>IF('Données projet'!$A$166&gt;35,DO46+DN47-DW46,IF(A47&lt;'Données projet'!$A$166,$DL$205^A47,IF(A47='Données projet'!$A$166,'Données projet'!$B$166,DO46+DN47-DW46)))</f>
        <v>220.60000000000005</v>
      </c>
      <c r="DP47" s="18">
        <f>DO47*VLOOKUP('Données projet'!$B$14,Paramètres!$A$1:$I$89,3,0)*VLOOKUP('Données projet'!$B$14,Paramètres!$A$1:$I$89,5,0)</f>
        <v>213.36432000000005</v>
      </c>
      <c r="DQ47" s="14">
        <f t="shared" si="43"/>
        <v>52.670092827991724</v>
      </c>
      <c r="DR47" s="22">
        <f t="shared" si="16"/>
        <v>463.34326900875232</v>
      </c>
      <c r="DS47" s="62">
        <f t="shared" si="17"/>
        <v>714.2337377468898</v>
      </c>
      <c r="DT47" s="62">
        <f ca="1">AVERAGE(OFFSET($DS$3,0,0,'Données projet'!$E$14+1,1))-AVERAGE(OFFSET($H$3,0,0,'Données projet'!$E$14+1,1))</f>
        <v>603.52431522262032</v>
      </c>
      <c r="DU47" s="62">
        <f t="shared" si="44"/>
        <v>313.56299786481338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11.4</v>
      </c>
      <c r="EJ47" s="13">
        <f>IF('Données projet'!$A$192&gt;35,EJ46+EI47-ER46,IF(A47&lt;'Données projet'!$A$192,$EG$205^A47,IF(A47='Données projet'!$A$192,'Données projet'!$B$192,EJ46+EI47-ER46)))</f>
        <v>268.59999999999991</v>
      </c>
      <c r="EK47" s="18">
        <f>EJ47*VLOOKUP('Données projet'!$B$15,Paramètres!$A$1:$I$89,3,0)*VLOOKUP('Données projet'!$B$15,Paramètres!$A$1:$I$89,5,0)</f>
        <v>213.69815999999994</v>
      </c>
      <c r="EL47" s="14">
        <f t="shared" si="45"/>
        <v>52.742903801874164</v>
      </c>
      <c r="EM47" s="22">
        <f t="shared" si="19"/>
        <v>464.05151945493071</v>
      </c>
      <c r="EN47" s="62">
        <f t="shared" si="20"/>
        <v>714.94198819306814</v>
      </c>
      <c r="EO47" s="62">
        <f ca="1">AVERAGE(OFFSET($EN$3,0,0,'Données projet'!$E$15+1,1))-AVERAGE(OFFSET($H$3,0,0,'Données projet'!$E$15+1,1))</f>
        <v>450.93388191845378</v>
      </c>
      <c r="EP47" s="62">
        <f t="shared" si="46"/>
        <v>483.33635017129325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>
        <f>VLOOKUP(A47,'Données projet'!$A$217:$I$237,2,0)</f>
        <v>230</v>
      </c>
      <c r="FC47" s="13">
        <f>VLOOKUP(A47,'Données projet'!$A$217:$I$237,9,0)</f>
        <v>11.142857142857142</v>
      </c>
      <c r="FD47" s="13">
        <f t="array" ref="FD47">INDEX(FC:FC,MIN(IF(ISNUMBER(FC47:FC243),ROW(FC47:FC243),"")))</f>
        <v>11.142857142857142</v>
      </c>
      <c r="FE47" s="13">
        <f>IF('Données projet'!$A$218&gt;35,FE46+FD47-FM46,IF(A47&lt;'Données projet'!$A$218,$FB$205^A47,IF(A47='Données projet'!$A$218,'Données projet'!$B$218,FE46+FD47-FM46)))</f>
        <v>229.99999999999991</v>
      </c>
      <c r="FF47" s="18">
        <f>FE47*VLOOKUP('Données projet'!$B$16,Paramètres!$A$1:$I$89,3,0)*VLOOKUP('Données projet'!$B$16,Paramètres!$A$1:$I$89,5,0)</f>
        <v>179.39999999999995</v>
      </c>
      <c r="FG47" s="14">
        <f t="shared" si="47"/>
        <v>45.188671291872232</v>
      </c>
      <c r="FH47" s="22">
        <f t="shared" si="22"/>
        <v>391.15860250001066</v>
      </c>
      <c r="FI47" s="62">
        <f t="shared" si="23"/>
        <v>642.04907123814814</v>
      </c>
      <c r="FJ47" s="62">
        <f ca="1">AVERAGE(OFFSET($FI$3,0,0,'Données projet'!$E$16+1,1))-AVERAGE(OFFSET($H$3,0,0,'Données projet'!$E$16+1,1))</f>
        <v>309.21625451786218</v>
      </c>
      <c r="FK47" s="62">
        <f t="shared" si="48"/>
        <v>302.59481222418219</v>
      </c>
      <c r="FL47" s="16">
        <f>IF(ISNA(VLOOKUP(A47,'Données projet'!$A$217:$I$237,3,0)),0,VLOOKUP(A47,'Données projet'!$A$217:$I$237,3,0))</f>
        <v>5</v>
      </c>
      <c r="FM47" s="16">
        <f>IF(ISNA(VLOOKUP(A47,'Données projet'!$A$217:$I$237,4,0)),0,VLOOKUP(A47,'Données projet'!$A$217:$I$237,4,0))</f>
        <v>43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242</v>
      </c>
      <c r="L48" s="13">
        <f>VLOOKUP(A48,'Données projet'!$A$35:$I$55,9,0)</f>
        <v>9.8000000000000007</v>
      </c>
      <c r="M48" s="13">
        <f t="array" ref="M48">INDEX(L:L,MIN(IF(ISNUMBER(L48:L244),ROW(L48:L244),"")))</f>
        <v>9.8000000000000007</v>
      </c>
      <c r="N48" s="14">
        <f>IF('Données projet'!$A$36&gt;35,N47+M48-V47,IF(A48&lt;'Données projet'!$A$36,$K$205^A48,IF(A48='Données projet'!$A$36,'Données projet'!$B$36,N47+M48-V47)))</f>
        <v>242.00000000000006</v>
      </c>
      <c r="O48" s="14">
        <f>N48*VLOOKUP('Données projet'!$B$9,Paramètres!$A$1:$I$89,3,0)*VLOOKUP('Données projet'!$B$9,Paramètres!$A$1:$I$89,5,0)</f>
        <v>192.53520000000006</v>
      </c>
      <c r="P48" s="14">
        <f t="shared" si="33"/>
        <v>48.100016456123079</v>
      </c>
      <c r="Q48" s="22">
        <f t="shared" si="53"/>
        <v>419.10633532774779</v>
      </c>
      <c r="R48" s="62">
        <f t="shared" si="0"/>
        <v>670.73309287858194</v>
      </c>
      <c r="S48" s="62">
        <f ca="1">AVERAGE(OFFSET($R$3,0,0,'Données projet'!$E$9+1,1))-AVERAGE(OFFSET($H$3,0,0,'Données projet'!$E$9+1,1))</f>
        <v>394.70330963327166</v>
      </c>
      <c r="T48" s="62">
        <f t="shared" si="34"/>
        <v>424.06445894109982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10.375</v>
      </c>
      <c r="AI48" s="14">
        <f>IF('Données projet'!$A$62&gt;35,AI47+AH48-AQ47,IF(A48&lt;'Données projet'!$A$62,$AF$205^A48,IF(A48='Données projet'!$A$62,'Données projet'!$B$62,AI47+AH48-AQ47)))</f>
        <v>197.37499999999991</v>
      </c>
      <c r="AJ48" s="14">
        <f>AI48*VLOOKUP('Données projet'!$B$10,Paramètres!$A$1:$I$89,3,0)*VLOOKUP('Données projet'!$B$10,Paramètres!$A$1:$I$89,5,0)</f>
        <v>160.11059999999995</v>
      </c>
      <c r="AK48" s="14">
        <f t="shared" si="35"/>
        <v>40.867460542073509</v>
      </c>
      <c r="AL48" s="22">
        <f t="shared" si="4"/>
        <v>350.0367887774446</v>
      </c>
      <c r="AM48" s="62">
        <f t="shared" si="5"/>
        <v>601.6635463282787</v>
      </c>
      <c r="AN48" s="62">
        <f ca="1">AVERAGE(OFFSET($AM$3,0,0,'Données projet'!$E$10+1,1))-AVERAGE(OFFSET($H$3,0,0,'Données projet'!$E$10+1,1))</f>
        <v>319.39055628111151</v>
      </c>
      <c r="AO48" s="62">
        <f t="shared" si="36"/>
        <v>312.22190035638084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165</v>
      </c>
      <c r="BB48" s="13">
        <f>VLOOKUP(A48,'Données projet'!$A$87:$I$107,9,0)</f>
        <v>6.6</v>
      </c>
      <c r="BC48" s="13">
        <f t="array" ref="BC48">INDEX(BB:BB,MIN(IF(ISNUMBER(BB48:BB244),ROW(BB48:BB244),"")))</f>
        <v>6.6</v>
      </c>
      <c r="BD48" s="13">
        <f>IF('Données projet'!$A$88&gt;35,BD47+BC48-BL47,IF(A48&lt;'Données projet'!$A$88,$BA$205^A48,IF(A48='Données projet'!$A$88,'Données projet'!$B$88,BD47+BC48-BL47)))</f>
        <v>164.99999999999991</v>
      </c>
      <c r="BE48" s="14">
        <f>BD48*VLOOKUP('Données projet'!$B$11,Paramètres!$A$1:$I$89,3,0)*VLOOKUP('Données projet'!$B$11,Paramètres!$A$1:$I$89,5,0)</f>
        <v>120.97799999999994</v>
      </c>
      <c r="BF48" s="14">
        <f t="shared" si="37"/>
        <v>31.902993864447502</v>
      </c>
      <c r="BG48" s="22">
        <f t="shared" si="7"/>
        <v>266.2677309805793</v>
      </c>
      <c r="BH48" s="62">
        <f t="shared" si="8"/>
        <v>517.89448853141346</v>
      </c>
      <c r="BI48" s="62">
        <f ca="1">AVERAGE(OFFSET($BH$3,0,0,'Données projet'!$E$11+1,1))-AVERAGE(OFFSET($H$3,0,0,'Données projet'!$E$11+1,1))</f>
        <v>257.906524944431</v>
      </c>
      <c r="BJ48" s="62">
        <f t="shared" si="38"/>
        <v>274.70390601173563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190</v>
      </c>
      <c r="BW48" s="13">
        <f>VLOOKUP(A48,'Données projet'!$A$113:$I$133,9,0)</f>
        <v>7.6</v>
      </c>
      <c r="BX48" s="13">
        <f t="array" ref="BX48">INDEX(BW:BW,MIN(IF(ISNUMBER(BW48:BW244),ROW(BW48:BW244),"")))</f>
        <v>7.6</v>
      </c>
      <c r="BY48" s="13">
        <f>IF('Données projet'!$A$114&gt;35,BY47+BX48-CG47,IF(A48&lt;'Données projet'!$A$114,$BV$205^A48,IF(A48='Données projet'!$A$114,'Données projet'!$B$114,BY47+BX48-CG47)))</f>
        <v>190</v>
      </c>
      <c r="BZ48" s="14">
        <f>BY48*VLOOKUP('Données projet'!$B$12,Paramètres!$A$1:$I$89,3,0)*VLOOKUP('Données projet'!$B$12,Paramètres!$A$1:$I$89,5,0)</f>
        <v>154.12800000000001</v>
      </c>
      <c r="CA48" s="14">
        <f t="shared" si="39"/>
        <v>39.515201075361155</v>
      </c>
      <c r="CB48" s="22">
        <f t="shared" si="10"/>
        <v>337.26190853958735</v>
      </c>
      <c r="CC48" s="62">
        <f t="shared" si="11"/>
        <v>588.88866609042145</v>
      </c>
      <c r="CD48" s="62">
        <f ca="1">AVERAGE(OFFSET($CC$3,0,0,'Données projet'!$E$12+1,1))-AVERAGE(OFFSET($H$3,0,0,'Données projet'!$E$12+1,1))</f>
        <v>272.69564942740931</v>
      </c>
      <c r="CE48" s="62">
        <f t="shared" si="40"/>
        <v>316.57989180609252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203.2051282051282</v>
      </c>
      <c r="CR48" s="13">
        <f>VLOOKUP(A48,'Données projet'!$A$139:$I$159,9,0)</f>
        <v>7.1794871794871824</v>
      </c>
      <c r="CS48" s="13">
        <f t="array" ref="CS48">INDEX(CR:CR,MIN(IF(ISNUMBER(CR48:CR244),ROW(CR48:CR244),"")))</f>
        <v>7.1794871794871824</v>
      </c>
      <c r="CT48" s="13">
        <f>IF('Données projet'!$A$140&gt;35,CT47+CS48-DB47,IF(A48&lt;'Données projet'!$A$140,$CQ$205^A48,IF(A48='Données projet'!$A$140,'Données projet'!$B$140,CT47+CS48-DB47)))</f>
        <v>203.20512820512826</v>
      </c>
      <c r="CU48" s="18">
        <f>CT48*VLOOKUP('Données projet'!$B$13,Paramètres!$A$1:$I$89,3,0)*VLOOKUP('Données projet'!$B$13,Paramètres!$A$1:$I$89,5,0)</f>
        <v>193.37000000000006</v>
      </c>
      <c r="CV48" s="14">
        <f t="shared" si="41"/>
        <v>48.284247919834065</v>
      </c>
      <c r="CW48" s="22">
        <f t="shared" si="13"/>
        <v>420.88114846037774</v>
      </c>
      <c r="CX48" s="62">
        <f t="shared" si="14"/>
        <v>672.50790601121184</v>
      </c>
      <c r="CY48" s="62">
        <f ca="1">AVERAGE(OFFSET($CX$3,0,0,'Données projet'!$E$13+1,1))-AVERAGE(OFFSET($H$3,0,0,'Données projet'!$E$13+1,1))</f>
        <v>491.87038198656927</v>
      </c>
      <c r="CZ48" s="62">
        <f t="shared" si="42"/>
        <v>406.49261644949559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232</v>
      </c>
      <c r="DM48" s="13">
        <f>VLOOKUP(A48,'Données projet'!$A$165:$I$185,9,0)</f>
        <v>11.4</v>
      </c>
      <c r="DN48" s="13">
        <f t="array" ref="DN48">INDEX(DM:DM,MIN(IF(ISNUMBER(DM48:DM244),ROW(DM48:DM244),"")))</f>
        <v>11.4</v>
      </c>
      <c r="DO48" s="13">
        <f>IF('Données projet'!$A$166&gt;35,DO47+DN48-DW47,IF(A48&lt;'Données projet'!$A$166,$DL$205^A48,IF(A48='Données projet'!$A$166,'Données projet'!$B$166,DO47+DN48-DW47)))</f>
        <v>232.00000000000006</v>
      </c>
      <c r="DP48" s="18">
        <f>DO48*VLOOKUP('Données projet'!$B$14,Paramètres!$A$1:$I$89,3,0)*VLOOKUP('Données projet'!$B$14,Paramètres!$A$1:$I$89,5,0)</f>
        <v>224.39040000000006</v>
      </c>
      <c r="DQ48" s="14">
        <f t="shared" si="43"/>
        <v>55.068017311015858</v>
      </c>
      <c r="DR48" s="22">
        <f t="shared" si="16"/>
        <v>486.72341015001939</v>
      </c>
      <c r="DS48" s="62">
        <f t="shared" si="17"/>
        <v>738.35016770085349</v>
      </c>
      <c r="DT48" s="62">
        <f ca="1">AVERAGE(OFFSET($DS$3,0,0,'Données projet'!$E$14+1,1))-AVERAGE(OFFSET($H$3,0,0,'Données projet'!$E$14+1,1))</f>
        <v>603.52431522262032</v>
      </c>
      <c r="DU48" s="62">
        <f t="shared" si="44"/>
        <v>313.56299786481338</v>
      </c>
      <c r="DV48" s="16">
        <f>IF(ISNA(VLOOKUP(A48,'Données projet'!$A$165:$I$185,3,0)),0,VLOOKUP(A48,'Données projet'!$A$165:$I$185,3,0))</f>
        <v>3</v>
      </c>
      <c r="DW48" s="16">
        <f>IF(ISNA(VLOOKUP(A48,'Données projet'!$A$165:$I$185,4,0)),0,VLOOKUP(A48,'Données projet'!$A$165:$I$185,4,0))</f>
        <v>56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280</v>
      </c>
      <c r="EH48" s="13">
        <f>VLOOKUP(A48,'Données projet'!$A$191:$I$211,9,0)</f>
        <v>11.4</v>
      </c>
      <c r="EI48" s="13">
        <f t="array" ref="EI48">INDEX(EH:EH,MIN(IF(ISNUMBER(EH48:EH244),ROW(EH48:EH244),"")))</f>
        <v>11.4</v>
      </c>
      <c r="EJ48" s="13">
        <f>IF('Données projet'!$A$192&gt;35,EJ47+EI48-ER47,IF(A48&lt;'Données projet'!$A$192,$EG$205^A48,IF(A48='Données projet'!$A$192,'Données projet'!$B$192,EJ47+EI48-ER47)))</f>
        <v>279.99999999999989</v>
      </c>
      <c r="EK48" s="18">
        <f>EJ48*VLOOKUP('Données projet'!$B$15,Paramètres!$A$1:$I$89,3,0)*VLOOKUP('Données projet'!$B$15,Paramètres!$A$1:$I$89,5,0)</f>
        <v>222.76799999999994</v>
      </c>
      <c r="EL48" s="14">
        <f t="shared" si="45"/>
        <v>54.716058356609508</v>
      </c>
      <c r="EM48" s="22">
        <f t="shared" si="19"/>
        <v>483.28473497109485</v>
      </c>
      <c r="EN48" s="62">
        <f t="shared" si="20"/>
        <v>734.91149252192895</v>
      </c>
      <c r="EO48" s="62">
        <f ca="1">AVERAGE(OFFSET($EN$3,0,0,'Données projet'!$E$15+1,1))-AVERAGE(OFFSET($H$3,0,0,'Données projet'!$E$15+1,1))</f>
        <v>450.93388191845378</v>
      </c>
      <c r="EP48" s="62">
        <f t="shared" si="46"/>
        <v>483.33635017129325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10.375</v>
      </c>
      <c r="FE48" s="13">
        <f>IF('Données projet'!$A$218&gt;35,FE47+FD48-FM47,IF(A48&lt;'Données projet'!$A$218,$FB$205^A48,IF(A48='Données projet'!$A$218,'Données projet'!$B$218,FE47+FD48-FM47)))</f>
        <v>197.37499999999991</v>
      </c>
      <c r="FF48" s="18">
        <f>FE48*VLOOKUP('Données projet'!$B$16,Paramètres!$A$1:$I$89,3,0)*VLOOKUP('Données projet'!$B$16,Paramètres!$A$1:$I$89,5,0)</f>
        <v>153.95249999999993</v>
      </c>
      <c r="FG48" s="14">
        <f t="shared" si="47"/>
        <v>39.475441267837361</v>
      </c>
      <c r="FH48" s="22">
        <f t="shared" si="22"/>
        <v>336.88699770814992</v>
      </c>
      <c r="FI48" s="62">
        <f t="shared" si="23"/>
        <v>588.51375525898402</v>
      </c>
      <c r="FJ48" s="62">
        <f ca="1">AVERAGE(OFFSET($FI$3,0,0,'Données projet'!$E$16+1,1))-AVERAGE(OFFSET($H$3,0,0,'Données projet'!$E$16+1,1))</f>
        <v>309.21625451786218</v>
      </c>
      <c r="FK48" s="62">
        <f t="shared" si="48"/>
        <v>302.59481222418219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8.6</v>
      </c>
      <c r="N49" s="14">
        <f>IF('Données projet'!$A$36&gt;35,N48+M49-V48,IF(A49&lt;'Données projet'!$A$36,$K$205^A49,IF(A49='Données projet'!$A$36,'Données projet'!$B$36,N48+M49-V48)))</f>
        <v>250.60000000000005</v>
      </c>
      <c r="O49" s="14">
        <f>N49*VLOOKUP('Données projet'!$B$9,Paramètres!$A$1:$I$89,3,0)*VLOOKUP('Données projet'!$B$9,Paramètres!$A$1:$I$89,5,0)</f>
        <v>199.37736000000004</v>
      </c>
      <c r="P49" s="14">
        <f t="shared" si="33"/>
        <v>49.607305476717805</v>
      </c>
      <c r="Q49" s="22">
        <f t="shared" si="53"/>
        <v>433.64829237195022</v>
      </c>
      <c r="R49" s="62">
        <f t="shared" si="0"/>
        <v>685.9985657706759</v>
      </c>
      <c r="S49" s="62">
        <f ca="1">AVERAGE(OFFSET($R$3,0,0,'Données projet'!$E$9+1,1))-AVERAGE(OFFSET($H$3,0,0,'Données projet'!$E$9+1,1))</f>
        <v>394.70330963327166</v>
      </c>
      <c r="T49" s="62">
        <f t="shared" si="34"/>
        <v>424.06445894109982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10.375</v>
      </c>
      <c r="AI49" s="14">
        <f>IF('Données projet'!$A$62&gt;35,AI48+AH49-AQ48,IF(A49&lt;'Données projet'!$A$62,$AF$205^A49,IF(A49='Données projet'!$A$62,'Données projet'!$B$62,AI48+AH49-AQ48)))</f>
        <v>207.74999999999991</v>
      </c>
      <c r="AJ49" s="14">
        <f>AI49*VLOOKUP('Données projet'!$B$10,Paramètres!$A$1:$I$89,3,0)*VLOOKUP('Données projet'!$B$10,Paramètres!$A$1:$I$89,5,0)</f>
        <v>168.52679999999995</v>
      </c>
      <c r="AK49" s="14">
        <f t="shared" si="35"/>
        <v>42.759908842532369</v>
      </c>
      <c r="AL49" s="22">
        <f t="shared" si="4"/>
        <v>367.99101790074377</v>
      </c>
      <c r="AM49" s="62">
        <f t="shared" si="5"/>
        <v>620.34129129946939</v>
      </c>
      <c r="AN49" s="62">
        <f ca="1">AVERAGE(OFFSET($AM$3,0,0,'Données projet'!$E$10+1,1))-AVERAGE(OFFSET($H$3,0,0,'Données projet'!$E$10+1,1))</f>
        <v>319.39055628111151</v>
      </c>
      <c r="AO49" s="62">
        <f t="shared" si="36"/>
        <v>312.22190035638084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5.4</v>
      </c>
      <c r="BD49" s="13">
        <f>IF('Données projet'!$A$88&gt;35,BD48+BC49-BL48,IF(A49&lt;'Données projet'!$A$88,$BA$205^A49,IF(A49='Données projet'!$A$88,'Données projet'!$B$88,BD48+BC49-BL48)))</f>
        <v>170.39999999999992</v>
      </c>
      <c r="BE49" s="14">
        <f>BD49*VLOOKUP('Données projet'!$B$11,Paramètres!$A$1:$I$89,3,0)*VLOOKUP('Données projet'!$B$11,Paramètres!$A$1:$I$89,5,0)</f>
        <v>124.93727999999993</v>
      </c>
      <c r="BF49" s="14">
        <f t="shared" si="37"/>
        <v>32.823822643816143</v>
      </c>
      <c r="BG49" s="22">
        <f t="shared" si="7"/>
        <v>274.76725377131294</v>
      </c>
      <c r="BH49" s="62">
        <f t="shared" si="8"/>
        <v>527.11752717003856</v>
      </c>
      <c r="BI49" s="62">
        <f ca="1">AVERAGE(OFFSET($BH$3,0,0,'Données projet'!$E$11+1,1))-AVERAGE(OFFSET($H$3,0,0,'Données projet'!$E$11+1,1))</f>
        <v>257.906524944431</v>
      </c>
      <c r="BJ49" s="62">
        <f t="shared" si="38"/>
        <v>274.70390601173563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7.6</v>
      </c>
      <c r="BY49" s="13">
        <f>IF('Données projet'!$A$114&gt;35,BY48+BX49-CG48,IF(A49&lt;'Données projet'!$A$114,$BV$205^A49,IF(A49='Données projet'!$A$114,'Données projet'!$B$114,BY48+BX49-CG48)))</f>
        <v>197.6</v>
      </c>
      <c r="BZ49" s="14">
        <f>BY49*VLOOKUP('Données projet'!$B$12,Paramètres!$A$1:$I$89,3,0)*VLOOKUP('Données projet'!$B$12,Paramètres!$A$1:$I$89,5,0)</f>
        <v>160.29311999999999</v>
      </c>
      <c r="CA49" s="14">
        <f t="shared" si="39"/>
        <v>40.908622396455648</v>
      </c>
      <c r="CB49" s="22">
        <f t="shared" si="10"/>
        <v>350.42636800716019</v>
      </c>
      <c r="CC49" s="62">
        <f t="shared" si="11"/>
        <v>602.77664140588581</v>
      </c>
      <c r="CD49" s="62">
        <f ca="1">AVERAGE(OFFSET($CC$3,0,0,'Données projet'!$E$12+1,1))-AVERAGE(OFFSET($H$3,0,0,'Données projet'!$E$12+1,1))</f>
        <v>272.69564942740931</v>
      </c>
      <c r="CE49" s="62">
        <f t="shared" si="40"/>
        <v>316.57989180609252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6.6666666666666625</v>
      </c>
      <c r="CT49" s="13">
        <f>IF('Données projet'!$A$140&gt;35,CT48+CS49-DB48,IF(A49&lt;'Données projet'!$A$140,$CQ$205^A49,IF(A49='Données projet'!$A$140,'Données projet'!$B$140,CT48+CS49-DB48)))</f>
        <v>209.87179487179492</v>
      </c>
      <c r="CU49" s="18">
        <f>CT49*VLOOKUP('Données projet'!$B$13,Paramètres!$A$1:$I$89,3,0)*VLOOKUP('Données projet'!$B$13,Paramètres!$A$1:$I$89,5,0)</f>
        <v>199.71400000000006</v>
      </c>
      <c r="CV49" s="14">
        <f t="shared" si="41"/>
        <v>49.681308347857325</v>
      </c>
      <c r="CW49" s="22">
        <f t="shared" si="13"/>
        <v>434.36349537251823</v>
      </c>
      <c r="CX49" s="62">
        <f t="shared" si="14"/>
        <v>686.71376877124385</v>
      </c>
      <c r="CY49" s="62">
        <f ca="1">AVERAGE(OFFSET($CX$3,0,0,'Données projet'!$E$13+1,1))-AVERAGE(OFFSET($H$3,0,0,'Données projet'!$E$13+1,1))</f>
        <v>491.87038198656927</v>
      </c>
      <c r="CZ49" s="62">
        <f t="shared" si="42"/>
        <v>406.49261644949559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11</v>
      </c>
      <c r="DO49" s="13">
        <f>IF('Données projet'!$A$166&gt;35,DO48+DN49-DW48,IF(A49&lt;'Données projet'!$A$166,$DL$205^A49,IF(A49='Données projet'!$A$166,'Données projet'!$B$166,DO48+DN49-DW48)))</f>
        <v>187.00000000000006</v>
      </c>
      <c r="DP49" s="18">
        <f>DO49*VLOOKUP('Données projet'!$B$14,Paramètres!$A$1:$I$89,3,0)*VLOOKUP('Données projet'!$B$14,Paramètres!$A$1:$I$89,5,0)</f>
        <v>180.86640000000006</v>
      </c>
      <c r="DQ49" s="14">
        <f t="shared" si="43"/>
        <v>45.514890302102152</v>
      </c>
      <c r="DR49" s="22">
        <f t="shared" si="16"/>
        <v>394.28074727616132</v>
      </c>
      <c r="DS49" s="62">
        <f t="shared" si="17"/>
        <v>646.63102067488694</v>
      </c>
      <c r="DT49" s="62">
        <f ca="1">AVERAGE(OFFSET($DS$3,0,0,'Données projet'!$E$14+1,1))-AVERAGE(OFFSET($H$3,0,0,'Données projet'!$E$14+1,1))</f>
        <v>603.52431522262032</v>
      </c>
      <c r="DU49" s="62">
        <f t="shared" si="44"/>
        <v>313.56299786481338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9.8000000000000007</v>
      </c>
      <c r="EJ49" s="13">
        <f>IF('Données projet'!$A$192&gt;35,EJ48+EI49-ER48,IF(A49&lt;'Données projet'!$A$192,$EG$205^A49,IF(A49='Données projet'!$A$192,'Données projet'!$B$192,EJ48+EI49-ER48)))</f>
        <v>289.7999999999999</v>
      </c>
      <c r="EK49" s="18">
        <f>EJ49*VLOOKUP('Données projet'!$B$15,Paramètres!$A$1:$I$89,3,0)*VLOOKUP('Données projet'!$B$15,Paramètres!$A$1:$I$89,5,0)</f>
        <v>230.56487999999993</v>
      </c>
      <c r="EL49" s="14">
        <f t="shared" si="45"/>
        <v>56.404804351341944</v>
      </c>
      <c r="EM49" s="22">
        <f t="shared" si="19"/>
        <v>499.80553357858707</v>
      </c>
      <c r="EN49" s="62">
        <f t="shared" si="20"/>
        <v>752.15580697731275</v>
      </c>
      <c r="EO49" s="62">
        <f ca="1">AVERAGE(OFFSET($EN$3,0,0,'Données projet'!$E$15+1,1))-AVERAGE(OFFSET($H$3,0,0,'Données projet'!$E$15+1,1))</f>
        <v>450.93388191845378</v>
      </c>
      <c r="EP49" s="62">
        <f t="shared" si="46"/>
        <v>483.33635017129325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10.375</v>
      </c>
      <c r="FE49" s="13">
        <f>IF('Données projet'!$A$218&gt;35,FE48+FD49-FM48,IF(A49&lt;'Données projet'!$A$218,$FB$205^A49,IF(A49='Données projet'!$A$218,'Données projet'!$B$218,FE48+FD49-FM48)))</f>
        <v>207.74999999999991</v>
      </c>
      <c r="FF49" s="18">
        <f>FE49*VLOOKUP('Données projet'!$B$16,Paramètres!$A$1:$I$89,3,0)*VLOOKUP('Données projet'!$B$16,Paramètres!$A$1:$I$89,5,0)</f>
        <v>162.04499999999993</v>
      </c>
      <c r="FG49" s="14">
        <f t="shared" si="47"/>
        <v>41.303429372463391</v>
      </c>
      <c r="FH49" s="22">
        <f t="shared" si="22"/>
        <v>354.16518115704025</v>
      </c>
      <c r="FI49" s="62">
        <f t="shared" si="23"/>
        <v>606.51545455576593</v>
      </c>
      <c r="FJ49" s="62">
        <f ca="1">AVERAGE(OFFSET($FI$3,0,0,'Données projet'!$E$16+1,1))-AVERAGE(OFFSET($H$3,0,0,'Données projet'!$E$16+1,1))</f>
        <v>309.21625451786218</v>
      </c>
      <c r="FK49" s="62">
        <f t="shared" si="48"/>
        <v>302.59481222418219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8.6</v>
      </c>
      <c r="N50" s="14">
        <f>IF('Données projet'!$A$36&gt;35,N49+M50-V49,IF(A50&lt;'Données projet'!$A$36,$K$205^A50,IF(A50='Données projet'!$A$36,'Données projet'!$B$36,N49+M50-V49)))</f>
        <v>259.20000000000005</v>
      </c>
      <c r="O50" s="14">
        <f>N50*VLOOKUP('Données projet'!$B$9,Paramètres!$A$1:$I$89,3,0)*VLOOKUP('Données projet'!$B$9,Paramètres!$A$1:$I$89,5,0)</f>
        <v>206.21952000000007</v>
      </c>
      <c r="P50" s="14">
        <f t="shared" si="33"/>
        <v>51.108584284640322</v>
      </c>
      <c r="Q50" s="22">
        <f t="shared" si="53"/>
        <v>448.17978162908202</v>
      </c>
      <c r="R50" s="62">
        <f t="shared" si="0"/>
        <v>701.24101949327746</v>
      </c>
      <c r="S50" s="62">
        <f ca="1">AVERAGE(OFFSET($R$3,0,0,'Données projet'!$E$9+1,1))-AVERAGE(OFFSET($H$3,0,0,'Données projet'!$E$9+1,1))</f>
        <v>394.70330963327166</v>
      </c>
      <c r="T50" s="62">
        <f t="shared" si="34"/>
        <v>424.06445894109982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10.375</v>
      </c>
      <c r="AI50" s="14">
        <f>IF('Données projet'!$A$62&gt;35,AI49+AH50-AQ49,IF(A50&lt;'Données projet'!$A$62,$AF$205^A50,IF(A50='Données projet'!$A$62,'Données projet'!$B$62,AI49+AH50-AQ49)))</f>
        <v>218.12499999999991</v>
      </c>
      <c r="AJ50" s="14">
        <f>AI50*VLOOKUP('Données projet'!$B$10,Paramètres!$A$1:$I$89,3,0)*VLOOKUP('Données projet'!$B$10,Paramètres!$A$1:$I$89,5,0)</f>
        <v>176.94299999999993</v>
      </c>
      <c r="AK50" s="14">
        <f t="shared" si="35"/>
        <v>44.641383444033245</v>
      </c>
      <c r="AL50" s="22">
        <f t="shared" si="4"/>
        <v>385.92613449835773</v>
      </c>
      <c r="AM50" s="62">
        <f t="shared" si="5"/>
        <v>638.98737236255306</v>
      </c>
      <c r="AN50" s="62">
        <f ca="1">AVERAGE(OFFSET($AM$3,0,0,'Données projet'!$E$10+1,1))-AVERAGE(OFFSET($H$3,0,0,'Données projet'!$E$10+1,1))</f>
        <v>319.39055628111151</v>
      </c>
      <c r="AO50" s="62">
        <f t="shared" si="36"/>
        <v>312.22190035638084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5.4</v>
      </c>
      <c r="BD50" s="13">
        <f>IF('Données projet'!$A$88&gt;35,BD49+BC50-BL49,IF(A50&lt;'Données projet'!$A$88,$BA$205^A50,IF(A50='Données projet'!$A$88,'Données projet'!$B$88,BD49+BC50-BL49)))</f>
        <v>175.79999999999993</v>
      </c>
      <c r="BE50" s="14">
        <f>BD50*VLOOKUP('Données projet'!$B$11,Paramètres!$A$1:$I$89,3,0)*VLOOKUP('Données projet'!$B$11,Paramètres!$A$1:$I$89,5,0)</f>
        <v>128.89655999999994</v>
      </c>
      <c r="BF50" s="14">
        <f t="shared" si="37"/>
        <v>33.741260389627762</v>
      </c>
      <c r="BG50" s="22">
        <f t="shared" si="7"/>
        <v>283.26087051193491</v>
      </c>
      <c r="BH50" s="62">
        <f t="shared" si="8"/>
        <v>536.32210837613025</v>
      </c>
      <c r="BI50" s="62">
        <f ca="1">AVERAGE(OFFSET($BH$3,0,0,'Données projet'!$E$11+1,1))-AVERAGE(OFFSET($H$3,0,0,'Données projet'!$E$11+1,1))</f>
        <v>257.906524944431</v>
      </c>
      <c r="BJ50" s="62">
        <f t="shared" si="38"/>
        <v>274.70390601173563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7.6</v>
      </c>
      <c r="BY50" s="13">
        <f>IF('Données projet'!$A$114&gt;35,BY49+BX50-CG49,IF(A50&lt;'Données projet'!$A$114,$BV$205^A50,IF(A50='Données projet'!$A$114,'Données projet'!$B$114,BY49+BX50-CG49)))</f>
        <v>205.2</v>
      </c>
      <c r="BZ50" s="14">
        <f>BY50*VLOOKUP('Données projet'!$B$12,Paramètres!$A$1:$I$89,3,0)*VLOOKUP('Données projet'!$B$12,Paramètres!$A$1:$I$89,5,0)</f>
        <v>166.45823999999999</v>
      </c>
      <c r="CA50" s="14">
        <f t="shared" si="39"/>
        <v>42.295817799452642</v>
      </c>
      <c r="CB50" s="22">
        <f t="shared" si="10"/>
        <v>363.5799840007133</v>
      </c>
      <c r="CC50" s="62">
        <f t="shared" si="11"/>
        <v>616.64122186490863</v>
      </c>
      <c r="CD50" s="62">
        <f ca="1">AVERAGE(OFFSET($CC$3,0,0,'Données projet'!$E$12+1,1))-AVERAGE(OFFSET($H$3,0,0,'Données projet'!$E$12+1,1))</f>
        <v>272.69564942740931</v>
      </c>
      <c r="CE50" s="62">
        <f t="shared" si="40"/>
        <v>316.57989180609252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6.6666666666666625</v>
      </c>
      <c r="CT50" s="13">
        <f>IF('Données projet'!$A$140&gt;35,CT49+CS50-DB49,IF(A50&lt;'Données projet'!$A$140,$CQ$205^A50,IF(A50='Données projet'!$A$140,'Données projet'!$B$140,CT49+CS50-DB49)))</f>
        <v>216.53846153846158</v>
      </c>
      <c r="CU50" s="18">
        <f>CT50*VLOOKUP('Données projet'!$B$13,Paramètres!$A$1:$I$89,3,0)*VLOOKUP('Données projet'!$B$13,Paramètres!$A$1:$I$89,5,0)</f>
        <v>206.05800000000005</v>
      </c>
      <c r="CV50" s="14">
        <f t="shared" si="41"/>
        <v>51.073211773249817</v>
      </c>
      <c r="CW50" s="22">
        <f t="shared" si="13"/>
        <v>447.8368605050768</v>
      </c>
      <c r="CX50" s="62">
        <f t="shared" si="14"/>
        <v>700.89809836927225</v>
      </c>
      <c r="CY50" s="62">
        <f ca="1">AVERAGE(OFFSET($CX$3,0,0,'Données projet'!$E$13+1,1))-AVERAGE(OFFSET($H$3,0,0,'Données projet'!$E$13+1,1))</f>
        <v>491.87038198656927</v>
      </c>
      <c r="CZ50" s="62">
        <f t="shared" si="42"/>
        <v>406.49261644949559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11</v>
      </c>
      <c r="DO50" s="13">
        <f>IF('Données projet'!$A$166&gt;35,DO49+DN50-DW49,IF(A50&lt;'Données projet'!$A$166,$DL$205^A50,IF(A50='Données projet'!$A$166,'Données projet'!$B$166,DO49+DN50-DW49)))</f>
        <v>198.00000000000006</v>
      </c>
      <c r="DP50" s="18">
        <f>DO50*VLOOKUP('Données projet'!$B$14,Paramètres!$A$1:$I$89,3,0)*VLOOKUP('Données projet'!$B$14,Paramètres!$A$1:$I$89,5,0)</f>
        <v>191.50560000000007</v>
      </c>
      <c r="DQ50" s="14">
        <f t="shared" si="43"/>
        <v>47.872666570685276</v>
      </c>
      <c r="DR50" s="22">
        <f t="shared" si="16"/>
        <v>416.9171476106103</v>
      </c>
      <c r="DS50" s="62">
        <f t="shared" si="17"/>
        <v>669.97838547480569</v>
      </c>
      <c r="DT50" s="62">
        <f ca="1">AVERAGE(OFFSET($DS$3,0,0,'Données projet'!$E$14+1,1))-AVERAGE(OFFSET($H$3,0,0,'Données projet'!$E$14+1,1))</f>
        <v>603.52431522262032</v>
      </c>
      <c r="DU50" s="62">
        <f t="shared" si="44"/>
        <v>313.56299786481338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9.8000000000000007</v>
      </c>
      <c r="EJ50" s="13">
        <f>IF('Données projet'!$A$192&gt;35,EJ49+EI50-ER49,IF(A50&lt;'Données projet'!$A$192,$EG$205^A50,IF(A50='Données projet'!$A$192,'Données projet'!$B$192,EJ49+EI50-ER49)))</f>
        <v>299.59999999999991</v>
      </c>
      <c r="EK50" s="18">
        <f>EJ50*VLOOKUP('Données projet'!$B$15,Paramètres!$A$1:$I$89,3,0)*VLOOKUP('Données projet'!$B$15,Paramètres!$A$1:$I$89,5,0)</f>
        <v>238.36175999999995</v>
      </c>
      <c r="EL50" s="14">
        <f t="shared" si="45"/>
        <v>58.086914779719081</v>
      </c>
      <c r="EM50" s="22">
        <f t="shared" si="19"/>
        <v>516.31477524134391</v>
      </c>
      <c r="EN50" s="62">
        <f t="shared" si="20"/>
        <v>769.3760131055393</v>
      </c>
      <c r="EO50" s="62">
        <f ca="1">AVERAGE(OFFSET($EN$3,0,0,'Données projet'!$E$15+1,1))-AVERAGE(OFFSET($H$3,0,0,'Données projet'!$E$15+1,1))</f>
        <v>450.93388191845378</v>
      </c>
      <c r="EP50" s="62">
        <f t="shared" si="46"/>
        <v>483.33635017129325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10.375</v>
      </c>
      <c r="FE50" s="13">
        <f>IF('Données projet'!$A$218&gt;35,FE49+FD50-FM49,IF(A50&lt;'Données projet'!$A$218,$FB$205^A50,IF(A50='Données projet'!$A$218,'Données projet'!$B$218,FE49+FD50-FM49)))</f>
        <v>218.12499999999991</v>
      </c>
      <c r="FF50" s="18">
        <f>FE50*VLOOKUP('Données projet'!$B$16,Paramètres!$A$1:$I$89,3,0)*VLOOKUP('Données projet'!$B$16,Paramètres!$A$1:$I$89,5,0)</f>
        <v>170.13749999999993</v>
      </c>
      <c r="FG50" s="14">
        <f t="shared" si="47"/>
        <v>43.120817562072375</v>
      </c>
      <c r="FH50" s="22">
        <f t="shared" si="22"/>
        <v>371.42490308727588</v>
      </c>
      <c r="FI50" s="62">
        <f t="shared" si="23"/>
        <v>624.48614095147127</v>
      </c>
      <c r="FJ50" s="62">
        <f ca="1">AVERAGE(OFFSET($FI$3,0,0,'Données projet'!$E$16+1,1))-AVERAGE(OFFSET($H$3,0,0,'Données projet'!$E$16+1,1))</f>
        <v>309.21625451786218</v>
      </c>
      <c r="FK50" s="62">
        <f t="shared" si="48"/>
        <v>302.59481222418219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8.6</v>
      </c>
      <c r="N51" s="14">
        <f>IF('Données projet'!$A$36&gt;35,N50+M51-V50,IF(A51&lt;'Données projet'!$A$36,$K$205^A51,IF(A51='Données projet'!$A$36,'Données projet'!$B$36,N50+M51-V50)))</f>
        <v>267.80000000000007</v>
      </c>
      <c r="O51" s="14">
        <f>N51*VLOOKUP('Données projet'!$B$9,Paramètres!$A$1:$I$89,3,0)*VLOOKUP('Données projet'!$B$9,Paramètres!$A$1:$I$89,5,0)</f>
        <v>213.06168000000005</v>
      </c>
      <c r="P51" s="14">
        <f t="shared" si="33"/>
        <v>52.604075157965084</v>
      </c>
      <c r="Q51" s="22">
        <f t="shared" si="53"/>
        <v>462.70119023345586</v>
      </c>
      <c r="R51" s="62">
        <f t="shared" si="0"/>
        <v>716.46105891912362</v>
      </c>
      <c r="S51" s="62">
        <f ca="1">AVERAGE(OFFSET($R$3,0,0,'Données projet'!$E$9+1,1))-AVERAGE(OFFSET($H$3,0,0,'Données projet'!$E$9+1,1))</f>
        <v>394.70330963327166</v>
      </c>
      <c r="T51" s="62">
        <f t="shared" si="34"/>
        <v>424.06445894109982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10.375</v>
      </c>
      <c r="AI51" s="14">
        <f>IF('Données projet'!$A$62&gt;35,AI50+AH51-AQ50,IF(A51&lt;'Données projet'!$A$62,$AF$205^A51,IF(A51='Données projet'!$A$62,'Données projet'!$B$62,AI50+AH51-AQ50)))</f>
        <v>228.49999999999991</v>
      </c>
      <c r="AJ51" s="14">
        <f>AI51*VLOOKUP('Données projet'!$B$10,Paramètres!$A$1:$I$89,3,0)*VLOOKUP('Données projet'!$B$10,Paramètres!$A$1:$I$89,5,0)</f>
        <v>185.35919999999996</v>
      </c>
      <c r="AK51" s="14">
        <f t="shared" si="35"/>
        <v>46.512465899126433</v>
      </c>
      <c r="AL51" s="22">
        <f t="shared" si="4"/>
        <v>403.84315144097849</v>
      </c>
      <c r="AM51" s="62">
        <f t="shared" si="5"/>
        <v>657.60302012664624</v>
      </c>
      <c r="AN51" s="62">
        <f ca="1">AVERAGE(OFFSET($AM$3,0,0,'Données projet'!$E$10+1,1))-AVERAGE(OFFSET($H$3,0,0,'Données projet'!$E$10+1,1))</f>
        <v>319.39055628111151</v>
      </c>
      <c r="AO51" s="62">
        <f t="shared" si="36"/>
        <v>312.22190035638084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5.4</v>
      </c>
      <c r="BD51" s="13">
        <f>IF('Données projet'!$A$88&gt;35,BD50+BC51-BL50,IF(A51&lt;'Données projet'!$A$88,$BA$205^A51,IF(A51='Données projet'!$A$88,'Données projet'!$B$88,BD50+BC51-BL50)))</f>
        <v>181.19999999999993</v>
      </c>
      <c r="BE51" s="14">
        <f>BD51*VLOOKUP('Données projet'!$B$11,Paramètres!$A$1:$I$89,3,0)*VLOOKUP('Données projet'!$B$11,Paramètres!$A$1:$I$89,5,0)</f>
        <v>132.85583999999994</v>
      </c>
      <c r="BF51" s="14">
        <f t="shared" si="37"/>
        <v>34.655423217116848</v>
      </c>
      <c r="BG51" s="22">
        <f t="shared" si="7"/>
        <v>291.74878343647839</v>
      </c>
      <c r="BH51" s="62">
        <f t="shared" si="8"/>
        <v>545.50865212214603</v>
      </c>
      <c r="BI51" s="62">
        <f ca="1">AVERAGE(OFFSET($BH$3,0,0,'Données projet'!$E$11+1,1))-AVERAGE(OFFSET($H$3,0,0,'Données projet'!$E$11+1,1))</f>
        <v>257.906524944431</v>
      </c>
      <c r="BJ51" s="62">
        <f t="shared" si="38"/>
        <v>274.70390601173563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7.6</v>
      </c>
      <c r="BY51" s="13">
        <f>IF('Données projet'!$A$114&gt;35,BY50+BX51-CG50,IF(A51&lt;'Données projet'!$A$114,$BV$205^A51,IF(A51='Données projet'!$A$114,'Données projet'!$B$114,BY50+BX51-CG50)))</f>
        <v>212.79999999999998</v>
      </c>
      <c r="BZ51" s="14">
        <f>BY51*VLOOKUP('Données projet'!$B$12,Paramètres!$A$1:$I$89,3,0)*VLOOKUP('Données projet'!$B$12,Paramètres!$A$1:$I$89,5,0)</f>
        <v>172.62335999999999</v>
      </c>
      <c r="CA51" s="14">
        <f t="shared" si="39"/>
        <v>43.67704427998607</v>
      </c>
      <c r="CB51" s="22">
        <f t="shared" si="10"/>
        <v>376.72320412097571</v>
      </c>
      <c r="CC51" s="62">
        <f t="shared" si="11"/>
        <v>630.48307280664335</v>
      </c>
      <c r="CD51" s="62">
        <f ca="1">AVERAGE(OFFSET($CC$3,0,0,'Données projet'!$E$12+1,1))-AVERAGE(OFFSET($H$3,0,0,'Données projet'!$E$12+1,1))</f>
        <v>272.69564942740931</v>
      </c>
      <c r="CE51" s="62">
        <f t="shared" si="40"/>
        <v>316.57989180609252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6.6666666666666625</v>
      </c>
      <c r="CT51" s="13">
        <f>IF('Données projet'!$A$140&gt;35,CT50+CS51-DB50,IF(A51&lt;'Données projet'!$A$140,$CQ$205^A51,IF(A51='Données projet'!$A$140,'Données projet'!$B$140,CT50+CS51-DB50)))</f>
        <v>223.20512820512823</v>
      </c>
      <c r="CU51" s="18">
        <f>CT51*VLOOKUP('Données projet'!$B$13,Paramètres!$A$1:$I$89,3,0)*VLOOKUP('Données projet'!$B$13,Paramètres!$A$1:$I$89,5,0)</f>
        <v>212.40200000000004</v>
      </c>
      <c r="CV51" s="14">
        <f t="shared" si="41"/>
        <v>52.460135187397903</v>
      </c>
      <c r="CW51" s="22">
        <f t="shared" si="13"/>
        <v>461.3015521180514</v>
      </c>
      <c r="CX51" s="62">
        <f t="shared" si="14"/>
        <v>715.0614208037191</v>
      </c>
      <c r="CY51" s="62">
        <f ca="1">AVERAGE(OFFSET($CX$3,0,0,'Données projet'!$E$13+1,1))-AVERAGE(OFFSET($H$3,0,0,'Données projet'!$E$13+1,1))</f>
        <v>491.87038198656927</v>
      </c>
      <c r="CZ51" s="62">
        <f t="shared" si="42"/>
        <v>406.49261644949559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11</v>
      </c>
      <c r="DO51" s="13">
        <f>IF('Données projet'!$A$166&gt;35,DO50+DN51-DW50,IF(A51&lt;'Données projet'!$A$166,$DL$205^A51,IF(A51='Données projet'!$A$166,'Données projet'!$B$166,DO50+DN51-DW50)))</f>
        <v>209.00000000000006</v>
      </c>
      <c r="DP51" s="18">
        <f>DO51*VLOOKUP('Données projet'!$B$14,Paramètres!$A$1:$I$89,3,0)*VLOOKUP('Données projet'!$B$14,Paramètres!$A$1:$I$89,5,0)</f>
        <v>202.14480000000006</v>
      </c>
      <c r="DQ51" s="14">
        <f t="shared" si="43"/>
        <v>50.215236821738628</v>
      </c>
      <c r="DR51" s="22">
        <f t="shared" si="16"/>
        <v>439.52706413119489</v>
      </c>
      <c r="DS51" s="62">
        <f t="shared" si="17"/>
        <v>693.28693281686265</v>
      </c>
      <c r="DT51" s="62">
        <f ca="1">AVERAGE(OFFSET($DS$3,0,0,'Données projet'!$E$14+1,1))-AVERAGE(OFFSET($H$3,0,0,'Données projet'!$E$14+1,1))</f>
        <v>603.52431522262032</v>
      </c>
      <c r="DU51" s="62">
        <f t="shared" si="44"/>
        <v>313.56299786481338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9.8000000000000007</v>
      </c>
      <c r="EJ51" s="13">
        <f>IF('Données projet'!$A$192&gt;35,EJ50+EI51-ER50,IF(A51&lt;'Données projet'!$A$192,$EG$205^A51,IF(A51='Données projet'!$A$192,'Données projet'!$B$192,EJ50+EI51-ER50)))</f>
        <v>309.39999999999992</v>
      </c>
      <c r="EK51" s="18">
        <f>EJ51*VLOOKUP('Données projet'!$B$15,Paramètres!$A$1:$I$89,3,0)*VLOOKUP('Données projet'!$B$15,Paramètres!$A$1:$I$89,5,0)</f>
        <v>246.15863999999993</v>
      </c>
      <c r="EL51" s="14">
        <f t="shared" si="45"/>
        <v>59.762631584626838</v>
      </c>
      <c r="EM51" s="22">
        <f t="shared" si="19"/>
        <v>532.81288134322483</v>
      </c>
      <c r="EN51" s="62">
        <f t="shared" si="20"/>
        <v>786.57275002889253</v>
      </c>
      <c r="EO51" s="62">
        <f ca="1">AVERAGE(OFFSET($EN$3,0,0,'Données projet'!$E$15+1,1))-AVERAGE(OFFSET($H$3,0,0,'Données projet'!$E$15+1,1))</f>
        <v>450.93388191845378</v>
      </c>
      <c r="EP51" s="62">
        <f t="shared" si="46"/>
        <v>483.33635017129325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10.375</v>
      </c>
      <c r="FE51" s="13">
        <f>IF('Données projet'!$A$218&gt;35,FE50+FD51-FM50,IF(A51&lt;'Données projet'!$A$218,$FB$205^A51,IF(A51='Données projet'!$A$218,'Données projet'!$B$218,FE50+FD51-FM50)))</f>
        <v>228.49999999999991</v>
      </c>
      <c r="FF51" s="18">
        <f>FE51*VLOOKUP('Données projet'!$B$16,Paramètres!$A$1:$I$89,3,0)*VLOOKUP('Données projet'!$B$16,Paramètres!$A$1:$I$89,5,0)</f>
        <v>178.22999999999993</v>
      </c>
      <c r="FG51" s="14">
        <f t="shared" si="47"/>
        <v>44.928167580487852</v>
      </c>
      <c r="FH51" s="22">
        <f t="shared" si="22"/>
        <v>388.66714186934951</v>
      </c>
      <c r="FI51" s="62">
        <f t="shared" si="23"/>
        <v>642.4270105550172</v>
      </c>
      <c r="FJ51" s="62">
        <f ca="1">AVERAGE(OFFSET($FI$3,0,0,'Données projet'!$E$16+1,1))-AVERAGE(OFFSET($H$3,0,0,'Données projet'!$E$16+1,1))</f>
        <v>309.21625451786218</v>
      </c>
      <c r="FK51" s="62">
        <f t="shared" si="48"/>
        <v>302.59481222418219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8.6</v>
      </c>
      <c r="N52" s="14">
        <f>IF('Données projet'!$A$36&gt;35,N51+M52-V51,IF(A52&lt;'Données projet'!$A$36,$K$205^A52,IF(A52='Données projet'!$A$36,'Données projet'!$B$36,N51+M52-V51)))</f>
        <v>276.40000000000009</v>
      </c>
      <c r="O52" s="14">
        <f>N52*VLOOKUP('Données projet'!$B$9,Paramètres!$A$1:$I$89,3,0)*VLOOKUP('Données projet'!$B$9,Paramètres!$A$1:$I$89,5,0)</f>
        <v>219.90384000000009</v>
      </c>
      <c r="P52" s="14">
        <f t="shared" si="33"/>
        <v>54.093985287951313</v>
      </c>
      <c r="Q52" s="22">
        <f t="shared" si="53"/>
        <v>477.212879043182</v>
      </c>
      <c r="R52" s="62">
        <f t="shared" si="0"/>
        <v>731.65925886747391</v>
      </c>
      <c r="S52" s="62">
        <f ca="1">AVERAGE(OFFSET($R$3,0,0,'Données projet'!$E$9+1,1))-AVERAGE(OFFSET($H$3,0,0,'Données projet'!$E$9+1,1))</f>
        <v>394.70330963327166</v>
      </c>
      <c r="T52" s="62">
        <f t="shared" si="34"/>
        <v>424.06445894109982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10.375</v>
      </c>
      <c r="AI52" s="14">
        <f>IF('Données projet'!$A$62&gt;35,AI51+AH52-AQ51,IF(A52&lt;'Données projet'!$A$62,$AF$205^A52,IF(A52='Données projet'!$A$62,'Données projet'!$B$62,AI51+AH52-AQ51)))</f>
        <v>238.87499999999991</v>
      </c>
      <c r="AJ52" s="14">
        <f>AI52*VLOOKUP('Données projet'!$B$10,Paramètres!$A$1:$I$89,3,0)*VLOOKUP('Données projet'!$B$10,Paramètres!$A$1:$I$89,5,0)</f>
        <v>193.77539999999993</v>
      </c>
      <c r="AK52" s="14">
        <f t="shared" si="35"/>
        <v>48.373681964577997</v>
      </c>
      <c r="AL52" s="22">
        <f t="shared" si="4"/>
        <v>421.7429844216399</v>
      </c>
      <c r="AM52" s="62">
        <f t="shared" si="5"/>
        <v>676.18936424593187</v>
      </c>
      <c r="AN52" s="62">
        <f ca="1">AVERAGE(OFFSET($AM$3,0,0,'Données projet'!$E$10+1,1))-AVERAGE(OFFSET($H$3,0,0,'Données projet'!$E$10+1,1))</f>
        <v>319.39055628111151</v>
      </c>
      <c r="AO52" s="62">
        <f t="shared" si="36"/>
        <v>312.22190035638084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5.4</v>
      </c>
      <c r="BD52" s="13">
        <f>IF('Données projet'!$A$88&gt;35,BD51+BC52-BL51,IF(A52&lt;'Données projet'!$A$88,$BA$205^A52,IF(A52='Données projet'!$A$88,'Données projet'!$B$88,BD51+BC52-BL51)))</f>
        <v>186.59999999999994</v>
      </c>
      <c r="BE52" s="14">
        <f>BD52*VLOOKUP('Données projet'!$B$11,Paramètres!$A$1:$I$89,3,0)*VLOOKUP('Données projet'!$B$11,Paramètres!$A$1:$I$89,5,0)</f>
        <v>136.81511999999995</v>
      </c>
      <c r="BF52" s="14">
        <f t="shared" si="37"/>
        <v>35.566419927360762</v>
      </c>
      <c r="BG52" s="22">
        <f t="shared" si="7"/>
        <v>300.23118204015321</v>
      </c>
      <c r="BH52" s="62">
        <f t="shared" si="8"/>
        <v>554.67756186444512</v>
      </c>
      <c r="BI52" s="62">
        <f ca="1">AVERAGE(OFFSET($BH$3,0,0,'Données projet'!$E$11+1,1))-AVERAGE(OFFSET($H$3,0,0,'Données projet'!$E$11+1,1))</f>
        <v>257.906524944431</v>
      </c>
      <c r="BJ52" s="62">
        <f t="shared" si="38"/>
        <v>274.70390601173563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7.6</v>
      </c>
      <c r="BY52" s="13">
        <f>IF('Données projet'!$A$114&gt;35,BY51+BX52-CG51,IF(A52&lt;'Données projet'!$A$114,$BV$205^A52,IF(A52='Données projet'!$A$114,'Données projet'!$B$114,BY51+BX52-CG51)))</f>
        <v>220.39999999999998</v>
      </c>
      <c r="BZ52" s="14">
        <f>BY52*VLOOKUP('Données projet'!$B$12,Paramètres!$A$1:$I$89,3,0)*VLOOKUP('Données projet'!$B$12,Paramètres!$A$1:$I$89,5,0)</f>
        <v>178.78847999999999</v>
      </c>
      <c r="CA52" s="14">
        <f t="shared" si="39"/>
        <v>45.052539436241446</v>
      </c>
      <c r="CB52" s="22">
        <f t="shared" si="10"/>
        <v>389.85644218478711</v>
      </c>
      <c r="CC52" s="62">
        <f t="shared" si="11"/>
        <v>644.30282200907914</v>
      </c>
      <c r="CD52" s="62">
        <f ca="1">AVERAGE(OFFSET($CC$3,0,0,'Données projet'!$E$12+1,1))-AVERAGE(OFFSET($H$3,0,0,'Données projet'!$E$12+1,1))</f>
        <v>272.69564942740931</v>
      </c>
      <c r="CE52" s="62">
        <f t="shared" si="40"/>
        <v>316.57989180609252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6.6666666666666625</v>
      </c>
      <c r="CT52" s="13">
        <f>IF('Données projet'!$A$140&gt;35,CT51+CS52-DB51,IF(A52&lt;'Données projet'!$A$140,$CQ$205^A52,IF(A52='Données projet'!$A$140,'Données projet'!$B$140,CT51+CS52-DB51)))</f>
        <v>229.87179487179489</v>
      </c>
      <c r="CU52" s="18">
        <f>CT52*VLOOKUP('Données projet'!$B$13,Paramètres!$A$1:$I$89,3,0)*VLOOKUP('Données projet'!$B$13,Paramètres!$A$1:$I$89,5,0)</f>
        <v>218.74600000000004</v>
      </c>
      <c r="CV52" s="14">
        <f t="shared" si="41"/>
        <v>53.842244408028719</v>
      </c>
      <c r="CW52" s="22">
        <f t="shared" si="13"/>
        <v>474.75785901065007</v>
      </c>
      <c r="CX52" s="62">
        <f t="shared" si="14"/>
        <v>729.20423883494209</v>
      </c>
      <c r="CY52" s="62">
        <f ca="1">AVERAGE(OFFSET($CX$3,0,0,'Données projet'!$E$13+1,1))-AVERAGE(OFFSET($H$3,0,0,'Données projet'!$E$13+1,1))</f>
        <v>491.87038198656927</v>
      </c>
      <c r="CZ52" s="62">
        <f t="shared" si="42"/>
        <v>406.49261644949559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11</v>
      </c>
      <c r="DO52" s="13">
        <f>IF('Données projet'!$A$166&gt;35,DO51+DN52-DW51,IF(A52&lt;'Données projet'!$A$166,$DL$205^A52,IF(A52='Données projet'!$A$166,'Données projet'!$B$166,DO51+DN52-DW51)))</f>
        <v>220.00000000000006</v>
      </c>
      <c r="DP52" s="18">
        <f>DO52*VLOOKUP('Données projet'!$B$14,Paramètres!$A$1:$I$89,3,0)*VLOOKUP('Données projet'!$B$14,Paramètres!$A$1:$I$89,5,0)</f>
        <v>212.78400000000005</v>
      </c>
      <c r="DQ52" s="14">
        <f t="shared" si="43"/>
        <v>52.543492641808108</v>
      </c>
      <c r="DR52" s="22">
        <f t="shared" si="16"/>
        <v>462.11204968448243</v>
      </c>
      <c r="DS52" s="62">
        <f t="shared" si="17"/>
        <v>716.55842950877445</v>
      </c>
      <c r="DT52" s="62">
        <f ca="1">AVERAGE(OFFSET($DS$3,0,0,'Données projet'!$E$14+1,1))-AVERAGE(OFFSET($H$3,0,0,'Données projet'!$E$14+1,1))</f>
        <v>603.52431522262032</v>
      </c>
      <c r="DU52" s="62">
        <f t="shared" si="44"/>
        <v>313.56299786481338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9.8000000000000007</v>
      </c>
      <c r="EJ52" s="13">
        <f>IF('Données projet'!$A$192&gt;35,EJ51+EI52-ER51,IF(A52&lt;'Données projet'!$A$192,$EG$205^A52,IF(A52='Données projet'!$A$192,'Données projet'!$B$192,EJ51+EI52-ER51)))</f>
        <v>319.19999999999993</v>
      </c>
      <c r="EK52" s="18">
        <f>EJ52*VLOOKUP('Données projet'!$B$15,Paramètres!$A$1:$I$89,3,0)*VLOOKUP('Données projet'!$B$15,Paramètres!$A$1:$I$89,5,0)</f>
        <v>253.95551999999998</v>
      </c>
      <c r="EL52" s="14">
        <f t="shared" si="45"/>
        <v>61.432180511879253</v>
      </c>
      <c r="EM52" s="22">
        <f t="shared" si="19"/>
        <v>549.30024505818972</v>
      </c>
      <c r="EN52" s="62">
        <f t="shared" si="20"/>
        <v>803.74662488248168</v>
      </c>
      <c r="EO52" s="62">
        <f ca="1">AVERAGE(OFFSET($EN$3,0,0,'Données projet'!$E$15+1,1))-AVERAGE(OFFSET($H$3,0,0,'Données projet'!$E$15+1,1))</f>
        <v>450.93388191845378</v>
      </c>
      <c r="EP52" s="62">
        <f t="shared" si="46"/>
        <v>483.33635017129325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10.375</v>
      </c>
      <c r="FE52" s="13">
        <f>IF('Données projet'!$A$218&gt;35,FE51+FD52-FM51,IF(A52&lt;'Données projet'!$A$218,$FB$205^A52,IF(A52='Données projet'!$A$218,'Données projet'!$B$218,FE51+FD52-FM51)))</f>
        <v>238.87499999999991</v>
      </c>
      <c r="FF52" s="18">
        <f>FE52*VLOOKUP('Données projet'!$B$16,Paramètres!$A$1:$I$89,3,0)*VLOOKUP('Données projet'!$B$16,Paramètres!$A$1:$I$89,5,0)</f>
        <v>186.32249999999993</v>
      </c>
      <c r="FG52" s="14">
        <f t="shared" si="47"/>
        <v>46.725987276254116</v>
      </c>
      <c r="FH52" s="22">
        <f t="shared" si="22"/>
        <v>405.8927820061424</v>
      </c>
      <c r="FI52" s="62">
        <f t="shared" si="23"/>
        <v>660.33916183043436</v>
      </c>
      <c r="FJ52" s="62">
        <f ca="1">AVERAGE(OFFSET($FI$3,0,0,'Données projet'!$E$16+1,1))-AVERAGE(OFFSET($H$3,0,0,'Données projet'!$E$16+1,1))</f>
        <v>309.21625451786218</v>
      </c>
      <c r="FK52" s="62">
        <f t="shared" si="48"/>
        <v>302.59481222418219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285</v>
      </c>
      <c r="L53" s="13">
        <f>VLOOKUP(A53,'Données projet'!$A$35:$I$55,9,0)</f>
        <v>8.6</v>
      </c>
      <c r="M53" s="13">
        <f t="array" ref="M53">INDEX(L:L,MIN(IF(ISNUMBER(L53:L249),ROW(L53:L249),"")))</f>
        <v>8.6</v>
      </c>
      <c r="N53" s="14">
        <f>IF('Données projet'!$A$36&gt;35,N52+M53-V52,IF(A53&lt;'Données projet'!$A$36,$K$205^A53,IF(A53='Données projet'!$A$36,'Données projet'!$B$36,N52+M53-V52)))</f>
        <v>285.00000000000011</v>
      </c>
      <c r="O53" s="14">
        <f>N53*VLOOKUP('Données projet'!$B$9,Paramètres!$A$1:$I$89,3,0)*VLOOKUP('Données projet'!$B$9,Paramètres!$A$1:$I$89,5,0)</f>
        <v>226.74600000000009</v>
      </c>
      <c r="P53" s="14">
        <f t="shared" si="33"/>
        <v>55.578508240245966</v>
      </c>
      <c r="Q53" s="22">
        <f t="shared" si="53"/>
        <v>491.71518518509515</v>
      </c>
      <c r="R53" s="62">
        <f t="shared" si="0"/>
        <v>746.83616671456525</v>
      </c>
      <c r="S53" s="62">
        <f ca="1">AVERAGE(OFFSET($R$3,0,0,'Données projet'!$E$9+1,1))-AVERAGE(OFFSET($H$3,0,0,'Données projet'!$E$9+1,1))</f>
        <v>394.70330963327166</v>
      </c>
      <c r="T53" s="62">
        <f t="shared" si="34"/>
        <v>424.06445894109982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43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10.375</v>
      </c>
      <c r="AI53" s="14">
        <f>IF('Données projet'!$A$62&gt;35,AI52+AH53-AQ52,IF(A53&lt;'Données projet'!$A$62,$AF$205^A53,IF(A53='Données projet'!$A$62,'Données projet'!$B$62,AI52+AH53-AQ52)))</f>
        <v>249.24999999999991</v>
      </c>
      <c r="AJ53" s="14">
        <f>AI53*VLOOKUP('Données projet'!$B$10,Paramètres!$A$1:$I$89,3,0)*VLOOKUP('Données projet'!$B$10,Paramètres!$A$1:$I$89,5,0)</f>
        <v>202.19159999999994</v>
      </c>
      <c r="AK53" s="14">
        <f t="shared" si="35"/>
        <v>50.225509144346233</v>
      </c>
      <c r="AL53" s="22">
        <f t="shared" si="4"/>
        <v>439.62646509306956</v>
      </c>
      <c r="AM53" s="62">
        <f t="shared" si="5"/>
        <v>694.74744662253966</v>
      </c>
      <c r="AN53" s="62">
        <f ca="1">AVERAGE(OFFSET($AM$3,0,0,'Données projet'!$E$10+1,1))-AVERAGE(OFFSET($H$3,0,0,'Données projet'!$E$10+1,1))</f>
        <v>319.39055628111151</v>
      </c>
      <c r="AO53" s="62">
        <f t="shared" si="36"/>
        <v>312.22190035638084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192</v>
      </c>
      <c r="BB53" s="13">
        <f>VLOOKUP(A53,'Données projet'!$A$87:$I$107,9,0)</f>
        <v>5.4</v>
      </c>
      <c r="BC53" s="13">
        <f t="array" ref="BC53">INDEX(BB:BB,MIN(IF(ISNUMBER(BB53:BB249),ROW(BB53:BB249),"")))</f>
        <v>5.4</v>
      </c>
      <c r="BD53" s="13">
        <f>IF('Données projet'!$A$88&gt;35,BD52+BC53-BL52,IF(A53&lt;'Données projet'!$A$88,$BA$205^A53,IF(A53='Données projet'!$A$88,'Données projet'!$B$88,BD52+BC53-BL52)))</f>
        <v>191.99999999999994</v>
      </c>
      <c r="BE53" s="14">
        <f>BD53*VLOOKUP('Données projet'!$B$11,Paramètres!$A$1:$I$89,3,0)*VLOOKUP('Données projet'!$B$11,Paramètres!$A$1:$I$89,5,0)</f>
        <v>140.77439999999996</v>
      </c>
      <c r="BF53" s="14">
        <f t="shared" si="37"/>
        <v>36.474352666172102</v>
      </c>
      <c r="BG53" s="22">
        <f t="shared" si="7"/>
        <v>308.70824422691629</v>
      </c>
      <c r="BH53" s="62">
        <f t="shared" si="8"/>
        <v>563.82922575638645</v>
      </c>
      <c r="BI53" s="62">
        <f ca="1">AVERAGE(OFFSET($BH$3,0,0,'Données projet'!$E$11+1,1))-AVERAGE(OFFSET($H$3,0,0,'Données projet'!$E$11+1,1))</f>
        <v>257.906524944431</v>
      </c>
      <c r="BJ53" s="62">
        <f t="shared" si="38"/>
        <v>274.70390601173563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31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228</v>
      </c>
      <c r="BW53" s="13">
        <f>VLOOKUP(A53,'Données projet'!$A$113:$I$133,9,0)</f>
        <v>7.6</v>
      </c>
      <c r="BX53" s="13">
        <f t="array" ref="BX53">INDEX(BW:BW,MIN(IF(ISNUMBER(BW53:BW249),ROW(BW53:BW249),"")))</f>
        <v>7.6</v>
      </c>
      <c r="BY53" s="13">
        <f>IF('Données projet'!$A$114&gt;35,BY52+BX53-CG52,IF(A53&lt;'Données projet'!$A$114,$BV$205^A53,IF(A53='Données projet'!$A$114,'Données projet'!$B$114,BY52+BX53-CG52)))</f>
        <v>227.99999999999997</v>
      </c>
      <c r="BZ53" s="14">
        <f>BY53*VLOOKUP('Données projet'!$B$12,Paramètres!$A$1:$I$89,3,0)*VLOOKUP('Données projet'!$B$12,Paramètres!$A$1:$I$89,5,0)</f>
        <v>184.95359999999999</v>
      </c>
      <c r="CA53" s="14">
        <f t="shared" si="39"/>
        <v>46.42252355095799</v>
      </c>
      <c r="CB53" s="22">
        <f t="shared" si="10"/>
        <v>402.98008185125178</v>
      </c>
      <c r="CC53" s="62">
        <f t="shared" si="11"/>
        <v>658.10106338072183</v>
      </c>
      <c r="CD53" s="62">
        <f ca="1">AVERAGE(OFFSET($CC$3,0,0,'Données projet'!$E$12+1,1))-AVERAGE(OFFSET($H$3,0,0,'Données projet'!$E$12+1,1))</f>
        <v>272.69564942740931</v>
      </c>
      <c r="CE53" s="62">
        <f t="shared" si="40"/>
        <v>316.57989180609252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236.53846153846152</v>
      </c>
      <c r="CR53" s="13">
        <f>VLOOKUP(A53,'Données projet'!$A$139:$I$159,9,0)</f>
        <v>6.6666666666666625</v>
      </c>
      <c r="CS53" s="13">
        <f t="array" ref="CS53">INDEX(CR:CR,MIN(IF(ISNUMBER(CR53:CR249),ROW(CR53:CR249),"")))</f>
        <v>6.6666666666666625</v>
      </c>
      <c r="CT53" s="13">
        <f>IF('Données projet'!$A$140&gt;35,CT52+CS53-DB52,IF(A53&lt;'Données projet'!$A$140,$CQ$205^A53,IF(A53='Données projet'!$A$140,'Données projet'!$B$140,CT52+CS53-DB52)))</f>
        <v>236.53846153846155</v>
      </c>
      <c r="CU53" s="18">
        <f>CT53*VLOOKUP('Données projet'!$B$13,Paramètres!$A$1:$I$89,3,0)*VLOOKUP('Données projet'!$B$13,Paramètres!$A$1:$I$89,5,0)</f>
        <v>225.09000000000003</v>
      </c>
      <c r="CV53" s="14">
        <f t="shared" si="41"/>
        <v>55.21969508796591</v>
      </c>
      <c r="CW53" s="22">
        <f t="shared" si="13"/>
        <v>488.20605227820738</v>
      </c>
      <c r="CX53" s="62">
        <f t="shared" si="14"/>
        <v>743.32703380767748</v>
      </c>
      <c r="CY53" s="62">
        <f ca="1">AVERAGE(OFFSET($CX$3,0,0,'Données projet'!$E$13+1,1))-AVERAGE(OFFSET($H$3,0,0,'Données projet'!$E$13+1,1))</f>
        <v>491.87038198656927</v>
      </c>
      <c r="CZ53" s="62">
        <f t="shared" si="42"/>
        <v>406.49261644949559</v>
      </c>
      <c r="DA53" s="16">
        <f>IF(ISNA(VLOOKUP(A53,'Données projet'!$A$139:$I$159,3,0)),0,VLOOKUP(A53,'Données projet'!$A$139:$I$159,3,0))</f>
        <v>4</v>
      </c>
      <c r="DB53" s="16">
        <f>IF(ISNA(VLOOKUP(A53,'Données projet'!$A$139:$I$159,4,0)),0,VLOOKUP(A53,'Données projet'!$A$139:$I$159,4,0))</f>
        <v>41.025641025641022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231</v>
      </c>
      <c r="DM53" s="13">
        <f>VLOOKUP(A53,'Données projet'!$A$165:$I$185,9,0)</f>
        <v>11</v>
      </c>
      <c r="DN53" s="13">
        <f t="array" ref="DN53">INDEX(DM:DM,MIN(IF(ISNUMBER(DM53:DM249),ROW(DM53:DM249),"")))</f>
        <v>11</v>
      </c>
      <c r="DO53" s="13">
        <f>IF('Données projet'!$A$166&gt;35,DO52+DN53-DW52,IF(A53&lt;'Données projet'!$A$166,$DL$205^A53,IF(A53='Données projet'!$A$166,'Données projet'!$B$166,DO52+DN53-DW52)))</f>
        <v>231.00000000000006</v>
      </c>
      <c r="DP53" s="18">
        <f>DO53*VLOOKUP('Données projet'!$B$14,Paramètres!$A$1:$I$89,3,0)*VLOOKUP('Données projet'!$B$14,Paramètres!$A$1:$I$89,5,0)</f>
        <v>223.42320000000004</v>
      </c>
      <c r="DQ53" s="14">
        <f t="shared" si="43"/>
        <v>54.858231422257631</v>
      </c>
      <c r="DR53" s="22">
        <f t="shared" si="16"/>
        <v>484.67349306043207</v>
      </c>
      <c r="DS53" s="62">
        <f t="shared" si="17"/>
        <v>739.79447458990217</v>
      </c>
      <c r="DT53" s="62">
        <f ca="1">AVERAGE(OFFSET($DS$3,0,0,'Données projet'!$E$14+1,1))-AVERAGE(OFFSET($H$3,0,0,'Données projet'!$E$14+1,1))</f>
        <v>603.52431522262032</v>
      </c>
      <c r="DU53" s="62">
        <f t="shared" si="44"/>
        <v>313.56299786481338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329</v>
      </c>
      <c r="EH53" s="13">
        <f>VLOOKUP(A53,'Données projet'!$A$191:$I$211,9,0)</f>
        <v>9.8000000000000007</v>
      </c>
      <c r="EI53" s="13">
        <f t="array" ref="EI53">INDEX(EH:EH,MIN(IF(ISNUMBER(EH53:EH249),ROW(EH53:EH249),"")))</f>
        <v>9.8000000000000007</v>
      </c>
      <c r="EJ53" s="13">
        <f>IF('Données projet'!$A$192&gt;35,EJ52+EI53-ER52,IF(A53&lt;'Données projet'!$A$192,$EG$205^A53,IF(A53='Données projet'!$A$192,'Données projet'!$B$192,EJ52+EI53-ER52)))</f>
        <v>328.99999999999994</v>
      </c>
      <c r="EK53" s="18">
        <f>EJ53*VLOOKUP('Données projet'!$B$15,Paramètres!$A$1:$I$89,3,0)*VLOOKUP('Données projet'!$B$15,Paramètres!$A$1:$I$89,5,0)</f>
        <v>261.75239999999997</v>
      </c>
      <c r="EL53" s="14">
        <f t="shared" si="45"/>
        <v>63.095772658160975</v>
      </c>
      <c r="EM53" s="22">
        <f t="shared" si="19"/>
        <v>565.77723404629694</v>
      </c>
      <c r="EN53" s="62">
        <f t="shared" si="20"/>
        <v>820.89821557576704</v>
      </c>
      <c r="EO53" s="62">
        <f ca="1">AVERAGE(OFFSET($EN$3,0,0,'Données projet'!$E$15+1,1))-AVERAGE(OFFSET($H$3,0,0,'Données projet'!$E$15+1,1))</f>
        <v>450.93388191845378</v>
      </c>
      <c r="EP53" s="62">
        <f t="shared" si="46"/>
        <v>483.33635017129325</v>
      </c>
      <c r="EQ53" s="16">
        <f>IF(ISNA(VLOOKUP(A53,'Données projet'!$A$191:$I$211,3,0)),0,VLOOKUP(A53,'Données projet'!$A$191:$I$211,3,0))</f>
        <v>4</v>
      </c>
      <c r="ER53" s="16">
        <f>IF(ISNA(VLOOKUP(A53,'Données projet'!$A$191:$I$211,4,0)),0,VLOOKUP(A53,'Données projet'!$A$191:$I$211,4,0))</f>
        <v>47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10.375</v>
      </c>
      <c r="FE53" s="13">
        <f>IF('Données projet'!$A$218&gt;35,FE52+FD53-FM52,IF(A53&lt;'Données projet'!$A$218,$FB$205^A53,IF(A53='Données projet'!$A$218,'Données projet'!$B$218,FE52+FD53-FM52)))</f>
        <v>249.24999999999991</v>
      </c>
      <c r="FF53" s="18">
        <f>FE53*VLOOKUP('Données projet'!$B$16,Paramètres!$A$1:$I$89,3,0)*VLOOKUP('Données projet'!$B$16,Paramètres!$A$1:$I$89,5,0)</f>
        <v>194.41499999999994</v>
      </c>
      <c r="FG53" s="14">
        <f t="shared" si="47"/>
        <v>48.514737888684927</v>
      </c>
      <c r="FH53" s="22">
        <f t="shared" si="22"/>
        <v>423.10262682279273</v>
      </c>
      <c r="FI53" s="62">
        <f t="shared" si="23"/>
        <v>678.22360835226277</v>
      </c>
      <c r="FJ53" s="62">
        <f ca="1">AVERAGE(OFFSET($FI$3,0,0,'Données projet'!$E$16+1,1))-AVERAGE(OFFSET($H$3,0,0,'Données projet'!$E$16+1,1))</f>
        <v>309.21625451786218</v>
      </c>
      <c r="FK53" s="62">
        <f t="shared" si="48"/>
        <v>302.59481222418219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7.4</v>
      </c>
      <c r="N54" s="14">
        <f>IF('Données projet'!$A$36&gt;35,N53+M54-V53,IF(A54&lt;'Données projet'!$A$36,$K$205^A54,IF(A54='Données projet'!$A$36,'Données projet'!$B$36,N53+M54-V53)))</f>
        <v>249.40000000000009</v>
      </c>
      <c r="O54" s="14">
        <f>N54*VLOOKUP('Données projet'!$B$9,Paramètres!$A$1:$I$89,3,0)*VLOOKUP('Données projet'!$B$9,Paramètres!$A$1:$I$89,5,0)</f>
        <v>198.42264000000009</v>
      </c>
      <c r="P54" s="14">
        <f t="shared" si="33"/>
        <v>49.397352151183256</v>
      </c>
      <c r="Q54" s="22">
        <f t="shared" si="53"/>
        <v>431.61981966331092</v>
      </c>
      <c r="R54" s="62">
        <f t="shared" si="0"/>
        <v>687.4037000665578</v>
      </c>
      <c r="S54" s="62">
        <f ca="1">AVERAGE(OFFSET($R$3,0,0,'Données projet'!$E$9+1,1))-AVERAGE(OFFSET($H$3,0,0,'Données projet'!$E$9+1,1))</f>
        <v>394.70330963327166</v>
      </c>
      <c r="T54" s="62">
        <f t="shared" si="34"/>
        <v>424.06445894109982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10.375</v>
      </c>
      <c r="AI54" s="14">
        <f>IF('Données projet'!$A$62&gt;35,AI53+AH54-AQ53,IF(A54&lt;'Données projet'!$A$62,$AF$205^A54,IF(A54='Données projet'!$A$62,'Données projet'!$B$62,AI53+AH54-AQ53)))</f>
        <v>259.62499999999989</v>
      </c>
      <c r="AJ54" s="14">
        <f>AI54*VLOOKUP('Données projet'!$B$10,Paramètres!$A$1:$I$89,3,0)*VLOOKUP('Données projet'!$B$10,Paramètres!$A$1:$I$89,5,0)</f>
        <v>210.60779999999991</v>
      </c>
      <c r="AK54" s="14">
        <f t="shared" si="35"/>
        <v>52.068382941267707</v>
      </c>
      <c r="AL54" s="22">
        <f t="shared" si="4"/>
        <v>457.49435195604104</v>
      </c>
      <c r="AM54" s="62">
        <f t="shared" si="5"/>
        <v>713.27823235928781</v>
      </c>
      <c r="AN54" s="62">
        <f ca="1">AVERAGE(OFFSET($AM$3,0,0,'Données projet'!$E$10+1,1))-AVERAGE(OFFSET($H$3,0,0,'Données projet'!$E$10+1,1))</f>
        <v>319.39055628111151</v>
      </c>
      <c r="AO54" s="62">
        <f t="shared" si="36"/>
        <v>312.22190035638084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4.8</v>
      </c>
      <c r="BD54" s="13">
        <f>IF('Données projet'!$A$88&gt;35,BD53+BC54-BL53,IF(A54&lt;'Données projet'!$A$88,$BA$205^A54,IF(A54='Données projet'!$A$88,'Données projet'!$B$88,BD53+BC54-BL53)))</f>
        <v>165.79999999999995</v>
      </c>
      <c r="BE54" s="14">
        <f>BD54*VLOOKUP('Données projet'!$B$11,Paramètres!$A$1:$I$89,3,0)*VLOOKUP('Données projet'!$B$11,Paramètres!$A$1:$I$89,5,0)</f>
        <v>121.56455999999996</v>
      </c>
      <c r="BF54" s="14">
        <f t="shared" si="37"/>
        <v>32.039631659036409</v>
      </c>
      <c r="BG54" s="22">
        <f t="shared" si="7"/>
        <v>267.52730047282165</v>
      </c>
      <c r="BH54" s="62">
        <f t="shared" si="8"/>
        <v>523.31118087606842</v>
      </c>
      <c r="BI54" s="62">
        <f ca="1">AVERAGE(OFFSET($BH$3,0,0,'Données projet'!$E$11+1,1))-AVERAGE(OFFSET($H$3,0,0,'Données projet'!$E$11+1,1))</f>
        <v>257.906524944431</v>
      </c>
      <c r="BJ54" s="62">
        <f t="shared" si="38"/>
        <v>274.70390601173563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7.6</v>
      </c>
      <c r="BY54" s="13">
        <f>IF('Données projet'!$A$114&gt;35,BY53+BX54-CG53,IF(A54&lt;'Données projet'!$A$114,$BV$205^A54,IF(A54='Données projet'!$A$114,'Données projet'!$B$114,BY53+BX54-CG53)))</f>
        <v>235.59999999999997</v>
      </c>
      <c r="BZ54" s="14">
        <f>BY54*VLOOKUP('Données projet'!$B$12,Paramètres!$A$1:$I$89,3,0)*VLOOKUP('Données projet'!$B$12,Paramètres!$A$1:$I$89,5,0)</f>
        <v>191.11872</v>
      </c>
      <c r="CA54" s="14">
        <f t="shared" si="39"/>
        <v>47.787201388032145</v>
      </c>
      <c r="CB54" s="22">
        <f t="shared" si="10"/>
        <v>416.09447975082259</v>
      </c>
      <c r="CC54" s="62">
        <f t="shared" si="11"/>
        <v>671.87836015406947</v>
      </c>
      <c r="CD54" s="62">
        <f ca="1">AVERAGE(OFFSET($CC$3,0,0,'Données projet'!$E$12+1,1))-AVERAGE(OFFSET($H$3,0,0,'Données projet'!$E$12+1,1))</f>
        <v>272.69564942740931</v>
      </c>
      <c r="CE54" s="62">
        <f t="shared" si="40"/>
        <v>316.57989180609252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6.2820512820512819</v>
      </c>
      <c r="CT54" s="13">
        <f>IF('Données projet'!$A$140&gt;35,CT53+CS54-DB53,IF(A54&lt;'Données projet'!$A$140,$CQ$205^A54,IF(A54='Données projet'!$A$140,'Données projet'!$B$140,CT53+CS54-DB53)))</f>
        <v>201.7948717948718</v>
      </c>
      <c r="CU54" s="18">
        <f>CT54*VLOOKUP('Données projet'!$B$13,Paramètres!$A$1:$I$89,3,0)*VLOOKUP('Données projet'!$B$13,Paramètres!$A$1:$I$89,5,0)</f>
        <v>192.02799999999999</v>
      </c>
      <c r="CV54" s="14">
        <f t="shared" si="41"/>
        <v>47.98803743110534</v>
      </c>
      <c r="CW54" s="22">
        <f t="shared" si="13"/>
        <v>418.02793185917511</v>
      </c>
      <c r="CX54" s="62">
        <f t="shared" si="14"/>
        <v>673.81181226242188</v>
      </c>
      <c r="CY54" s="62">
        <f ca="1">AVERAGE(OFFSET($CX$3,0,0,'Données projet'!$E$13+1,1))-AVERAGE(OFFSET($H$3,0,0,'Données projet'!$E$13+1,1))</f>
        <v>491.87038198656927</v>
      </c>
      <c r="CZ54" s="62">
        <f t="shared" si="42"/>
        <v>406.49261644949559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10.199999999999999</v>
      </c>
      <c r="DO54" s="13">
        <f>IF('Données projet'!$A$166&gt;35,DO53+DN54-DW53,IF(A54&lt;'Données projet'!$A$166,$DL$205^A54,IF(A54='Données projet'!$A$166,'Données projet'!$B$166,DO53+DN54-DW53)))</f>
        <v>241.20000000000005</v>
      </c>
      <c r="DP54" s="18">
        <f>DO54*VLOOKUP('Données projet'!$B$14,Paramètres!$A$1:$I$89,3,0)*VLOOKUP('Données projet'!$B$14,Paramètres!$A$1:$I$89,5,0)</f>
        <v>233.28864000000007</v>
      </c>
      <c r="DQ54" s="14">
        <f t="shared" si="43"/>
        <v>56.993173773170618</v>
      </c>
      <c r="DR54" s="22">
        <f t="shared" si="16"/>
        <v>505.5741589882723</v>
      </c>
      <c r="DS54" s="62">
        <f t="shared" si="17"/>
        <v>761.35803939151913</v>
      </c>
      <c r="DT54" s="62">
        <f ca="1">AVERAGE(OFFSET($DS$3,0,0,'Données projet'!$E$14+1,1))-AVERAGE(OFFSET($H$3,0,0,'Données projet'!$E$14+1,1))</f>
        <v>603.52431522262032</v>
      </c>
      <c r="DU54" s="62">
        <f t="shared" si="44"/>
        <v>313.56299786481338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8.4</v>
      </c>
      <c r="EJ54" s="13">
        <f>IF('Données projet'!$A$192&gt;35,EJ53+EI54-ER53,IF(A54&lt;'Données projet'!$A$192,$EG$205^A54,IF(A54='Données projet'!$A$192,'Données projet'!$B$192,EJ53+EI54-ER53)))</f>
        <v>290.39999999999992</v>
      </c>
      <c r="EK54" s="18">
        <f>EJ54*VLOOKUP('Données projet'!$B$15,Paramètres!$A$1:$I$89,3,0)*VLOOKUP('Données projet'!$B$15,Paramètres!$A$1:$I$89,5,0)</f>
        <v>231.04223999999994</v>
      </c>
      <c r="EL54" s="14">
        <f t="shared" si="45"/>
        <v>56.507978852931409</v>
      </c>
      <c r="EM54" s="22">
        <f t="shared" si="19"/>
        <v>500.81663116885539</v>
      </c>
      <c r="EN54" s="62">
        <f t="shared" si="20"/>
        <v>756.60051157210228</v>
      </c>
      <c r="EO54" s="62">
        <f ca="1">AVERAGE(OFFSET($EN$3,0,0,'Données projet'!$E$15+1,1))-AVERAGE(OFFSET($H$3,0,0,'Données projet'!$E$15+1,1))</f>
        <v>450.93388191845378</v>
      </c>
      <c r="EP54" s="62">
        <f t="shared" si="46"/>
        <v>483.33635017129325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10.375</v>
      </c>
      <c r="FE54" s="13">
        <f>IF('Données projet'!$A$218&gt;35,FE53+FD54-FM53,IF(A54&lt;'Données projet'!$A$218,$FB$205^A54,IF(A54='Données projet'!$A$218,'Données projet'!$B$218,FE53+FD54-FM53)))</f>
        <v>259.62499999999989</v>
      </c>
      <c r="FF54" s="18">
        <f>FE54*VLOOKUP('Données projet'!$B$16,Paramètres!$A$1:$I$89,3,0)*VLOOKUP('Données projet'!$B$16,Paramètres!$A$1:$I$89,5,0)</f>
        <v>202.50749999999991</v>
      </c>
      <c r="FG54" s="14">
        <f t="shared" si="47"/>
        <v>50.294840086606349</v>
      </c>
      <c r="FH54" s="22">
        <f t="shared" si="22"/>
        <v>440.29740898417253</v>
      </c>
      <c r="FI54" s="62">
        <f t="shared" si="23"/>
        <v>696.08128938741936</v>
      </c>
      <c r="FJ54" s="62">
        <f ca="1">AVERAGE(OFFSET($FI$3,0,0,'Données projet'!$E$16+1,1))-AVERAGE(OFFSET($H$3,0,0,'Données projet'!$E$16+1,1))</f>
        <v>309.21625451786218</v>
      </c>
      <c r="FK54" s="62">
        <f t="shared" si="48"/>
        <v>302.59481222418219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7.4</v>
      </c>
      <c r="N55" s="14">
        <f>IF('Données projet'!$A$36&gt;35,N54+M55-V54,IF(A55&lt;'Données projet'!$A$36,$K$205^A55,IF(A55='Données projet'!$A$36,'Données projet'!$B$36,N54+M55-V54)))</f>
        <v>256.80000000000007</v>
      </c>
      <c r="O55" s="14">
        <f>N55*VLOOKUP('Données projet'!$B$9,Paramètres!$A$1:$I$89,3,0)*VLOOKUP('Données projet'!$B$9,Paramètres!$A$1:$I$89,5,0)</f>
        <v>204.31008000000008</v>
      </c>
      <c r="P55" s="14">
        <f t="shared" si="33"/>
        <v>50.690214235398379</v>
      </c>
      <c r="Q55" s="22">
        <f t="shared" si="53"/>
        <v>444.12551245998566</v>
      </c>
      <c r="R55" s="62">
        <f t="shared" si="0"/>
        <v>700.56079192356901</v>
      </c>
      <c r="S55" s="62">
        <f ca="1">AVERAGE(OFFSET($R$3,0,0,'Données projet'!$E$9+1,1))-AVERAGE(OFFSET($H$3,0,0,'Données projet'!$E$9+1,1))</f>
        <v>394.70330963327166</v>
      </c>
      <c r="T55" s="62">
        <f t="shared" si="34"/>
        <v>424.06445894109982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>
        <f>VLOOKUP(A55,'Données projet'!$A$61:$I$81,2,0)</f>
        <v>270</v>
      </c>
      <c r="AG55" s="13">
        <f>VLOOKUP(A55,'Données projet'!$A$61:$I$81,9,0)</f>
        <v>10.375</v>
      </c>
      <c r="AH55" s="13">
        <f t="array" ref="AH55">INDEX(AG:AG,MIN(IF(ISNUMBER(AG55:AG251),ROW(AG55:AG251),"")))</f>
        <v>10.375</v>
      </c>
      <c r="AI55" s="14">
        <f>IF('Données projet'!$A$62&gt;35,AI54+AH55-AQ54,IF(A55&lt;'Données projet'!$A$62,$AF$205^A55,IF(A55='Données projet'!$A$62,'Données projet'!$B$62,AI54+AH55-AQ54)))</f>
        <v>269.99999999999989</v>
      </c>
      <c r="AJ55" s="14">
        <f>AI55*VLOOKUP('Données projet'!$B$10,Paramètres!$A$1:$I$89,3,0)*VLOOKUP('Données projet'!$B$10,Paramètres!$A$1:$I$89,5,0)</f>
        <v>219.02399999999992</v>
      </c>
      <c r="AK55" s="14">
        <f t="shared" si="35"/>
        <v>53.902702081308306</v>
      </c>
      <c r="AL55" s="22">
        <f t="shared" si="4"/>
        <v>475.34733945827844</v>
      </c>
      <c r="AM55" s="62">
        <f t="shared" si="5"/>
        <v>731.78261892186174</v>
      </c>
      <c r="AN55" s="62">
        <f ca="1">AVERAGE(OFFSET($AM$3,0,0,'Données projet'!$E$10+1,1))-AVERAGE(OFFSET($H$3,0,0,'Données projet'!$E$10+1,1))</f>
        <v>319.39055628111151</v>
      </c>
      <c r="AO55" s="62">
        <f t="shared" si="36"/>
        <v>312.22190035638084</v>
      </c>
      <c r="AP55" s="16">
        <f>IF(ISNA(VLOOKUP(A55,'Données projet'!$A$61:$I$81,3,0)),0,VLOOKUP(A55,'Données projet'!$A$61:$I$81,3,0))</f>
        <v>6</v>
      </c>
      <c r="AQ55" s="16">
        <f>IF(ISNA(VLOOKUP(A55,'Données projet'!$A$61:$I$81,4,0)),0,VLOOKUP(A55,'Données projet'!$A$61:$I$81,4,0))</f>
        <v>48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4.8</v>
      </c>
      <c r="BD55" s="13">
        <f>IF('Données projet'!$A$88&gt;35,BD54+BC55-BL54,IF(A55&lt;'Données projet'!$A$88,$BA$205^A55,IF(A55='Données projet'!$A$88,'Données projet'!$B$88,BD54+BC55-BL54)))</f>
        <v>170.59999999999997</v>
      </c>
      <c r="BE55" s="14">
        <f>BD55*VLOOKUP('Données projet'!$B$11,Paramètres!$A$1:$I$89,3,0)*VLOOKUP('Données projet'!$B$11,Paramètres!$A$1:$I$89,5,0)</f>
        <v>125.08391999999996</v>
      </c>
      <c r="BF55" s="14">
        <f t="shared" si="37"/>
        <v>32.857861551507696</v>
      </c>
      <c r="BG55" s="22">
        <f t="shared" si="7"/>
        <v>275.08193620220914</v>
      </c>
      <c r="BH55" s="62">
        <f t="shared" si="8"/>
        <v>531.51721566579249</v>
      </c>
      <c r="BI55" s="62">
        <f ca="1">AVERAGE(OFFSET($BH$3,0,0,'Données projet'!$E$11+1,1))-AVERAGE(OFFSET($H$3,0,0,'Données projet'!$E$11+1,1))</f>
        <v>257.906524944431</v>
      </c>
      <c r="BJ55" s="62">
        <f t="shared" si="38"/>
        <v>274.70390601173563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7.6</v>
      </c>
      <c r="BY55" s="13">
        <f>IF('Données projet'!$A$114&gt;35,BY54+BX55-CG54,IF(A55&lt;'Données projet'!$A$114,$BV$205^A55,IF(A55='Données projet'!$A$114,'Données projet'!$B$114,BY54+BX55-CG54)))</f>
        <v>243.19999999999996</v>
      </c>
      <c r="BZ55" s="14">
        <f>BY55*VLOOKUP('Données projet'!$B$12,Paramètres!$A$1:$I$89,3,0)*VLOOKUP('Données projet'!$B$12,Paramètres!$A$1:$I$89,5,0)</f>
        <v>197.28383999999997</v>
      </c>
      <c r="CA55" s="14">
        <f t="shared" si="39"/>
        <v>49.146763750789503</v>
      </c>
      <c r="CB55" s="22">
        <f t="shared" si="10"/>
        <v>429.19996819929173</v>
      </c>
      <c r="CC55" s="62">
        <f t="shared" si="11"/>
        <v>685.63524766287514</v>
      </c>
      <c r="CD55" s="62">
        <f ca="1">AVERAGE(OFFSET($CC$3,0,0,'Données projet'!$E$12+1,1))-AVERAGE(OFFSET($H$3,0,0,'Données projet'!$E$12+1,1))</f>
        <v>272.69564942740931</v>
      </c>
      <c r="CE55" s="62">
        <f t="shared" si="40"/>
        <v>316.57989180609252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6.2820512820512819</v>
      </c>
      <c r="CT55" s="13">
        <f>IF('Données projet'!$A$140&gt;35,CT54+CS55-DB54,IF(A55&lt;'Données projet'!$A$140,$CQ$205^A55,IF(A55='Données projet'!$A$140,'Données projet'!$B$140,CT54+CS55-DB54)))</f>
        <v>208.07692307692307</v>
      </c>
      <c r="CU55" s="18">
        <f>CT55*VLOOKUP('Données projet'!$B$13,Paramètres!$A$1:$I$89,3,0)*VLOOKUP('Données projet'!$B$13,Paramètres!$A$1:$I$89,5,0)</f>
        <v>198.006</v>
      </c>
      <c r="CV55" s="14">
        <f t="shared" si="41"/>
        <v>49.305691649932633</v>
      </c>
      <c r="CW55" s="22">
        <f t="shared" si="13"/>
        <v>430.73452962363268</v>
      </c>
      <c r="CX55" s="62">
        <f t="shared" si="14"/>
        <v>687.16980908721598</v>
      </c>
      <c r="CY55" s="62">
        <f ca="1">AVERAGE(OFFSET($CX$3,0,0,'Données projet'!$E$13+1,1))-AVERAGE(OFFSET($H$3,0,0,'Données projet'!$E$13+1,1))</f>
        <v>491.87038198656927</v>
      </c>
      <c r="CZ55" s="62">
        <f t="shared" si="42"/>
        <v>406.49261644949559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10.199999999999999</v>
      </c>
      <c r="DO55" s="13">
        <f>IF('Données projet'!$A$166&gt;35,DO54+DN55-DW54,IF(A55&lt;'Données projet'!$A$166,$DL$205^A55,IF(A55='Données projet'!$A$166,'Données projet'!$B$166,DO54+DN55-DW54)))</f>
        <v>251.40000000000003</v>
      </c>
      <c r="DP55" s="18">
        <f>DO55*VLOOKUP('Données projet'!$B$14,Paramètres!$A$1:$I$89,3,0)*VLOOKUP('Données projet'!$B$14,Paramètres!$A$1:$I$89,5,0)</f>
        <v>243.15408000000005</v>
      </c>
      <c r="DQ55" s="14">
        <f t="shared" si="43"/>
        <v>59.117629630943199</v>
      </c>
      <c r="DR55" s="22">
        <f t="shared" si="16"/>
        <v>526.45656094055948</v>
      </c>
      <c r="DS55" s="62">
        <f t="shared" si="17"/>
        <v>782.89184040414284</v>
      </c>
      <c r="DT55" s="62">
        <f ca="1">AVERAGE(OFFSET($DS$3,0,0,'Données projet'!$E$14+1,1))-AVERAGE(OFFSET($H$3,0,0,'Données projet'!$E$14+1,1))</f>
        <v>603.52431522262032</v>
      </c>
      <c r="DU55" s="62">
        <f t="shared" si="44"/>
        <v>313.56299786481338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8.4</v>
      </c>
      <c r="EJ55" s="13">
        <f>IF('Données projet'!$A$192&gt;35,EJ54+EI55-ER54,IF(A55&lt;'Données projet'!$A$192,$EG$205^A55,IF(A55='Données projet'!$A$192,'Données projet'!$B$192,EJ54+EI55-ER54)))</f>
        <v>298.7999999999999</v>
      </c>
      <c r="EK55" s="18">
        <f>EJ55*VLOOKUP('Données projet'!$B$15,Paramètres!$A$1:$I$89,3,0)*VLOOKUP('Données projet'!$B$15,Paramètres!$A$1:$I$89,5,0)</f>
        <v>237.72527999999994</v>
      </c>
      <c r="EL55" s="14">
        <f t="shared" si="45"/>
        <v>57.949842464086196</v>
      </c>
      <c r="EM55" s="22">
        <f t="shared" si="19"/>
        <v>514.96750495828326</v>
      </c>
      <c r="EN55" s="62">
        <f t="shared" si="20"/>
        <v>771.40278442186661</v>
      </c>
      <c r="EO55" s="62">
        <f ca="1">AVERAGE(OFFSET($EN$3,0,0,'Données projet'!$E$15+1,1))-AVERAGE(OFFSET($H$3,0,0,'Données projet'!$E$15+1,1))</f>
        <v>450.93388191845378</v>
      </c>
      <c r="EP55" s="62">
        <f t="shared" si="46"/>
        <v>483.33635017129325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>
        <f>VLOOKUP(A55,'Données projet'!$A$217:$I$237,2,0)</f>
        <v>270</v>
      </c>
      <c r="FC55" s="13">
        <f>VLOOKUP(A55,'Données projet'!$A$217:$I$237,9,0)</f>
        <v>10.375</v>
      </c>
      <c r="FD55" s="13">
        <f t="array" ref="FD55">INDEX(FC:FC,MIN(IF(ISNUMBER(FC55:FC251),ROW(FC55:FC251),"")))</f>
        <v>10.375</v>
      </c>
      <c r="FE55" s="13">
        <f>IF('Données projet'!$A$218&gt;35,FE54+FD55-FM54,IF(A55&lt;'Données projet'!$A$218,$FB$205^A55,IF(A55='Données projet'!$A$218,'Données projet'!$B$218,FE54+FD55-FM54)))</f>
        <v>269.99999999999989</v>
      </c>
      <c r="FF55" s="18">
        <f>FE55*VLOOKUP('Données projet'!$B$16,Paramètres!$A$1:$I$89,3,0)*VLOOKUP('Données projet'!$B$16,Paramètres!$A$1:$I$89,5,0)</f>
        <v>210.59999999999991</v>
      </c>
      <c r="FG55" s="14">
        <f t="shared" si="47"/>
        <v>52.066679014659961</v>
      </c>
      <c r="FH55" s="22">
        <f t="shared" si="22"/>
        <v>457.47779928386586</v>
      </c>
      <c r="FI55" s="62">
        <f t="shared" si="23"/>
        <v>713.91307874744916</v>
      </c>
      <c r="FJ55" s="62">
        <f ca="1">AVERAGE(OFFSET($FI$3,0,0,'Données projet'!$E$16+1,1))-AVERAGE(OFFSET($H$3,0,0,'Données projet'!$E$16+1,1))</f>
        <v>309.21625451786218</v>
      </c>
      <c r="FK55" s="62">
        <f t="shared" si="48"/>
        <v>302.59481222418219</v>
      </c>
      <c r="FL55" s="16">
        <f>IF(ISNA(VLOOKUP(A55,'Données projet'!$A$217:$I$237,3,0)),0,VLOOKUP(A55,'Données projet'!$A$217:$I$237,3,0))</f>
        <v>6</v>
      </c>
      <c r="FM55" s="16">
        <f>IF(ISNA(VLOOKUP(A55,'Données projet'!$A$217:$I$237,4,0)),0,VLOOKUP(A55,'Données projet'!$A$217:$I$237,4,0))</f>
        <v>48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7.4</v>
      </c>
      <c r="N56" s="14">
        <f>IF('Données projet'!$A$36&gt;35,N55+M56-V55,IF(A56&lt;'Données projet'!$A$36,$K$205^A56,IF(A56='Données projet'!$A$36,'Données projet'!$B$36,N55+M56-V55)))</f>
        <v>264.20000000000005</v>
      </c>
      <c r="O56" s="14">
        <f>N56*VLOOKUP('Données projet'!$B$9,Paramètres!$A$1:$I$89,3,0)*VLOOKUP('Données projet'!$B$9,Paramètres!$A$1:$I$89,5,0)</f>
        <v>210.19752000000003</v>
      </c>
      <c r="P56" s="14">
        <f t="shared" si="33"/>
        <v>51.978746425856599</v>
      </c>
      <c r="Q56" s="22">
        <f t="shared" si="53"/>
        <v>456.62366402503358</v>
      </c>
      <c r="R56" s="62">
        <f t="shared" si="0"/>
        <v>713.69904223156686</v>
      </c>
      <c r="S56" s="62">
        <f ca="1">AVERAGE(OFFSET($R$3,0,0,'Données projet'!$E$9+1,1))-AVERAGE(OFFSET($H$3,0,0,'Données projet'!$E$9+1,1))</f>
        <v>394.70330963327166</v>
      </c>
      <c r="T56" s="62">
        <f t="shared" si="34"/>
        <v>424.06445894109982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9.375</v>
      </c>
      <c r="AI56" s="14">
        <f>IF('Données projet'!$A$62&gt;35,AI55+AH56-AQ55,IF(A56&lt;'Données projet'!$A$62,$AF$205^A56,IF(A56='Données projet'!$A$62,'Données projet'!$B$62,AI55+AH56-AQ55)))</f>
        <v>231.37499999999989</v>
      </c>
      <c r="AJ56" s="14">
        <f>AI56*VLOOKUP('Données projet'!$B$10,Paramètres!$A$1:$I$89,3,0)*VLOOKUP('Données projet'!$B$10,Paramètres!$A$1:$I$89,5,0)</f>
        <v>187.6913999999999</v>
      </c>
      <c r="AK56" s="14">
        <f t="shared" si="35"/>
        <v>47.029191592794206</v>
      </c>
      <c r="AL56" s="22">
        <f t="shared" si="4"/>
        <v>408.80503035744977</v>
      </c>
      <c r="AM56" s="62">
        <f t="shared" si="5"/>
        <v>665.880408563983</v>
      </c>
      <c r="AN56" s="62">
        <f ca="1">AVERAGE(OFFSET($AM$3,0,0,'Données projet'!$E$10+1,1))-AVERAGE(OFFSET($H$3,0,0,'Données projet'!$E$10+1,1))</f>
        <v>319.39055628111151</v>
      </c>
      <c r="AO56" s="62">
        <f t="shared" si="36"/>
        <v>312.22190035638084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4.8</v>
      </c>
      <c r="BD56" s="13">
        <f>IF('Données projet'!$A$88&gt;35,BD55+BC56-BL55,IF(A56&lt;'Données projet'!$A$88,$BA$205^A56,IF(A56='Données projet'!$A$88,'Données projet'!$B$88,BD55+BC56-BL55)))</f>
        <v>175.39999999999998</v>
      </c>
      <c r="BE56" s="14">
        <f>BD56*VLOOKUP('Données projet'!$B$11,Paramètres!$A$1:$I$89,3,0)*VLOOKUP('Données projet'!$B$11,Paramètres!$A$1:$I$89,5,0)</f>
        <v>128.60327999999998</v>
      </c>
      <c r="BF56" s="14">
        <f t="shared" si="37"/>
        <v>33.673415727367775</v>
      </c>
      <c r="BG56" s="22">
        <f t="shared" si="7"/>
        <v>282.63191172516548</v>
      </c>
      <c r="BH56" s="62">
        <f t="shared" si="8"/>
        <v>539.70728993169871</v>
      </c>
      <c r="BI56" s="62">
        <f ca="1">AVERAGE(OFFSET($BH$3,0,0,'Données projet'!$E$11+1,1))-AVERAGE(OFFSET($H$3,0,0,'Données projet'!$E$11+1,1))</f>
        <v>257.906524944431</v>
      </c>
      <c r="BJ56" s="62">
        <f t="shared" si="38"/>
        <v>274.70390601173563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7.6</v>
      </c>
      <c r="BY56" s="13">
        <f>IF('Données projet'!$A$114&gt;35,BY55+BX56-CG55,IF(A56&lt;'Données projet'!$A$114,$BV$205^A56,IF(A56='Données projet'!$A$114,'Données projet'!$B$114,BY55+BX56-CG55)))</f>
        <v>250.79999999999995</v>
      </c>
      <c r="BZ56" s="14">
        <f>BY56*VLOOKUP('Données projet'!$B$12,Paramètres!$A$1:$I$89,3,0)*VLOOKUP('Données projet'!$B$12,Paramètres!$A$1:$I$89,5,0)</f>
        <v>203.44895999999997</v>
      </c>
      <c r="CA56" s="14">
        <f t="shared" si="39"/>
        <v>50.501388840000267</v>
      </c>
      <c r="CB56" s="22">
        <f t="shared" si="10"/>
        <v>442.2968575630004</v>
      </c>
      <c r="CC56" s="62">
        <f t="shared" si="11"/>
        <v>699.37223576953363</v>
      </c>
      <c r="CD56" s="62">
        <f ca="1">AVERAGE(OFFSET($CC$3,0,0,'Données projet'!$E$12+1,1))-AVERAGE(OFFSET($H$3,0,0,'Données projet'!$E$12+1,1))</f>
        <v>272.69564942740931</v>
      </c>
      <c r="CE56" s="62">
        <f t="shared" si="40"/>
        <v>316.57989180609252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6.2820512820512819</v>
      </c>
      <c r="CT56" s="13">
        <f>IF('Données projet'!$A$140&gt;35,CT55+CS56-DB55,IF(A56&lt;'Données projet'!$A$140,$CQ$205^A56,IF(A56='Données projet'!$A$140,'Données projet'!$B$140,CT55+CS56-DB55)))</f>
        <v>214.35897435897434</v>
      </c>
      <c r="CU56" s="18">
        <f>CT56*VLOOKUP('Données projet'!$B$13,Paramètres!$A$1:$I$89,3,0)*VLOOKUP('Données projet'!$B$13,Paramètres!$A$1:$I$89,5,0)</f>
        <v>203.98399999999998</v>
      </c>
      <c r="CV56" s="14">
        <f t="shared" si="41"/>
        <v>50.618722709765592</v>
      </c>
      <c r="CW56" s="22">
        <f t="shared" si="13"/>
        <v>443.43307538617501</v>
      </c>
      <c r="CX56" s="62">
        <f t="shared" si="14"/>
        <v>700.50845359270829</v>
      </c>
      <c r="CY56" s="62">
        <f ca="1">AVERAGE(OFFSET($CX$3,0,0,'Données projet'!$E$13+1,1))-AVERAGE(OFFSET($H$3,0,0,'Données projet'!$E$13+1,1))</f>
        <v>491.87038198656927</v>
      </c>
      <c r="CZ56" s="62">
        <f t="shared" si="42"/>
        <v>406.49261644949559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10.199999999999999</v>
      </c>
      <c r="DO56" s="13">
        <f>IF('Données projet'!$A$166&gt;35,DO55+DN56-DW55,IF(A56&lt;'Données projet'!$A$166,$DL$205^A56,IF(A56='Données projet'!$A$166,'Données projet'!$B$166,DO55+DN56-DW55)))</f>
        <v>261.60000000000002</v>
      </c>
      <c r="DP56" s="18">
        <f>DO56*VLOOKUP('Données projet'!$B$14,Paramètres!$A$1:$I$89,3,0)*VLOOKUP('Données projet'!$B$14,Paramètres!$A$1:$I$89,5,0)</f>
        <v>253.01952000000003</v>
      </c>
      <c r="DQ56" s="14">
        <f t="shared" si="43"/>
        <v>61.232073131479261</v>
      </c>
      <c r="DR56" s="22">
        <f t="shared" si="16"/>
        <v>547.32152470399308</v>
      </c>
      <c r="DS56" s="62">
        <f t="shared" si="17"/>
        <v>804.39690291052625</v>
      </c>
      <c r="DT56" s="62">
        <f ca="1">AVERAGE(OFFSET($DS$3,0,0,'Données projet'!$E$14+1,1))-AVERAGE(OFFSET($H$3,0,0,'Données projet'!$E$14+1,1))</f>
        <v>603.52431522262032</v>
      </c>
      <c r="DU56" s="62">
        <f t="shared" si="44"/>
        <v>313.56299786481338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8.4</v>
      </c>
      <c r="EJ56" s="13">
        <f>IF('Données projet'!$A$192&gt;35,EJ55+EI56-ER55,IF(A56&lt;'Données projet'!$A$192,$EG$205^A56,IF(A56='Données projet'!$A$192,'Données projet'!$B$192,EJ55+EI56-ER55)))</f>
        <v>307.19999999999987</v>
      </c>
      <c r="EK56" s="18">
        <f>EJ56*VLOOKUP('Données projet'!$B$15,Paramètres!$A$1:$I$89,3,0)*VLOOKUP('Données projet'!$B$15,Paramètres!$A$1:$I$89,5,0)</f>
        <v>244.40831999999992</v>
      </c>
      <c r="EL56" s="14">
        <f t="shared" si="45"/>
        <v>59.38699493610541</v>
      </c>
      <c r="EM56" s="22">
        <f t="shared" si="19"/>
        <v>529.11017351371675</v>
      </c>
      <c r="EN56" s="62">
        <f t="shared" si="20"/>
        <v>786.18555172025003</v>
      </c>
      <c r="EO56" s="62">
        <f ca="1">AVERAGE(OFFSET($EN$3,0,0,'Données projet'!$E$15+1,1))-AVERAGE(OFFSET($H$3,0,0,'Données projet'!$E$15+1,1))</f>
        <v>450.93388191845378</v>
      </c>
      <c r="EP56" s="62">
        <f t="shared" si="46"/>
        <v>483.33635017129325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9.375</v>
      </c>
      <c r="FE56" s="13">
        <f>IF('Données projet'!$A$218&gt;35,FE55+FD56-FM55,IF(A56&lt;'Données projet'!$A$218,$FB$205^A56,IF(A56='Données projet'!$A$218,'Données projet'!$B$218,FE55+FD56-FM55)))</f>
        <v>231.37499999999989</v>
      </c>
      <c r="FF56" s="18">
        <f>FE56*VLOOKUP('Données projet'!$B$16,Paramètres!$A$1:$I$89,3,0)*VLOOKUP('Données projet'!$B$16,Paramètres!$A$1:$I$89,5,0)</f>
        <v>180.47249999999991</v>
      </c>
      <c r="FG56" s="14">
        <f t="shared" si="47"/>
        <v>45.427292666837829</v>
      </c>
      <c r="FH56" s="22">
        <f t="shared" si="22"/>
        <v>393.44213889474241</v>
      </c>
      <c r="FI56" s="62">
        <f t="shared" si="23"/>
        <v>650.51751710127564</v>
      </c>
      <c r="FJ56" s="62">
        <f ca="1">AVERAGE(OFFSET($FI$3,0,0,'Données projet'!$E$16+1,1))-AVERAGE(OFFSET($H$3,0,0,'Données projet'!$E$16+1,1))</f>
        <v>309.21625451786218</v>
      </c>
      <c r="FK56" s="62">
        <f t="shared" si="48"/>
        <v>302.59481222418219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7.4</v>
      </c>
      <c r="N57" s="14">
        <f>IF('Données projet'!$A$36&gt;35,N56+M57-V56,IF(A57&lt;'Données projet'!$A$36,$K$205^A57,IF(A57='Données projet'!$A$36,'Données projet'!$B$36,N56+M57-V56)))</f>
        <v>271.60000000000002</v>
      </c>
      <c r="O57" s="14">
        <f>N57*VLOOKUP('Données projet'!$B$9,Paramètres!$A$1:$I$89,3,0)*VLOOKUP('Données projet'!$B$9,Paramètres!$A$1:$I$89,5,0)</f>
        <v>216.08496000000002</v>
      </c>
      <c r="P57" s="14">
        <f t="shared" si="33"/>
        <v>53.26308393083157</v>
      </c>
      <c r="Q57" s="22">
        <f t="shared" si="53"/>
        <v>469.11450984619825</v>
      </c>
      <c r="R57" s="62">
        <f t="shared" si="0"/>
        <v>726.81888251353757</v>
      </c>
      <c r="S57" s="62">
        <f ca="1">AVERAGE(OFFSET($R$3,0,0,'Données projet'!$E$9+1,1))-AVERAGE(OFFSET($H$3,0,0,'Données projet'!$E$9+1,1))</f>
        <v>394.70330963327166</v>
      </c>
      <c r="T57" s="62">
        <f t="shared" si="34"/>
        <v>424.06445894109982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9.375</v>
      </c>
      <c r="AI57" s="14">
        <f>IF('Données projet'!$A$62&gt;35,AI56+AH57-AQ56,IF(A57&lt;'Données projet'!$A$62,$AF$205^A57,IF(A57='Données projet'!$A$62,'Données projet'!$B$62,AI56+AH57-AQ56)))</f>
        <v>240.74999999999989</v>
      </c>
      <c r="AJ57" s="14">
        <f>AI57*VLOOKUP('Données projet'!$B$10,Paramètres!$A$1:$I$89,3,0)*VLOOKUP('Données projet'!$B$10,Paramètres!$A$1:$I$89,5,0)</f>
        <v>195.29639999999992</v>
      </c>
      <c r="AK57" s="14">
        <f t="shared" si="35"/>
        <v>48.709031383366153</v>
      </c>
      <c r="AL57" s="22">
        <f t="shared" si="4"/>
        <v>424.97612632602926</v>
      </c>
      <c r="AM57" s="62">
        <f t="shared" si="5"/>
        <v>682.68049899336859</v>
      </c>
      <c r="AN57" s="62">
        <f ca="1">AVERAGE(OFFSET($AM$3,0,0,'Données projet'!$E$10+1,1))-AVERAGE(OFFSET($H$3,0,0,'Données projet'!$E$10+1,1))</f>
        <v>319.39055628111151</v>
      </c>
      <c r="AO57" s="62">
        <f t="shared" si="36"/>
        <v>312.22190035638084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4.8</v>
      </c>
      <c r="BD57" s="13">
        <f>IF('Données projet'!$A$88&gt;35,BD56+BC57-BL56,IF(A57&lt;'Données projet'!$A$88,$BA$205^A57,IF(A57='Données projet'!$A$88,'Données projet'!$B$88,BD56+BC57-BL56)))</f>
        <v>180.2</v>
      </c>
      <c r="BE57" s="14">
        <f>BD57*VLOOKUP('Données projet'!$B$11,Paramètres!$A$1:$I$89,3,0)*VLOOKUP('Données projet'!$B$11,Paramètres!$A$1:$I$89,5,0)</f>
        <v>132.12263999999999</v>
      </c>
      <c r="BF57" s="14">
        <f t="shared" si="37"/>
        <v>34.486375824149697</v>
      </c>
      <c r="BG57" s="22">
        <f t="shared" si="7"/>
        <v>290.17736922706069</v>
      </c>
      <c r="BH57" s="62">
        <f t="shared" si="8"/>
        <v>547.88174189439997</v>
      </c>
      <c r="BI57" s="62">
        <f ca="1">AVERAGE(OFFSET($BH$3,0,0,'Données projet'!$E$11+1,1))-AVERAGE(OFFSET($H$3,0,0,'Données projet'!$E$11+1,1))</f>
        <v>257.906524944431</v>
      </c>
      <c r="BJ57" s="62">
        <f t="shared" si="38"/>
        <v>274.70390601173563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7.6</v>
      </c>
      <c r="BY57" s="13">
        <f>IF('Données projet'!$A$114&gt;35,BY56+BX57-CG56,IF(A57&lt;'Données projet'!$A$114,$BV$205^A57,IF(A57='Données projet'!$A$114,'Données projet'!$B$114,BY56+BX57-CG56)))</f>
        <v>258.39999999999998</v>
      </c>
      <c r="BZ57" s="14">
        <f>BY57*VLOOKUP('Données projet'!$B$12,Paramètres!$A$1:$I$89,3,0)*VLOOKUP('Données projet'!$B$12,Paramètres!$A$1:$I$89,5,0)</f>
        <v>209.61408</v>
      </c>
      <c r="CA57" s="14">
        <f t="shared" si="39"/>
        <v>51.851243442662593</v>
      </c>
      <c r="CB57" s="22">
        <f t="shared" si="10"/>
        <v>455.38543832930395</v>
      </c>
      <c r="CC57" s="62">
        <f t="shared" si="11"/>
        <v>713.08981099664334</v>
      </c>
      <c r="CD57" s="62">
        <f ca="1">AVERAGE(OFFSET($CC$3,0,0,'Données projet'!$E$12+1,1))-AVERAGE(OFFSET($H$3,0,0,'Données projet'!$E$12+1,1))</f>
        <v>272.69564942740931</v>
      </c>
      <c r="CE57" s="62">
        <f t="shared" si="40"/>
        <v>316.57989180609252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6.2820512820512819</v>
      </c>
      <c r="CT57" s="13">
        <f>IF('Données projet'!$A$140&gt;35,CT56+CS57-DB56,IF(A57&lt;'Données projet'!$A$140,$CQ$205^A57,IF(A57='Données projet'!$A$140,'Données projet'!$B$140,CT56+CS57-DB56)))</f>
        <v>220.64102564102561</v>
      </c>
      <c r="CU57" s="18">
        <f>CT57*VLOOKUP('Données projet'!$B$13,Paramètres!$A$1:$I$89,3,0)*VLOOKUP('Données projet'!$B$13,Paramètres!$A$1:$I$89,5,0)</f>
        <v>209.96199999999999</v>
      </c>
      <c r="CV57" s="14">
        <f t="shared" si="41"/>
        <v>51.927281654776422</v>
      </c>
      <c r="CW57" s="22">
        <f t="shared" si="13"/>
        <v>456.12383221540227</v>
      </c>
      <c r="CX57" s="62">
        <f t="shared" si="14"/>
        <v>713.8282048827416</v>
      </c>
      <c r="CY57" s="62">
        <f ca="1">AVERAGE(OFFSET($CX$3,0,0,'Données projet'!$E$13+1,1))-AVERAGE(OFFSET($H$3,0,0,'Données projet'!$E$13+1,1))</f>
        <v>491.87038198656927</v>
      </c>
      <c r="CZ57" s="62">
        <f t="shared" si="42"/>
        <v>406.49261644949559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10.199999999999999</v>
      </c>
      <c r="DO57" s="13">
        <f>IF('Données projet'!$A$166&gt;35,DO56+DN57-DW56,IF(A57&lt;'Données projet'!$A$166,$DL$205^A57,IF(A57='Données projet'!$A$166,'Données projet'!$B$166,DO56+DN57-DW56)))</f>
        <v>271.8</v>
      </c>
      <c r="DP57" s="18">
        <f>DO57*VLOOKUP('Données projet'!$B$14,Paramètres!$A$1:$I$89,3,0)*VLOOKUP('Données projet'!$B$14,Paramètres!$A$1:$I$89,5,0)</f>
        <v>262.88496000000004</v>
      </c>
      <c r="DQ57" s="14">
        <f t="shared" si="43"/>
        <v>63.336939343271965</v>
      </c>
      <c r="DR57" s="22">
        <f t="shared" si="16"/>
        <v>568.16980802286537</v>
      </c>
      <c r="DS57" s="62">
        <f t="shared" si="17"/>
        <v>825.87418069020464</v>
      </c>
      <c r="DT57" s="62">
        <f ca="1">AVERAGE(OFFSET($DS$3,0,0,'Données projet'!$E$14+1,1))-AVERAGE(OFFSET($H$3,0,0,'Données projet'!$E$14+1,1))</f>
        <v>603.52431522262032</v>
      </c>
      <c r="DU57" s="62">
        <f t="shared" si="44"/>
        <v>313.56299786481338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8.4</v>
      </c>
      <c r="EJ57" s="13">
        <f>IF('Données projet'!$A$192&gt;35,EJ56+EI57-ER56,IF(A57&lt;'Données projet'!$A$192,$EG$205^A57,IF(A57='Données projet'!$A$192,'Données projet'!$B$192,EJ56+EI57-ER56)))</f>
        <v>315.59999999999985</v>
      </c>
      <c r="EK57" s="18">
        <f>EJ57*VLOOKUP('Données projet'!$B$15,Paramètres!$A$1:$I$89,3,0)*VLOOKUP('Données projet'!$B$15,Paramètres!$A$1:$I$89,5,0)</f>
        <v>251.0913599999999</v>
      </c>
      <c r="EL57" s="14">
        <f t="shared" si="45"/>
        <v>60.81957989149403</v>
      </c>
      <c r="EM57" s="22">
        <f t="shared" si="19"/>
        <v>543.24488697768527</v>
      </c>
      <c r="EN57" s="62">
        <f t="shared" si="20"/>
        <v>800.94925964502454</v>
      </c>
      <c r="EO57" s="62">
        <f ca="1">AVERAGE(OFFSET($EN$3,0,0,'Données projet'!$E$15+1,1))-AVERAGE(OFFSET($H$3,0,0,'Données projet'!$E$15+1,1))</f>
        <v>450.93388191845378</v>
      </c>
      <c r="EP57" s="62">
        <f t="shared" si="46"/>
        <v>483.33635017129325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9.375</v>
      </c>
      <c r="FE57" s="13">
        <f>IF('Données projet'!$A$218&gt;35,FE56+FD57-FM56,IF(A57&lt;'Données projet'!$A$218,$FB$205^A57,IF(A57='Données projet'!$A$218,'Données projet'!$B$218,FE56+FD57-FM56)))</f>
        <v>240.74999999999989</v>
      </c>
      <c r="FF57" s="18">
        <f>FE57*VLOOKUP('Données projet'!$B$16,Paramètres!$A$1:$I$89,3,0)*VLOOKUP('Données projet'!$B$16,Paramètres!$A$1:$I$89,5,0)</f>
        <v>187.78499999999991</v>
      </c>
      <c r="FG57" s="14">
        <f t="shared" si="47"/>
        <v>47.049914090154054</v>
      </c>
      <c r="FH57" s="22">
        <f t="shared" si="22"/>
        <v>409.0041420403515</v>
      </c>
      <c r="FI57" s="62">
        <f t="shared" si="23"/>
        <v>666.70851470769082</v>
      </c>
      <c r="FJ57" s="62">
        <f ca="1">AVERAGE(OFFSET($FI$3,0,0,'Données projet'!$E$16+1,1))-AVERAGE(OFFSET($H$3,0,0,'Données projet'!$E$16+1,1))</f>
        <v>309.21625451786218</v>
      </c>
      <c r="FK57" s="62">
        <f t="shared" si="48"/>
        <v>302.59481222418219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279</v>
      </c>
      <c r="L58" s="13">
        <f>VLOOKUP(A58,'Données projet'!$A$35:$I$55,9,0)</f>
        <v>7.4</v>
      </c>
      <c r="M58" s="13">
        <f t="array" ref="M58">INDEX(L:L,MIN(IF(ISNUMBER(L58:L254),ROW(L58:L254),"")))</f>
        <v>7.4</v>
      </c>
      <c r="N58" s="14">
        <f>IF('Données projet'!$A$36&gt;35,N57+M58-V57,IF(A58&lt;'Données projet'!$A$36,$K$205^A58,IF(A58='Données projet'!$A$36,'Données projet'!$B$36,N57+M58-V57)))</f>
        <v>279</v>
      </c>
      <c r="O58" s="14">
        <f>N58*VLOOKUP('Données projet'!$B$9,Paramètres!$A$1:$I$89,3,0)*VLOOKUP('Données projet'!$B$9,Paramètres!$A$1:$I$89,5,0)</f>
        <v>221.97239999999999</v>
      </c>
      <c r="P58" s="14">
        <f t="shared" si="33"/>
        <v>54.543354171476821</v>
      </c>
      <c r="Q58" s="22">
        <f t="shared" si="53"/>
        <v>481.59827184865549</v>
      </c>
      <c r="R58" s="62">
        <f t="shared" si="0"/>
        <v>739.92072732912686</v>
      </c>
      <c r="S58" s="62">
        <f ca="1">AVERAGE(OFFSET($R$3,0,0,'Données projet'!$E$9+1,1))-AVERAGE(OFFSET($H$3,0,0,'Données projet'!$E$9+1,1))</f>
        <v>394.70330963327166</v>
      </c>
      <c r="T58" s="62">
        <f t="shared" si="34"/>
        <v>424.06445894109982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9.375</v>
      </c>
      <c r="AI58" s="14">
        <f>IF('Données projet'!$A$62&gt;35,AI57+AH58-AQ57,IF(A58&lt;'Données projet'!$A$62,$AF$205^A58,IF(A58='Données projet'!$A$62,'Données projet'!$B$62,AI57+AH58-AQ57)))</f>
        <v>250.12499999999989</v>
      </c>
      <c r="AJ58" s="14">
        <f>AI58*VLOOKUP('Données projet'!$B$10,Paramètres!$A$1:$I$89,3,0)*VLOOKUP('Données projet'!$B$10,Paramètres!$A$1:$I$89,5,0)</f>
        <v>202.90139999999991</v>
      </c>
      <c r="AK58" s="14">
        <f t="shared" si="35"/>
        <v>50.381272148922065</v>
      </c>
      <c r="AL58" s="22">
        <f t="shared" si="4"/>
        <v>441.13398732603906</v>
      </c>
      <c r="AM58" s="62">
        <f t="shared" si="5"/>
        <v>699.45644280651049</v>
      </c>
      <c r="AN58" s="62">
        <f ca="1">AVERAGE(OFFSET($AM$3,0,0,'Données projet'!$E$10+1,1))-AVERAGE(OFFSET($H$3,0,0,'Données projet'!$E$10+1,1))</f>
        <v>319.39055628111151</v>
      </c>
      <c r="AO58" s="62">
        <f t="shared" si="36"/>
        <v>312.22190035638084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185</v>
      </c>
      <c r="BB58" s="13">
        <f>VLOOKUP(A58,'Données projet'!$A$87:$I$107,9,0)</f>
        <v>4.8</v>
      </c>
      <c r="BC58" s="13">
        <f t="array" ref="BC58">INDEX(BB:BB,MIN(IF(ISNUMBER(BB58:BB254),ROW(BB58:BB254),"")))</f>
        <v>4.8</v>
      </c>
      <c r="BD58" s="13">
        <f>IF('Données projet'!$A$88&gt;35,BD57+BC58-BL57,IF(A58&lt;'Données projet'!$A$88,$BA$205^A58,IF(A58='Données projet'!$A$88,'Données projet'!$B$88,BD57+BC58-BL57)))</f>
        <v>185</v>
      </c>
      <c r="BE58" s="14">
        <f>BD58*VLOOKUP('Données projet'!$B$11,Paramètres!$A$1:$I$89,3,0)*VLOOKUP('Données projet'!$B$11,Paramètres!$A$1:$I$89,5,0)</f>
        <v>135.642</v>
      </c>
      <c r="BF58" s="14">
        <f t="shared" si="37"/>
        <v>35.296818882581498</v>
      </c>
      <c r="BG58" s="22">
        <f t="shared" si="7"/>
        <v>297.71844288716278</v>
      </c>
      <c r="BH58" s="62">
        <f t="shared" si="8"/>
        <v>556.0408983676341</v>
      </c>
      <c r="BI58" s="62">
        <f ca="1">AVERAGE(OFFSET($BH$3,0,0,'Données projet'!$E$11+1,1))-AVERAGE(OFFSET($H$3,0,0,'Données projet'!$E$11+1,1))</f>
        <v>257.906524944431</v>
      </c>
      <c r="BJ58" s="62">
        <f t="shared" si="38"/>
        <v>274.70390601173563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266</v>
      </c>
      <c r="BW58" s="13">
        <f>VLOOKUP(A58,'Données projet'!$A$113:$I$133,9,0)</f>
        <v>7.6</v>
      </c>
      <c r="BX58" s="13">
        <f t="array" ref="BX58">INDEX(BW:BW,MIN(IF(ISNUMBER(BW58:BW254),ROW(BW58:BW254),"")))</f>
        <v>7.6</v>
      </c>
      <c r="BY58" s="13">
        <f>IF('Données projet'!$A$114&gt;35,BY57+BX58-CG57,IF(A58&lt;'Données projet'!$A$114,$BV$205^A58,IF(A58='Données projet'!$A$114,'Données projet'!$B$114,BY57+BX58-CG57)))</f>
        <v>266</v>
      </c>
      <c r="BZ58" s="14">
        <f>BY58*VLOOKUP('Données projet'!$B$12,Paramètres!$A$1:$I$89,3,0)*VLOOKUP('Données projet'!$B$12,Paramètres!$A$1:$I$89,5,0)</f>
        <v>215.7792</v>
      </c>
      <c r="CA58" s="14">
        <f t="shared" si="39"/>
        <v>53.196483976998607</v>
      </c>
      <c r="CB58" s="22">
        <f t="shared" si="10"/>
        <v>468.46598292660588</v>
      </c>
      <c r="CC58" s="62">
        <f t="shared" si="11"/>
        <v>726.78843840707725</v>
      </c>
      <c r="CD58" s="62">
        <f ca="1">AVERAGE(OFFSET($CC$3,0,0,'Données projet'!$E$12+1,1))-AVERAGE(OFFSET($H$3,0,0,'Données projet'!$E$12+1,1))</f>
        <v>272.69564942740931</v>
      </c>
      <c r="CE58" s="62">
        <f t="shared" si="40"/>
        <v>316.57989180609252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226.92307692307691</v>
      </c>
      <c r="CR58" s="13">
        <f>VLOOKUP(A58,'Données projet'!$A$139:$I$159,9,0)</f>
        <v>6.2820512820512819</v>
      </c>
      <c r="CS58" s="13">
        <f t="array" ref="CS58">INDEX(CR:CR,MIN(IF(ISNUMBER(CR58:CR254),ROW(CR58:CR254),"")))</f>
        <v>6.2820512820512819</v>
      </c>
      <c r="CT58" s="13">
        <f>IF('Données projet'!$A$140&gt;35,CT57+CS58-DB57,IF(A58&lt;'Données projet'!$A$140,$CQ$205^A58,IF(A58='Données projet'!$A$140,'Données projet'!$B$140,CT57+CS58-DB57)))</f>
        <v>226.92307692307688</v>
      </c>
      <c r="CU58" s="18">
        <f>CT58*VLOOKUP('Données projet'!$B$13,Paramètres!$A$1:$I$89,3,0)*VLOOKUP('Données projet'!$B$13,Paramètres!$A$1:$I$89,5,0)</f>
        <v>215.93999999999997</v>
      </c>
      <c r="CV58" s="14">
        <f t="shared" si="41"/>
        <v>53.231510438903811</v>
      </c>
      <c r="CW58" s="22">
        <f t="shared" si="13"/>
        <v>468.80704734775742</v>
      </c>
      <c r="CX58" s="62">
        <f t="shared" si="14"/>
        <v>727.12950282822885</v>
      </c>
      <c r="CY58" s="62">
        <f ca="1">AVERAGE(OFFSET($CX$3,0,0,'Données projet'!$E$13+1,1))-AVERAGE(OFFSET($H$3,0,0,'Données projet'!$E$13+1,1))</f>
        <v>491.87038198656927</v>
      </c>
      <c r="CZ58" s="62">
        <f t="shared" si="42"/>
        <v>406.49261644949559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282</v>
      </c>
      <c r="DM58" s="13">
        <f>VLOOKUP(A58,'Données projet'!$A$165:$I$185,9,0)</f>
        <v>10.199999999999999</v>
      </c>
      <c r="DN58" s="13">
        <f t="array" ref="DN58">INDEX(DM:DM,MIN(IF(ISNUMBER(DM58:DM254),ROW(DM58:DM254),"")))</f>
        <v>10.199999999999999</v>
      </c>
      <c r="DO58" s="13">
        <f>IF('Données projet'!$A$166&gt;35,DO57+DN58-DW57,IF(A58&lt;'Données projet'!$A$166,$DL$205^A58,IF(A58='Données projet'!$A$166,'Données projet'!$B$166,DO57+DN58-DW57)))</f>
        <v>282</v>
      </c>
      <c r="DP58" s="18">
        <f>DO58*VLOOKUP('Données projet'!$B$14,Paramètres!$A$1:$I$89,3,0)*VLOOKUP('Données projet'!$B$14,Paramètres!$A$1:$I$89,5,0)</f>
        <v>272.75040000000001</v>
      </c>
      <c r="DQ58" s="14">
        <f t="shared" si="43"/>
        <v>65.43262883082069</v>
      </c>
      <c r="DR58" s="22">
        <f t="shared" si="16"/>
        <v>589.00210854701277</v>
      </c>
      <c r="DS58" s="62">
        <f t="shared" si="17"/>
        <v>847.32456402748414</v>
      </c>
      <c r="DT58" s="62">
        <f ca="1">AVERAGE(OFFSET($DS$3,0,0,'Données projet'!$E$14+1,1))-AVERAGE(OFFSET($H$3,0,0,'Données projet'!$E$14+1,1))</f>
        <v>603.52431522262032</v>
      </c>
      <c r="DU58" s="62">
        <f t="shared" si="44"/>
        <v>313.56299786481338</v>
      </c>
      <c r="DV58" s="16">
        <f>IF(ISNA(VLOOKUP(A58,'Données projet'!$A$165:$I$185,3,0)),0,VLOOKUP(A58,'Données projet'!$A$165:$I$185,3,0))</f>
        <v>4</v>
      </c>
      <c r="DW58" s="16">
        <f>IF(ISNA(VLOOKUP(A58,'Données projet'!$A$165:$I$185,4,0)),0,VLOOKUP(A58,'Données projet'!$A$165:$I$185,4,0))</f>
        <v>56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324</v>
      </c>
      <c r="EH58" s="13">
        <f>VLOOKUP(A58,'Données projet'!$A$191:$I$211,9,0)</f>
        <v>8.4</v>
      </c>
      <c r="EI58" s="13">
        <f t="array" ref="EI58">INDEX(EH:EH,MIN(IF(ISNUMBER(EH58:EH254),ROW(EH58:EH254),"")))</f>
        <v>8.4</v>
      </c>
      <c r="EJ58" s="13">
        <f>IF('Données projet'!$A$192&gt;35,EJ57+EI58-ER57,IF(A58&lt;'Données projet'!$A$192,$EG$205^A58,IF(A58='Données projet'!$A$192,'Données projet'!$B$192,EJ57+EI58-ER57)))</f>
        <v>323.99999999999983</v>
      </c>
      <c r="EK58" s="18">
        <f>EJ58*VLOOKUP('Données projet'!$B$15,Paramètres!$A$1:$I$89,3,0)*VLOOKUP('Données projet'!$B$15,Paramètres!$A$1:$I$89,5,0)</f>
        <v>257.7743999999999</v>
      </c>
      <c r="EL58" s="14">
        <f t="shared" si="45"/>
        <v>62.247732872134243</v>
      </c>
      <c r="EM58" s="22">
        <f t="shared" si="19"/>
        <v>557.37188141896695</v>
      </c>
      <c r="EN58" s="62">
        <f t="shared" si="20"/>
        <v>815.69433689943833</v>
      </c>
      <c r="EO58" s="62">
        <f ca="1">AVERAGE(OFFSET($EN$3,0,0,'Données projet'!$E$15+1,1))-AVERAGE(OFFSET($H$3,0,0,'Données projet'!$E$15+1,1))</f>
        <v>450.93388191845378</v>
      </c>
      <c r="EP58" s="62">
        <f t="shared" si="46"/>
        <v>483.33635017129325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9.375</v>
      </c>
      <c r="FE58" s="13">
        <f>IF('Données projet'!$A$218&gt;35,FE57+FD58-FM57,IF(A58&lt;'Données projet'!$A$218,$FB$205^A58,IF(A58='Données projet'!$A$218,'Données projet'!$B$218,FE57+FD58-FM57)))</f>
        <v>250.12499999999989</v>
      </c>
      <c r="FF58" s="18">
        <f>FE58*VLOOKUP('Données projet'!$B$16,Paramètres!$A$1:$I$89,3,0)*VLOOKUP('Données projet'!$B$16,Paramètres!$A$1:$I$89,5,0)</f>
        <v>195.09749999999991</v>
      </c>
      <c r="FG58" s="14">
        <f t="shared" si="47"/>
        <v>48.66519532492579</v>
      </c>
      <c r="FH58" s="22">
        <f t="shared" si="22"/>
        <v>424.55336102424553</v>
      </c>
      <c r="FI58" s="62">
        <f t="shared" si="23"/>
        <v>682.87581650471691</v>
      </c>
      <c r="FJ58" s="62">
        <f ca="1">AVERAGE(OFFSET($FI$3,0,0,'Données projet'!$E$16+1,1))-AVERAGE(OFFSET($H$3,0,0,'Données projet'!$E$16+1,1))</f>
        <v>309.21625451786218</v>
      </c>
      <c r="FK58" s="62">
        <f t="shared" si="48"/>
        <v>302.59481222418219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6.2</v>
      </c>
      <c r="N59" s="14">
        <f>IF('Données projet'!$A$36&gt;35,N58+M59-V58,IF(A59&lt;'Données projet'!$A$36,$K$205^A59,IF(A59='Données projet'!$A$36,'Données projet'!$B$36,N58+M59-V58)))</f>
        <v>285.2</v>
      </c>
      <c r="O59" s="14">
        <f>N59*VLOOKUP('Données projet'!$B$9,Paramètres!$A$1:$I$89,3,0)*VLOOKUP('Données projet'!$B$9,Paramètres!$A$1:$I$89,5,0)</f>
        <v>226.90512000000001</v>
      </c>
      <c r="P59" s="14">
        <f t="shared" si="33"/>
        <v>55.612969408444414</v>
      </c>
      <c r="Q59" s="22">
        <f t="shared" si="53"/>
        <v>492.05233905304067</v>
      </c>
      <c r="R59" s="62">
        <f t="shared" si="0"/>
        <v>750.98215499166236</v>
      </c>
      <c r="S59" s="62">
        <f ca="1">AVERAGE(OFFSET($R$3,0,0,'Données projet'!$E$9+1,1))-AVERAGE(OFFSET($H$3,0,0,'Données projet'!$E$9+1,1))</f>
        <v>394.70330963327166</v>
      </c>
      <c r="T59" s="62">
        <f t="shared" si="34"/>
        <v>424.06445894109982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9.375</v>
      </c>
      <c r="AI59" s="14">
        <f>IF('Données projet'!$A$62&gt;35,AI58+AH59-AQ58,IF(A59&lt;'Données projet'!$A$62,$AF$205^A59,IF(A59='Données projet'!$A$62,'Données projet'!$B$62,AI58+AH59-AQ58)))</f>
        <v>259.49999999999989</v>
      </c>
      <c r="AJ59" s="14">
        <f>AI59*VLOOKUP('Données projet'!$B$10,Paramètres!$A$1:$I$89,3,0)*VLOOKUP('Données projet'!$B$10,Paramètres!$A$1:$I$89,5,0)</f>
        <v>210.50639999999993</v>
      </c>
      <c r="AK59" s="14">
        <f t="shared" si="35"/>
        <v>52.046231322304777</v>
      </c>
      <c r="AL59" s="22">
        <f t="shared" si="4"/>
        <v>457.27916621968069</v>
      </c>
      <c r="AM59" s="62">
        <f t="shared" si="5"/>
        <v>716.20898215830243</v>
      </c>
      <c r="AN59" s="62">
        <f ca="1">AVERAGE(OFFSET($AM$3,0,0,'Données projet'!$E$10+1,1))-AVERAGE(OFFSET($H$3,0,0,'Données projet'!$E$10+1,1))</f>
        <v>319.39055628111151</v>
      </c>
      <c r="AO59" s="62">
        <f t="shared" si="36"/>
        <v>312.22190035638084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4.2</v>
      </c>
      <c r="BD59" s="13">
        <f>IF('Données projet'!$A$88&gt;35,BD58+BC59-BL58,IF(A59&lt;'Données projet'!$A$88,$BA$205^A59,IF(A59='Données projet'!$A$88,'Données projet'!$B$88,BD58+BC59-BL58)))</f>
        <v>189.2</v>
      </c>
      <c r="BE59" s="14">
        <f>BD59*VLOOKUP('Données projet'!$B$11,Paramètres!$A$1:$I$89,3,0)*VLOOKUP('Données projet'!$B$11,Paramètres!$A$1:$I$89,5,0)</f>
        <v>138.72144</v>
      </c>
      <c r="BF59" s="14">
        <f t="shared" si="37"/>
        <v>36.003949140467753</v>
      </c>
      <c r="BG59" s="22">
        <f t="shared" si="7"/>
        <v>304.31338608631472</v>
      </c>
      <c r="BH59" s="62">
        <f t="shared" si="8"/>
        <v>563.24320202493641</v>
      </c>
      <c r="BI59" s="62">
        <f ca="1">AVERAGE(OFFSET($BH$3,0,0,'Données projet'!$E$11+1,1))-AVERAGE(OFFSET($H$3,0,0,'Données projet'!$E$11+1,1))</f>
        <v>257.906524944431</v>
      </c>
      <c r="BJ59" s="62">
        <f t="shared" si="38"/>
        <v>274.70390601173563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7.4</v>
      </c>
      <c r="BY59" s="13">
        <f>IF('Données projet'!$A$114&gt;35,BY58+BX59-CG58,IF(A59&lt;'Données projet'!$A$114,$BV$205^A59,IF(A59='Données projet'!$A$114,'Données projet'!$B$114,BY58+BX59-CG58)))</f>
        <v>273.39999999999998</v>
      </c>
      <c r="BZ59" s="14">
        <f>BY59*VLOOKUP('Données projet'!$B$12,Paramètres!$A$1:$I$89,3,0)*VLOOKUP('Données projet'!$B$12,Paramètres!$A$1:$I$89,5,0)</f>
        <v>221.78208000000001</v>
      </c>
      <c r="CA59" s="14">
        <f t="shared" si="39"/>
        <v>54.502029950220781</v>
      </c>
      <c r="CB59" s="22">
        <f t="shared" si="10"/>
        <v>481.19482482996779</v>
      </c>
      <c r="CC59" s="62">
        <f t="shared" si="11"/>
        <v>740.12464076858953</v>
      </c>
      <c r="CD59" s="62">
        <f ca="1">AVERAGE(OFFSET($CC$3,0,0,'Données projet'!$E$12+1,1))-AVERAGE(OFFSET($H$3,0,0,'Données projet'!$E$12+1,1))</f>
        <v>272.69564942740931</v>
      </c>
      <c r="CE59" s="62">
        <f t="shared" si="40"/>
        <v>316.57989180609252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5.8974358974359005</v>
      </c>
      <c r="CT59" s="13">
        <f>IF('Données projet'!$A$140&gt;35,CT58+CS59-DB58,IF(A59&lt;'Données projet'!$A$140,$CQ$205^A59,IF(A59='Données projet'!$A$140,'Données projet'!$B$140,CT58+CS59-DB58)))</f>
        <v>232.82051282051279</v>
      </c>
      <c r="CU59" s="18">
        <f>CT59*VLOOKUP('Données projet'!$B$13,Paramètres!$A$1:$I$89,3,0)*VLOOKUP('Données projet'!$B$13,Paramètres!$A$1:$I$89,5,0)</f>
        <v>221.55199999999999</v>
      </c>
      <c r="CV59" s="14">
        <f t="shared" si="41"/>
        <v>54.452067119881683</v>
      </c>
      <c r="CW59" s="22">
        <f t="shared" si="13"/>
        <v>480.7070835671272</v>
      </c>
      <c r="CX59" s="62">
        <f t="shared" si="14"/>
        <v>739.63689950574894</v>
      </c>
      <c r="CY59" s="62">
        <f ca="1">AVERAGE(OFFSET($CX$3,0,0,'Données projet'!$E$13+1,1))-AVERAGE(OFFSET($H$3,0,0,'Données projet'!$E$13+1,1))</f>
        <v>491.87038198656927</v>
      </c>
      <c r="CZ59" s="62">
        <f t="shared" si="42"/>
        <v>406.49261644949559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9.4</v>
      </c>
      <c r="DO59" s="13">
        <f>IF('Données projet'!$A$166&gt;35,DO58+DN59-DW58,IF(A59&lt;'Données projet'!$A$166,$DL$205^A59,IF(A59='Données projet'!$A$166,'Données projet'!$B$166,DO58+DN59-DW58)))</f>
        <v>235.39999999999998</v>
      </c>
      <c r="DP59" s="18">
        <f>DO59*VLOOKUP('Données projet'!$B$14,Paramètres!$A$1:$I$89,3,0)*VLOOKUP('Données projet'!$B$14,Paramètres!$A$1:$I$89,5,0)</f>
        <v>227.67887999999996</v>
      </c>
      <c r="DQ59" s="14">
        <f t="shared" si="43"/>
        <v>55.780505229774469</v>
      </c>
      <c r="DR59" s="22">
        <f t="shared" si="16"/>
        <v>493.69176260852379</v>
      </c>
      <c r="DS59" s="62">
        <f t="shared" si="17"/>
        <v>752.62157854714553</v>
      </c>
      <c r="DT59" s="62">
        <f ca="1">AVERAGE(OFFSET($DS$3,0,0,'Données projet'!$E$14+1,1))-AVERAGE(OFFSET($H$3,0,0,'Données projet'!$E$14+1,1))</f>
        <v>603.52431522262032</v>
      </c>
      <c r="DU59" s="62">
        <f t="shared" si="44"/>
        <v>313.56299786481338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7.2</v>
      </c>
      <c r="EJ59" s="13">
        <f>IF('Données projet'!$A$192&gt;35,EJ58+EI59-ER58,IF(A59&lt;'Données projet'!$A$192,$EG$205^A59,IF(A59='Données projet'!$A$192,'Données projet'!$B$192,EJ58+EI59-ER58)))</f>
        <v>331.19999999999982</v>
      </c>
      <c r="EK59" s="18">
        <f>EJ59*VLOOKUP('Données projet'!$B$15,Paramètres!$A$1:$I$89,3,0)*VLOOKUP('Données projet'!$B$15,Paramètres!$A$1:$I$89,5,0)</f>
        <v>263.5027199999999</v>
      </c>
      <c r="EL59" s="14">
        <f t="shared" si="45"/>
        <v>63.468433809179686</v>
      </c>
      <c r="EM59" s="22">
        <f t="shared" si="19"/>
        <v>569.47475955098764</v>
      </c>
      <c r="EN59" s="62">
        <f t="shared" si="20"/>
        <v>828.40457548960944</v>
      </c>
      <c r="EO59" s="62">
        <f ca="1">AVERAGE(OFFSET($EN$3,0,0,'Données projet'!$E$15+1,1))-AVERAGE(OFFSET($H$3,0,0,'Données projet'!$E$15+1,1))</f>
        <v>450.93388191845378</v>
      </c>
      <c r="EP59" s="62">
        <f t="shared" si="46"/>
        <v>483.33635017129325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9.375</v>
      </c>
      <c r="FE59" s="13">
        <f>IF('Données projet'!$A$218&gt;35,FE58+FD59-FM58,IF(A59&lt;'Données projet'!$A$218,$FB$205^A59,IF(A59='Données projet'!$A$218,'Données projet'!$B$218,FE58+FD59-FM58)))</f>
        <v>259.49999999999989</v>
      </c>
      <c r="FF59" s="18">
        <f>FE59*VLOOKUP('Données projet'!$B$16,Paramètres!$A$1:$I$89,3,0)*VLOOKUP('Données projet'!$B$16,Paramètres!$A$1:$I$89,5,0)</f>
        <v>202.40999999999991</v>
      </c>
      <c r="FG59" s="14">
        <f t="shared" si="47"/>
        <v>50.273442991661817</v>
      </c>
      <c r="FH59" s="22">
        <f t="shared" si="22"/>
        <v>440.09032987714414</v>
      </c>
      <c r="FI59" s="62">
        <f t="shared" si="23"/>
        <v>699.02014581576589</v>
      </c>
      <c r="FJ59" s="62">
        <f ca="1">AVERAGE(OFFSET($FI$3,0,0,'Données projet'!$E$16+1,1))-AVERAGE(OFFSET($H$3,0,0,'Données projet'!$E$16+1,1))</f>
        <v>309.21625451786218</v>
      </c>
      <c r="FK59" s="62">
        <f t="shared" si="48"/>
        <v>302.59481222418219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6.2</v>
      </c>
      <c r="N60" s="14">
        <f>IF('Données projet'!$A$36&gt;35,N59+M60-V59,IF(A60&lt;'Données projet'!$A$36,$K$205^A60,IF(A60='Données projet'!$A$36,'Données projet'!$B$36,N59+M60-V59)))</f>
        <v>291.39999999999998</v>
      </c>
      <c r="O60" s="14">
        <f>N60*VLOOKUP('Données projet'!$B$9,Paramètres!$A$1:$I$89,3,0)*VLOOKUP('Données projet'!$B$9,Paramètres!$A$1:$I$89,5,0)</f>
        <v>231.83784000000003</v>
      </c>
      <c r="P60" s="14">
        <f t="shared" si="33"/>
        <v>56.679881250286201</v>
      </c>
      <c r="Q60" s="22">
        <f t="shared" si="53"/>
        <v>502.50169784424844</v>
      </c>
      <c r="R60" s="62">
        <f t="shared" si="0"/>
        <v>762.02833789492615</v>
      </c>
      <c r="S60" s="62">
        <f ca="1">AVERAGE(OFFSET($R$3,0,0,'Données projet'!$E$9+1,1))-AVERAGE(OFFSET($H$3,0,0,'Données projet'!$E$9+1,1))</f>
        <v>394.70330963327166</v>
      </c>
      <c r="T60" s="62">
        <f t="shared" si="34"/>
        <v>424.06445894109982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9.375</v>
      </c>
      <c r="AI60" s="14">
        <f>IF('Données projet'!$A$62&gt;35,AI59+AH60-AQ59,IF(A60&lt;'Données projet'!$A$62,$AF$205^A60,IF(A60='Données projet'!$A$62,'Données projet'!$B$62,AI59+AH60-AQ59)))</f>
        <v>268.87499999999989</v>
      </c>
      <c r="AJ60" s="14">
        <f>AI60*VLOOKUP('Données projet'!$B$10,Paramètres!$A$1:$I$89,3,0)*VLOOKUP('Données projet'!$B$10,Paramètres!$A$1:$I$89,5,0)</f>
        <v>218.11139999999992</v>
      </c>
      <c r="AK60" s="14">
        <f t="shared" si="35"/>
        <v>53.704202100470532</v>
      </c>
      <c r="AL60" s="22">
        <f t="shared" si="4"/>
        <v>473.41217365831932</v>
      </c>
      <c r="AM60" s="62">
        <f t="shared" si="5"/>
        <v>732.93881370899703</v>
      </c>
      <c r="AN60" s="62">
        <f ca="1">AVERAGE(OFFSET($AM$3,0,0,'Données projet'!$E$10+1,1))-AVERAGE(OFFSET($H$3,0,0,'Données projet'!$E$10+1,1))</f>
        <v>319.39055628111151</v>
      </c>
      <c r="AO60" s="62">
        <f t="shared" si="36"/>
        <v>312.22190035638084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4.2</v>
      </c>
      <c r="BD60" s="13">
        <f>IF('Données projet'!$A$88&gt;35,BD59+BC60-BL59,IF(A60&lt;'Données projet'!$A$88,$BA$205^A60,IF(A60='Données projet'!$A$88,'Données projet'!$B$88,BD59+BC60-BL59)))</f>
        <v>193.39999999999998</v>
      </c>
      <c r="BE60" s="14">
        <f>BD60*VLOOKUP('Données projet'!$B$11,Paramètres!$A$1:$I$89,3,0)*VLOOKUP('Données projet'!$B$11,Paramètres!$A$1:$I$89,5,0)</f>
        <v>141.80087999999998</v>
      </c>
      <c r="BF60" s="14">
        <f t="shared" si="37"/>
        <v>36.709254421801944</v>
      </c>
      <c r="BG60" s="22">
        <f t="shared" si="7"/>
        <v>310.90515078463835</v>
      </c>
      <c r="BH60" s="62">
        <f t="shared" si="8"/>
        <v>570.43179083531606</v>
      </c>
      <c r="BI60" s="62">
        <f ca="1">AVERAGE(OFFSET($BH$3,0,0,'Données projet'!$E$11+1,1))-AVERAGE(OFFSET($H$3,0,0,'Données projet'!$E$11+1,1))</f>
        <v>257.906524944431</v>
      </c>
      <c r="BJ60" s="62">
        <f t="shared" si="38"/>
        <v>274.70390601173563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7.4</v>
      </c>
      <c r="BY60" s="13">
        <f>IF('Données projet'!$A$114&gt;35,BY59+BX60-CG59,IF(A60&lt;'Données projet'!$A$114,$BV$205^A60,IF(A60='Données projet'!$A$114,'Données projet'!$B$114,BY59+BX60-CG59)))</f>
        <v>280.79999999999995</v>
      </c>
      <c r="BZ60" s="14">
        <f>BY60*VLOOKUP('Données projet'!$B$12,Paramètres!$A$1:$I$89,3,0)*VLOOKUP('Données projet'!$B$12,Paramètres!$A$1:$I$89,5,0)</f>
        <v>227.78495999999998</v>
      </c>
      <c r="CA60" s="14">
        <f t="shared" si="39"/>
        <v>55.803468680001743</v>
      </c>
      <c r="CB60" s="22">
        <f t="shared" si="10"/>
        <v>493.91651328433619</v>
      </c>
      <c r="CC60" s="62">
        <f t="shared" si="11"/>
        <v>753.4431533350139</v>
      </c>
      <c r="CD60" s="62">
        <f ca="1">AVERAGE(OFFSET($CC$3,0,0,'Données projet'!$E$12+1,1))-AVERAGE(OFFSET($H$3,0,0,'Données projet'!$E$12+1,1))</f>
        <v>272.69564942740931</v>
      </c>
      <c r="CE60" s="62">
        <f t="shared" si="40"/>
        <v>316.57989180609252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5.8974358974359005</v>
      </c>
      <c r="CT60" s="13">
        <f>IF('Données projet'!$A$140&gt;35,CT59+CS60-DB59,IF(A60&lt;'Données projet'!$A$140,$CQ$205^A60,IF(A60='Données projet'!$A$140,'Données projet'!$B$140,CT59+CS60-DB59)))</f>
        <v>238.7179487179487</v>
      </c>
      <c r="CU60" s="18">
        <f>CT60*VLOOKUP('Données projet'!$B$13,Paramètres!$A$1:$I$89,3,0)*VLOOKUP('Données projet'!$B$13,Paramètres!$A$1:$I$89,5,0)</f>
        <v>227.16399999999999</v>
      </c>
      <c r="CV60" s="14">
        <f t="shared" si="41"/>
        <v>55.66902993459999</v>
      </c>
      <c r="CW60" s="22">
        <f t="shared" si="13"/>
        <v>492.60086046942826</v>
      </c>
      <c r="CX60" s="62">
        <f t="shared" si="14"/>
        <v>752.12750052010597</v>
      </c>
      <c r="CY60" s="62">
        <f ca="1">AVERAGE(OFFSET($CX$3,0,0,'Données projet'!$E$13+1,1))-AVERAGE(OFFSET($H$3,0,0,'Données projet'!$E$13+1,1))</f>
        <v>491.87038198656927</v>
      </c>
      <c r="CZ60" s="62">
        <f t="shared" si="42"/>
        <v>406.49261644949559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9.4</v>
      </c>
      <c r="DO60" s="13">
        <f>IF('Données projet'!$A$166&gt;35,DO59+DN60-DW59,IF(A60&lt;'Données projet'!$A$166,$DL$205^A60,IF(A60='Données projet'!$A$166,'Données projet'!$B$166,DO59+DN60-DW59)))</f>
        <v>244.79999999999998</v>
      </c>
      <c r="DP60" s="18">
        <f>DO60*VLOOKUP('Données projet'!$B$14,Paramètres!$A$1:$I$89,3,0)*VLOOKUP('Données projet'!$B$14,Paramètres!$A$1:$I$89,5,0)</f>
        <v>236.77055999999999</v>
      </c>
      <c r="DQ60" s="14">
        <f t="shared" si="43"/>
        <v>57.744153841586929</v>
      </c>
      <c r="DR60" s="22">
        <f t="shared" si="16"/>
        <v>512.94645994076382</v>
      </c>
      <c r="DS60" s="62">
        <f t="shared" si="17"/>
        <v>772.47309999144159</v>
      </c>
      <c r="DT60" s="62">
        <f ca="1">AVERAGE(OFFSET($DS$3,0,0,'Données projet'!$E$14+1,1))-AVERAGE(OFFSET($H$3,0,0,'Données projet'!$E$14+1,1))</f>
        <v>603.52431522262032</v>
      </c>
      <c r="DU60" s="62">
        <f t="shared" si="44"/>
        <v>313.56299786481338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7.2</v>
      </c>
      <c r="EJ60" s="13">
        <f>IF('Données projet'!$A$192&gt;35,EJ59+EI60-ER59,IF(A60&lt;'Données projet'!$A$192,$EG$205^A60,IF(A60='Données projet'!$A$192,'Données projet'!$B$192,EJ59+EI60-ER59)))</f>
        <v>338.39999999999981</v>
      </c>
      <c r="EK60" s="18">
        <f>EJ60*VLOOKUP('Données projet'!$B$15,Paramètres!$A$1:$I$89,3,0)*VLOOKUP('Données projet'!$B$15,Paramètres!$A$1:$I$89,5,0)</f>
        <v>269.23103999999989</v>
      </c>
      <c r="EL60" s="14">
        <f t="shared" si="45"/>
        <v>64.686049490098227</v>
      </c>
      <c r="EM60" s="22">
        <f t="shared" si="19"/>
        <v>581.57226419525421</v>
      </c>
      <c r="EN60" s="62">
        <f t="shared" si="20"/>
        <v>841.09890424593186</v>
      </c>
      <c r="EO60" s="62">
        <f ca="1">AVERAGE(OFFSET($EN$3,0,0,'Données projet'!$E$15+1,1))-AVERAGE(OFFSET($H$3,0,0,'Données projet'!$E$15+1,1))</f>
        <v>450.93388191845378</v>
      </c>
      <c r="EP60" s="62">
        <f t="shared" si="46"/>
        <v>483.33635017129325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9.375</v>
      </c>
      <c r="FE60" s="13">
        <f>IF('Données projet'!$A$218&gt;35,FE59+FD60-FM59,IF(A60&lt;'Données projet'!$A$218,$FB$205^A60,IF(A60='Données projet'!$A$218,'Données projet'!$B$218,FE59+FD60-FM59)))</f>
        <v>268.87499999999989</v>
      </c>
      <c r="FF60" s="18">
        <f>FE60*VLOOKUP('Données projet'!$B$16,Paramètres!$A$1:$I$89,3,0)*VLOOKUP('Données projet'!$B$16,Paramètres!$A$1:$I$89,5,0)</f>
        <v>209.72249999999991</v>
      </c>
      <c r="FG60" s="14">
        <f t="shared" si="47"/>
        <v>51.874940300502246</v>
      </c>
      <c r="FH60" s="22">
        <f t="shared" si="22"/>
        <v>455.61554185670792</v>
      </c>
      <c r="FI60" s="62">
        <f t="shared" si="23"/>
        <v>715.14218190738563</v>
      </c>
      <c r="FJ60" s="62">
        <f ca="1">AVERAGE(OFFSET($FI$3,0,0,'Données projet'!$E$16+1,1))-AVERAGE(OFFSET($H$3,0,0,'Données projet'!$E$16+1,1))</f>
        <v>309.21625451786218</v>
      </c>
      <c r="FK60" s="62">
        <f t="shared" si="48"/>
        <v>302.59481222418219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6.2</v>
      </c>
      <c r="N61" s="14">
        <f>IF('Données projet'!$A$36&gt;35,N60+M61-V60,IF(A61&lt;'Données projet'!$A$36,$K$205^A61,IF(A61='Données projet'!$A$36,'Données projet'!$B$36,N60+M61-V60)))</f>
        <v>297.59999999999997</v>
      </c>
      <c r="O61" s="14">
        <f>N61*VLOOKUP('Données projet'!$B$9,Paramètres!$A$1:$I$89,3,0)*VLOOKUP('Données projet'!$B$9,Paramètres!$A$1:$I$89,5,0)</f>
        <v>236.77055999999999</v>
      </c>
      <c r="P61" s="14">
        <f t="shared" si="33"/>
        <v>57.744153841586929</v>
      </c>
      <c r="Q61" s="22">
        <f t="shared" si="53"/>
        <v>512.94645994076382</v>
      </c>
      <c r="R61" s="62">
        <f t="shared" si="0"/>
        <v>773.05957053945224</v>
      </c>
      <c r="S61" s="62">
        <f ca="1">AVERAGE(OFFSET($R$3,0,0,'Données projet'!$E$9+1,1))-AVERAGE(OFFSET($H$3,0,0,'Données projet'!$E$9+1,1))</f>
        <v>394.70330963327166</v>
      </c>
      <c r="T61" s="62">
        <f t="shared" si="34"/>
        <v>424.06445894109982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9.375</v>
      </c>
      <c r="AI61" s="14">
        <f>IF('Données projet'!$A$62&gt;35,AI60+AH61-AQ60,IF(A61&lt;'Données projet'!$A$62,$AF$205^A61,IF(A61='Données projet'!$A$62,'Données projet'!$B$62,AI60+AH61-AQ60)))</f>
        <v>278.24999999999989</v>
      </c>
      <c r="AJ61" s="14">
        <f>AI61*VLOOKUP('Données projet'!$B$10,Paramètres!$A$1:$I$89,3,0)*VLOOKUP('Données projet'!$B$10,Paramètres!$A$1:$I$89,5,0)</f>
        <v>225.71639999999991</v>
      </c>
      <c r="AK61" s="14">
        <f t="shared" si="35"/>
        <v>55.355456074834237</v>
      </c>
      <c r="AL61" s="22">
        <f t="shared" si="4"/>
        <v>489.53348266366947</v>
      </c>
      <c r="AM61" s="62">
        <f t="shared" si="5"/>
        <v>749.6465932623579</v>
      </c>
      <c r="AN61" s="62">
        <f ca="1">AVERAGE(OFFSET($AM$3,0,0,'Données projet'!$E$10+1,1))-AVERAGE(OFFSET($H$3,0,0,'Données projet'!$E$10+1,1))</f>
        <v>319.39055628111151</v>
      </c>
      <c r="AO61" s="62">
        <f t="shared" si="36"/>
        <v>312.22190035638084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4.2</v>
      </c>
      <c r="BD61" s="13">
        <f>IF('Données projet'!$A$88&gt;35,BD60+BC61-BL60,IF(A61&lt;'Données projet'!$A$88,$BA$205^A61,IF(A61='Données projet'!$A$88,'Données projet'!$B$88,BD60+BC61-BL60)))</f>
        <v>197.59999999999997</v>
      </c>
      <c r="BE61" s="14">
        <f>BD61*VLOOKUP('Données projet'!$B$11,Paramètres!$A$1:$I$89,3,0)*VLOOKUP('Données projet'!$B$11,Paramètres!$A$1:$I$89,5,0)</f>
        <v>144.88031999999998</v>
      </c>
      <c r="BF61" s="14">
        <f t="shared" si="37"/>
        <v>37.412778923310412</v>
      </c>
      <c r="BG61" s="22">
        <f t="shared" si="7"/>
        <v>317.49381395809888</v>
      </c>
      <c r="BH61" s="62">
        <f t="shared" si="8"/>
        <v>577.60692455678736</v>
      </c>
      <c r="BI61" s="62">
        <f ca="1">AVERAGE(OFFSET($BH$3,0,0,'Données projet'!$E$11+1,1))-AVERAGE(OFFSET($H$3,0,0,'Données projet'!$E$11+1,1))</f>
        <v>257.906524944431</v>
      </c>
      <c r="BJ61" s="62">
        <f t="shared" si="38"/>
        <v>274.70390601173563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7.4</v>
      </c>
      <c r="BY61" s="13">
        <f>IF('Données projet'!$A$114&gt;35,BY60+BX61-CG60,IF(A61&lt;'Données projet'!$A$114,$BV$205^A61,IF(A61='Données projet'!$A$114,'Données projet'!$B$114,BY60+BX61-CG60)))</f>
        <v>288.19999999999993</v>
      </c>
      <c r="BZ61" s="14">
        <f>BY61*VLOOKUP('Données projet'!$B$12,Paramètres!$A$1:$I$89,3,0)*VLOOKUP('Données projet'!$B$12,Paramètres!$A$1:$I$89,5,0)</f>
        <v>233.78783999999996</v>
      </c>
      <c r="CA61" s="14">
        <f t="shared" si="39"/>
        <v>57.100920847849451</v>
      </c>
      <c r="CB61" s="22">
        <f t="shared" si="10"/>
        <v>506.63125847667106</v>
      </c>
      <c r="CC61" s="62">
        <f t="shared" si="11"/>
        <v>766.74436907535949</v>
      </c>
      <c r="CD61" s="62">
        <f ca="1">AVERAGE(OFFSET($CC$3,0,0,'Données projet'!$E$12+1,1))-AVERAGE(OFFSET($H$3,0,0,'Données projet'!$E$12+1,1))</f>
        <v>272.69564942740931</v>
      </c>
      <c r="CE61" s="62">
        <f t="shared" si="40"/>
        <v>316.57989180609252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5.8974358974359005</v>
      </c>
      <c r="CT61" s="13">
        <f>IF('Données projet'!$A$140&gt;35,CT60+CS61-DB60,IF(A61&lt;'Données projet'!$A$140,$CQ$205^A61,IF(A61='Données projet'!$A$140,'Données projet'!$B$140,CT60+CS61-DB60)))</f>
        <v>244.61538461538461</v>
      </c>
      <c r="CU61" s="18">
        <f>CT61*VLOOKUP('Données projet'!$B$13,Paramètres!$A$1:$I$89,3,0)*VLOOKUP('Données projet'!$B$13,Paramètres!$A$1:$I$89,5,0)</f>
        <v>232.77599999999998</v>
      </c>
      <c r="CV61" s="14">
        <f t="shared" si="41"/>
        <v>56.88249788072978</v>
      </c>
      <c r="CW61" s="22">
        <f t="shared" si="13"/>
        <v>504.48855047560437</v>
      </c>
      <c r="CX61" s="62">
        <f t="shared" si="14"/>
        <v>764.60166107429279</v>
      </c>
      <c r="CY61" s="62">
        <f ca="1">AVERAGE(OFFSET($CX$3,0,0,'Données projet'!$E$13+1,1))-AVERAGE(OFFSET($H$3,0,0,'Données projet'!$E$13+1,1))</f>
        <v>491.87038198656927</v>
      </c>
      <c r="CZ61" s="62">
        <f t="shared" si="42"/>
        <v>406.49261644949559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9.4</v>
      </c>
      <c r="DO61" s="13">
        <f>IF('Données projet'!$A$166&gt;35,DO60+DN61-DW60,IF(A61&lt;'Données projet'!$A$166,$DL$205^A61,IF(A61='Données projet'!$A$166,'Données projet'!$B$166,DO60+DN61-DW60)))</f>
        <v>254.2</v>
      </c>
      <c r="DP61" s="18">
        <f>DO61*VLOOKUP('Données projet'!$B$14,Paramètres!$A$1:$I$89,3,0)*VLOOKUP('Données projet'!$B$14,Paramètres!$A$1:$I$89,5,0)</f>
        <v>245.86223999999999</v>
      </c>
      <c r="DQ61" s="14">
        <f t="shared" si="43"/>
        <v>59.699043025687963</v>
      </c>
      <c r="DR61" s="22">
        <f t="shared" si="16"/>
        <v>532.18590126973982</v>
      </c>
      <c r="DS61" s="62">
        <f t="shared" si="17"/>
        <v>792.29901186842824</v>
      </c>
      <c r="DT61" s="62">
        <f ca="1">AVERAGE(OFFSET($DS$3,0,0,'Données projet'!$E$14+1,1))-AVERAGE(OFFSET($H$3,0,0,'Données projet'!$E$14+1,1))</f>
        <v>603.52431522262032</v>
      </c>
      <c r="DU61" s="62">
        <f t="shared" si="44"/>
        <v>313.56299786481338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7.2</v>
      </c>
      <c r="EJ61" s="13">
        <f>IF('Données projet'!$A$192&gt;35,EJ60+EI61-ER60,IF(A61&lt;'Données projet'!$A$192,$EG$205^A61,IF(A61='Données projet'!$A$192,'Données projet'!$B$192,EJ60+EI61-ER60)))</f>
        <v>345.5999999999998</v>
      </c>
      <c r="EK61" s="18">
        <f>EJ61*VLOOKUP('Données projet'!$B$15,Paramètres!$A$1:$I$89,3,0)*VLOOKUP('Données projet'!$B$15,Paramètres!$A$1:$I$89,5,0)</f>
        <v>274.95935999999983</v>
      </c>
      <c r="EL61" s="14">
        <f t="shared" si="45"/>
        <v>65.90065312005008</v>
      </c>
      <c r="EM61" s="22">
        <f t="shared" si="19"/>
        <v>593.66452285075354</v>
      </c>
      <c r="EN61" s="62">
        <f t="shared" si="20"/>
        <v>853.77763344944196</v>
      </c>
      <c r="EO61" s="62">
        <f ca="1">AVERAGE(OFFSET($EN$3,0,0,'Données projet'!$E$15+1,1))-AVERAGE(OFFSET($H$3,0,0,'Données projet'!$E$15+1,1))</f>
        <v>450.93388191845378</v>
      </c>
      <c r="EP61" s="62">
        <f t="shared" si="46"/>
        <v>483.33635017129325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9.375</v>
      </c>
      <c r="FE61" s="13">
        <f>IF('Données projet'!$A$218&gt;35,FE60+FD61-FM60,IF(A61&lt;'Données projet'!$A$218,$FB$205^A61,IF(A61='Données projet'!$A$218,'Données projet'!$B$218,FE60+FD61-FM60)))</f>
        <v>278.24999999999989</v>
      </c>
      <c r="FF61" s="18">
        <f>FE61*VLOOKUP('Données projet'!$B$16,Paramètres!$A$1:$I$89,3,0)*VLOOKUP('Données projet'!$B$16,Paramètres!$A$1:$I$89,5,0)</f>
        <v>217.03499999999991</v>
      </c>
      <c r="FG61" s="14">
        <f t="shared" si="47"/>
        <v>53.469949591969474</v>
      </c>
      <c r="FH61" s="22">
        <f t="shared" si="22"/>
        <v>471.12945387267996</v>
      </c>
      <c r="FI61" s="62">
        <f t="shared" si="23"/>
        <v>731.24256447136838</v>
      </c>
      <c r="FJ61" s="62">
        <f ca="1">AVERAGE(OFFSET($FI$3,0,0,'Données projet'!$E$16+1,1))-AVERAGE(OFFSET($H$3,0,0,'Données projet'!$E$16+1,1))</f>
        <v>309.21625451786218</v>
      </c>
      <c r="FK61" s="62">
        <f t="shared" si="48"/>
        <v>302.59481222418219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6.2</v>
      </c>
      <c r="N62" s="14">
        <f>IF('Données projet'!$A$36&gt;35,N61+M62-V61,IF(A62&lt;'Données projet'!$A$36,$K$205^A62,IF(A62='Données projet'!$A$36,'Données projet'!$B$36,N61+M62-V61)))</f>
        <v>303.79999999999995</v>
      </c>
      <c r="O62" s="14">
        <f>N62*VLOOKUP('Données projet'!$B$9,Paramètres!$A$1:$I$89,3,0)*VLOOKUP('Données projet'!$B$9,Paramètres!$A$1:$I$89,5,0)</f>
        <v>241.70327999999998</v>
      </c>
      <c r="P62" s="14">
        <f t="shared" si="33"/>
        <v>58.805848501502631</v>
      </c>
      <c r="Q62" s="22">
        <f t="shared" si="53"/>
        <v>523.38673214011703</v>
      </c>
      <c r="R62" s="62">
        <f t="shared" si="0"/>
        <v>784.07613933395987</v>
      </c>
      <c r="S62" s="62">
        <f ca="1">AVERAGE(OFFSET($R$3,0,0,'Données projet'!$E$9+1,1))-AVERAGE(OFFSET($H$3,0,0,'Données projet'!$E$9+1,1))</f>
        <v>394.70330963327166</v>
      </c>
      <c r="T62" s="62">
        <f t="shared" si="34"/>
        <v>424.06445894109982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9.375</v>
      </c>
      <c r="AI62" s="14">
        <f>IF('Données projet'!$A$62&gt;35,AI61+AH62-AQ61,IF(A62&lt;'Données projet'!$A$62,$AF$205^A62,IF(A62='Données projet'!$A$62,'Données projet'!$B$62,AI61+AH62-AQ61)))</f>
        <v>287.62499999999989</v>
      </c>
      <c r="AJ62" s="14">
        <f>AI62*VLOOKUP('Données projet'!$B$10,Paramètres!$A$1:$I$89,3,0)*VLOOKUP('Données projet'!$B$10,Paramètres!$A$1:$I$89,5,0)</f>
        <v>233.32139999999993</v>
      </c>
      <c r="AK62" s="14">
        <f t="shared" si="35"/>
        <v>57.000245497162069</v>
      </c>
      <c r="AL62" s="22">
        <f t="shared" si="4"/>
        <v>505.6435325742238</v>
      </c>
      <c r="AM62" s="62">
        <f t="shared" si="5"/>
        <v>766.33293976806658</v>
      </c>
      <c r="AN62" s="62">
        <f ca="1">AVERAGE(OFFSET($AM$3,0,0,'Données projet'!$E$10+1,1))-AVERAGE(OFFSET($H$3,0,0,'Données projet'!$E$10+1,1))</f>
        <v>319.39055628111151</v>
      </c>
      <c r="AO62" s="62">
        <f t="shared" si="36"/>
        <v>312.22190035638084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4.2</v>
      </c>
      <c r="BD62" s="13">
        <f>IF('Données projet'!$A$88&gt;35,BD61+BC62-BL61,IF(A62&lt;'Données projet'!$A$88,$BA$205^A62,IF(A62='Données projet'!$A$88,'Données projet'!$B$88,BD61+BC62-BL61)))</f>
        <v>201.79999999999995</v>
      </c>
      <c r="BE62" s="14">
        <f>BD62*VLOOKUP('Données projet'!$B$11,Paramètres!$A$1:$I$89,3,0)*VLOOKUP('Données projet'!$B$11,Paramètres!$A$1:$I$89,5,0)</f>
        <v>147.95975999999996</v>
      </c>
      <c r="BF62" s="14">
        <f t="shared" si="37"/>
        <v>38.114564855572674</v>
      </c>
      <c r="BG62" s="22">
        <f t="shared" si="7"/>
        <v>324.07944912345562</v>
      </c>
      <c r="BH62" s="62">
        <f t="shared" si="8"/>
        <v>584.7688563172984</v>
      </c>
      <c r="BI62" s="62">
        <f ca="1">AVERAGE(OFFSET($BH$3,0,0,'Données projet'!$E$11+1,1))-AVERAGE(OFFSET($H$3,0,0,'Données projet'!$E$11+1,1))</f>
        <v>257.906524944431</v>
      </c>
      <c r="BJ62" s="62">
        <f t="shared" si="38"/>
        <v>274.70390601173563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7.4</v>
      </c>
      <c r="BY62" s="13">
        <f>IF('Données projet'!$A$114&gt;35,BY61+BX62-CG61,IF(A62&lt;'Données projet'!$A$114,$BV$205^A62,IF(A62='Données projet'!$A$114,'Données projet'!$B$114,BY61+BX62-CG61)))</f>
        <v>295.59999999999991</v>
      </c>
      <c r="BZ62" s="14">
        <f>BY62*VLOOKUP('Données projet'!$B$12,Paramètres!$A$1:$I$89,3,0)*VLOOKUP('Données projet'!$B$12,Paramètres!$A$1:$I$89,5,0)</f>
        <v>239.79071999999994</v>
      </c>
      <c r="CA62" s="14">
        <f t="shared" si="39"/>
        <v>58.394500584818381</v>
      </c>
      <c r="CB62" s="22">
        <f t="shared" si="10"/>
        <v>519.33925918522516</v>
      </c>
      <c r="CC62" s="62">
        <f t="shared" si="11"/>
        <v>780.028666379068</v>
      </c>
      <c r="CD62" s="62">
        <f ca="1">AVERAGE(OFFSET($CC$3,0,0,'Données projet'!$E$12+1,1))-AVERAGE(OFFSET($H$3,0,0,'Données projet'!$E$12+1,1))</f>
        <v>272.69564942740931</v>
      </c>
      <c r="CE62" s="62">
        <f t="shared" si="40"/>
        <v>316.57989180609252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5.8974358974359005</v>
      </c>
      <c r="CT62" s="13">
        <f>IF('Données projet'!$A$140&gt;35,CT61+CS62-DB61,IF(A62&lt;'Données projet'!$A$140,$CQ$205^A62,IF(A62='Données projet'!$A$140,'Données projet'!$B$140,CT61+CS62-DB61)))</f>
        <v>250.51282051282053</v>
      </c>
      <c r="CU62" s="18">
        <f>CT62*VLOOKUP('Données projet'!$B$13,Paramètres!$A$1:$I$89,3,0)*VLOOKUP('Données projet'!$B$13,Paramètres!$A$1:$I$89,5,0)</f>
        <v>238.38800000000001</v>
      </c>
      <c r="CV62" s="14">
        <f t="shared" si="41"/>
        <v>58.092564910262119</v>
      </c>
      <c r="CW62" s="22">
        <f t="shared" si="13"/>
        <v>516.37031721870653</v>
      </c>
      <c r="CX62" s="62">
        <f t="shared" si="14"/>
        <v>777.05972441254926</v>
      </c>
      <c r="CY62" s="62">
        <f ca="1">AVERAGE(OFFSET($CX$3,0,0,'Données projet'!$E$13+1,1))-AVERAGE(OFFSET($H$3,0,0,'Données projet'!$E$13+1,1))</f>
        <v>491.87038198656927</v>
      </c>
      <c r="CZ62" s="62">
        <f t="shared" si="42"/>
        <v>406.49261644949559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9.4</v>
      </c>
      <c r="DO62" s="13">
        <f>IF('Données projet'!$A$166&gt;35,DO61+DN62-DW61,IF(A62&lt;'Données projet'!$A$166,$DL$205^A62,IF(A62='Données projet'!$A$166,'Données projet'!$B$166,DO61+DN62-DW61)))</f>
        <v>263.59999999999997</v>
      </c>
      <c r="DP62" s="18">
        <f>DO62*VLOOKUP('Données projet'!$B$14,Paramètres!$A$1:$I$89,3,0)*VLOOKUP('Données projet'!$B$14,Paramètres!$A$1:$I$89,5,0)</f>
        <v>254.95391999999998</v>
      </c>
      <c r="DQ62" s="14">
        <f t="shared" si="43"/>
        <v>61.645533788540583</v>
      </c>
      <c r="DR62" s="22">
        <f t="shared" si="16"/>
        <v>551.41071534837477</v>
      </c>
      <c r="DS62" s="62">
        <f t="shared" si="17"/>
        <v>812.1001225422176</v>
      </c>
      <c r="DT62" s="62">
        <f ca="1">AVERAGE(OFFSET($DS$3,0,0,'Données projet'!$E$14+1,1))-AVERAGE(OFFSET($H$3,0,0,'Données projet'!$E$14+1,1))</f>
        <v>603.52431522262032</v>
      </c>
      <c r="DU62" s="62">
        <f t="shared" si="44"/>
        <v>313.56299786481338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7.2</v>
      </c>
      <c r="EJ62" s="13">
        <f>IF('Données projet'!$A$192&gt;35,EJ61+EI62-ER61,IF(A62&lt;'Données projet'!$A$192,$EG$205^A62,IF(A62='Données projet'!$A$192,'Données projet'!$B$192,EJ61+EI62-ER61)))</f>
        <v>352.79999999999978</v>
      </c>
      <c r="EK62" s="18">
        <f>EJ62*VLOOKUP('Données projet'!$B$15,Paramètres!$A$1:$I$89,3,0)*VLOOKUP('Données projet'!$B$15,Paramètres!$A$1:$I$89,5,0)</f>
        <v>280.68767999999983</v>
      </c>
      <c r="EL62" s="14">
        <f t="shared" si="45"/>
        <v>67.11231467966806</v>
      </c>
      <c r="EM62" s="22">
        <f t="shared" si="19"/>
        <v>605.75165740042155</v>
      </c>
      <c r="EN62" s="62">
        <f t="shared" si="20"/>
        <v>866.44106459426439</v>
      </c>
      <c r="EO62" s="62">
        <f ca="1">AVERAGE(OFFSET($EN$3,0,0,'Données projet'!$E$15+1,1))-AVERAGE(OFFSET($H$3,0,0,'Données projet'!$E$15+1,1))</f>
        <v>450.93388191845378</v>
      </c>
      <c r="EP62" s="62">
        <f t="shared" si="46"/>
        <v>483.33635017129325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9.375</v>
      </c>
      <c r="FE62" s="13">
        <f>IF('Données projet'!$A$218&gt;35,FE61+FD62-FM61,IF(A62&lt;'Données projet'!$A$218,$FB$205^A62,IF(A62='Données projet'!$A$218,'Données projet'!$B$218,FE61+FD62-FM61)))</f>
        <v>287.62499999999989</v>
      </c>
      <c r="FF62" s="18">
        <f>FE62*VLOOKUP('Données projet'!$B$16,Paramètres!$A$1:$I$89,3,0)*VLOOKUP('Données projet'!$B$16,Paramètres!$A$1:$I$89,5,0)</f>
        <v>224.34749999999991</v>
      </c>
      <c r="FG62" s="14">
        <f t="shared" si="47"/>
        <v>55.058714525680429</v>
      </c>
      <c r="FH62" s="22">
        <f t="shared" si="22"/>
        <v>486.63249029889329</v>
      </c>
      <c r="FI62" s="62">
        <f t="shared" si="23"/>
        <v>747.32189749273607</v>
      </c>
      <c r="FJ62" s="62">
        <f ca="1">AVERAGE(OFFSET($FI$3,0,0,'Données projet'!$E$16+1,1))-AVERAGE(OFFSET($H$3,0,0,'Données projet'!$E$16+1,1))</f>
        <v>309.21625451786218</v>
      </c>
      <c r="FK62" s="62">
        <f t="shared" si="48"/>
        <v>302.59481222418219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310</v>
      </c>
      <c r="L63" s="13">
        <f>VLOOKUP(A63,'Données projet'!$A$35:$I$55,9,0)</f>
        <v>6.2</v>
      </c>
      <c r="M63" s="13">
        <f t="array" ref="M63">INDEX(L:L,MIN(IF(ISNUMBER(L63:L259),ROW(L63:L259),"")))</f>
        <v>6.2</v>
      </c>
      <c r="N63" s="14">
        <f>IF('Données projet'!$A$36&gt;35,N62+M63-V62,IF(A63&lt;'Données projet'!$A$36,$K$205^A63,IF(A63='Données projet'!$A$36,'Données projet'!$B$36,N62+M63-V62)))</f>
        <v>309.99999999999994</v>
      </c>
      <c r="O63" s="14">
        <f>N63*VLOOKUP('Données projet'!$B$9,Paramètres!$A$1:$I$89,3,0)*VLOOKUP('Données projet'!$B$9,Paramètres!$A$1:$I$89,5,0)</f>
        <v>246.63599999999997</v>
      </c>
      <c r="P63" s="14">
        <f t="shared" si="33"/>
        <v>59.865023903294535</v>
      </c>
      <c r="Q63" s="22">
        <f t="shared" si="53"/>
        <v>533.82261663157112</v>
      </c>
      <c r="R63" s="62">
        <f t="shared" si="0"/>
        <v>795.07832296304855</v>
      </c>
      <c r="S63" s="62">
        <f ca="1">AVERAGE(OFFSET($R$3,0,0,'Données projet'!$E$9+1,1))-AVERAGE(OFFSET($H$3,0,0,'Données projet'!$E$9+1,1))</f>
        <v>394.70330963327166</v>
      </c>
      <c r="T63" s="62">
        <f t="shared" si="34"/>
        <v>424.06445894109982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30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297</v>
      </c>
      <c r="AG63" s="13">
        <f>VLOOKUP(A63,'Données projet'!$A$61:$I$81,9,0)</f>
        <v>9.375</v>
      </c>
      <c r="AH63" s="13">
        <f t="array" ref="AH63">INDEX(AG:AG,MIN(IF(ISNUMBER(AG63:AG259),ROW(AG63:AG259),"")))</f>
        <v>9.375</v>
      </c>
      <c r="AI63" s="14">
        <f>IF('Données projet'!$A$62&gt;35,AI62+AH63-AQ62,IF(A63&lt;'Données projet'!$A$62,$AF$205^A63,IF(A63='Données projet'!$A$62,'Données projet'!$B$62,AI62+AH63-AQ62)))</f>
        <v>296.99999999999989</v>
      </c>
      <c r="AJ63" s="14">
        <f>AI63*VLOOKUP('Données projet'!$B$10,Paramètres!$A$1:$I$89,3,0)*VLOOKUP('Données projet'!$B$10,Paramètres!$A$1:$I$89,5,0)</f>
        <v>240.92639999999992</v>
      </c>
      <c r="AK63" s="14">
        <f t="shared" si="35"/>
        <v>58.638805241742823</v>
      </c>
      <c r="AL63" s="22">
        <f t="shared" si="4"/>
        <v>521.74273246270184</v>
      </c>
      <c r="AM63" s="62">
        <f t="shared" si="5"/>
        <v>782.99843879417926</v>
      </c>
      <c r="AN63" s="62">
        <f ca="1">AVERAGE(OFFSET($AM$3,0,0,'Données projet'!$E$10+1,1))-AVERAGE(OFFSET($H$3,0,0,'Données projet'!$E$10+1,1))</f>
        <v>319.39055628111151</v>
      </c>
      <c r="AO63" s="62">
        <f t="shared" si="36"/>
        <v>312.22190035638084</v>
      </c>
      <c r="AP63" s="16">
        <f>IF(ISNA(VLOOKUP(A63,'Données projet'!$A$61:$I$81,3,0)),0,VLOOKUP(A63,'Données projet'!$A$61:$I$81,3,0))</f>
        <v>7</v>
      </c>
      <c r="AQ63" s="16">
        <f>IF(ISNA(VLOOKUP(A63,'Données projet'!$A$61:$I$81,4,0)),0,VLOOKUP(A63,'Données projet'!$A$61:$I$81,4,0))</f>
        <v>47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206</v>
      </c>
      <c r="BB63" s="13">
        <f>VLOOKUP(A63,'Données projet'!$A$87:$I$107,9,0)</f>
        <v>4.2</v>
      </c>
      <c r="BC63" s="13">
        <f t="array" ref="BC63">INDEX(BB:BB,MIN(IF(ISNUMBER(BB63:BB259),ROW(BB63:BB259),"")))</f>
        <v>4.2</v>
      </c>
      <c r="BD63" s="13">
        <f>IF('Données projet'!$A$88&gt;35,BD62+BC63-BL62,IF(A63&lt;'Données projet'!$A$88,$BA$205^A63,IF(A63='Données projet'!$A$88,'Données projet'!$B$88,BD62+BC63-BL62)))</f>
        <v>205.99999999999994</v>
      </c>
      <c r="BE63" s="14">
        <f>BD63*VLOOKUP('Données projet'!$B$11,Paramètres!$A$1:$I$89,3,0)*VLOOKUP('Données projet'!$B$11,Paramètres!$A$1:$I$89,5,0)</f>
        <v>151.03919999999994</v>
      </c>
      <c r="BF63" s="14">
        <f t="shared" si="37"/>
        <v>38.814652571726043</v>
      </c>
      <c r="BG63" s="22">
        <f t="shared" si="7"/>
        <v>330.66212656242277</v>
      </c>
      <c r="BH63" s="62">
        <f t="shared" si="8"/>
        <v>591.91783289390025</v>
      </c>
      <c r="BI63" s="62">
        <f ca="1">AVERAGE(OFFSET($BH$3,0,0,'Données projet'!$E$11+1,1))-AVERAGE(OFFSET($H$3,0,0,'Données projet'!$E$11+1,1))</f>
        <v>257.906524944431</v>
      </c>
      <c r="BJ63" s="62">
        <f t="shared" si="38"/>
        <v>274.70390601173563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20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303</v>
      </c>
      <c r="BW63" s="13">
        <f>VLOOKUP(A63,'Données projet'!$A$113:$I$133,9,0)</f>
        <v>7.4</v>
      </c>
      <c r="BX63" s="13">
        <f t="array" ref="BX63">INDEX(BW:BW,MIN(IF(ISNUMBER(BW63:BW259),ROW(BW63:BW259),"")))</f>
        <v>7.4</v>
      </c>
      <c r="BY63" s="13">
        <f>IF('Données projet'!$A$114&gt;35,BY62+BX63-CG62,IF(A63&lt;'Données projet'!$A$114,$BV$205^A63,IF(A63='Données projet'!$A$114,'Données projet'!$B$114,BY62+BX63-CG62)))</f>
        <v>302.99999999999989</v>
      </c>
      <c r="BZ63" s="14">
        <f>BY63*VLOOKUP('Données projet'!$B$12,Paramètres!$A$1:$I$89,3,0)*VLOOKUP('Données projet'!$B$12,Paramètres!$A$1:$I$89,5,0)</f>
        <v>245.79359999999991</v>
      </c>
      <c r="CA63" s="14">
        <f t="shared" si="39"/>
        <v>59.684315982017168</v>
      </c>
      <c r="CB63" s="22">
        <f t="shared" si="10"/>
        <v>532.04070366867973</v>
      </c>
      <c r="CC63" s="62">
        <f t="shared" si="11"/>
        <v>793.29641000015727</v>
      </c>
      <c r="CD63" s="62">
        <f ca="1">AVERAGE(OFFSET($CC$3,0,0,'Données projet'!$E$12+1,1))-AVERAGE(OFFSET($H$3,0,0,'Données projet'!$E$12+1,1))</f>
        <v>272.69564942740931</v>
      </c>
      <c r="CE63" s="62">
        <f t="shared" si="40"/>
        <v>316.57989180609252</v>
      </c>
      <c r="CF63" s="16">
        <f>IF(ISNA(VLOOKUP(A63,'Données projet'!$A$113:$I$133,3,0)),0,VLOOKUP(A63,'Données projet'!$A$113:$I$133,3,0))</f>
        <v>3</v>
      </c>
      <c r="CG63" s="16">
        <f>IF(ISNA(VLOOKUP(A63,'Données projet'!$A$113:$I$133,4,0)),0,VLOOKUP(A63,'Données projet'!$A$113:$I$133,4,0))</f>
        <v>303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256.41025641025641</v>
      </c>
      <c r="CR63" s="13">
        <f>VLOOKUP(A63,'Données projet'!$A$139:$I$159,9,0)</f>
        <v>5.8974358974359005</v>
      </c>
      <c r="CS63" s="13">
        <f t="array" ref="CS63">INDEX(CR:CR,MIN(IF(ISNUMBER(CR63:CR259),ROW(CR63:CR259),"")))</f>
        <v>5.8974358974359005</v>
      </c>
      <c r="CT63" s="13">
        <f>IF('Données projet'!$A$140&gt;35,CT62+CS63-DB62,IF(A63&lt;'Données projet'!$A$140,$CQ$205^A63,IF(A63='Données projet'!$A$140,'Données projet'!$B$140,CT62+CS63-DB62)))</f>
        <v>256.41025641025641</v>
      </c>
      <c r="CU63" s="18">
        <f>CT63*VLOOKUP('Données projet'!$B$13,Paramètres!$A$1:$I$89,3,0)*VLOOKUP('Données projet'!$B$13,Paramètres!$A$1:$I$89,5,0)</f>
        <v>244</v>
      </c>
      <c r="CV63" s="14">
        <f t="shared" si="41"/>
        <v>59.299320299313244</v>
      </c>
      <c r="CW63" s="22">
        <f t="shared" si="13"/>
        <v>528.24631618797059</v>
      </c>
      <c r="CX63" s="62">
        <f t="shared" si="14"/>
        <v>789.50202251944802</v>
      </c>
      <c r="CY63" s="62">
        <f ca="1">AVERAGE(OFFSET($CX$3,0,0,'Données projet'!$E$13+1,1))-AVERAGE(OFFSET($H$3,0,0,'Données projet'!$E$13+1,1))</f>
        <v>491.87038198656927</v>
      </c>
      <c r="CZ63" s="62">
        <f t="shared" si="42"/>
        <v>406.49261644949559</v>
      </c>
      <c r="DA63" s="16">
        <f>IF(ISNA(VLOOKUP(A63,'Données projet'!$A$139:$I$159,3,0)),0,VLOOKUP(A63,'Données projet'!$A$139:$I$159,3,0))</f>
        <v>5</v>
      </c>
      <c r="DB63" s="16">
        <f>IF(ISNA(VLOOKUP(A63,'Données projet'!$A$139:$I$159,4,0)),0,VLOOKUP(A63,'Données projet'!$A$139:$I$159,4,0))</f>
        <v>37.820512820512818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273</v>
      </c>
      <c r="DM63" s="13">
        <f>VLOOKUP(A63,'Données projet'!$A$165:$I$185,9,0)</f>
        <v>9.4</v>
      </c>
      <c r="DN63" s="13">
        <f t="array" ref="DN63">INDEX(DM:DM,MIN(IF(ISNUMBER(DM63:DM259),ROW(DM63:DM259),"")))</f>
        <v>9.4</v>
      </c>
      <c r="DO63" s="13">
        <f>IF('Données projet'!$A$166&gt;35,DO62+DN63-DW62,IF(A63&lt;'Données projet'!$A$166,$DL$205^A63,IF(A63='Données projet'!$A$166,'Données projet'!$B$166,DO62+DN63-DW62)))</f>
        <v>272.99999999999994</v>
      </c>
      <c r="DP63" s="18">
        <f>DO63*VLOOKUP('Données projet'!$B$14,Paramètres!$A$1:$I$89,3,0)*VLOOKUP('Données projet'!$B$14,Paramètres!$A$1:$I$89,5,0)</f>
        <v>264.04559999999992</v>
      </c>
      <c r="DQ63" s="14">
        <f t="shared" si="43"/>
        <v>63.58395992997368</v>
      </c>
      <c r="DR63" s="22">
        <f t="shared" si="16"/>
        <v>570.62148354470401</v>
      </c>
      <c r="DS63" s="62">
        <f t="shared" si="17"/>
        <v>831.87718987618155</v>
      </c>
      <c r="DT63" s="62">
        <f ca="1">AVERAGE(OFFSET($DS$3,0,0,'Données projet'!$E$14+1,1))-AVERAGE(OFFSET($H$3,0,0,'Données projet'!$E$14+1,1))</f>
        <v>603.52431522262032</v>
      </c>
      <c r="DU63" s="62">
        <f t="shared" si="44"/>
        <v>313.56299786481338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360</v>
      </c>
      <c r="EH63" s="13">
        <f>VLOOKUP(A63,'Données projet'!$A$191:$I$211,9,0)</f>
        <v>7.2</v>
      </c>
      <c r="EI63" s="13">
        <f t="array" ref="EI63">INDEX(EH:EH,MIN(IF(ISNUMBER(EH63:EH259),ROW(EH63:EH259),"")))</f>
        <v>7.2</v>
      </c>
      <c r="EJ63" s="13">
        <f>IF('Données projet'!$A$192&gt;35,EJ62+EI63-ER62,IF(A63&lt;'Données projet'!$A$192,$EG$205^A63,IF(A63='Données projet'!$A$192,'Données projet'!$B$192,EJ62+EI63-ER62)))</f>
        <v>359.99999999999977</v>
      </c>
      <c r="EK63" s="18">
        <f>EJ63*VLOOKUP('Données projet'!$B$15,Paramètres!$A$1:$I$89,3,0)*VLOOKUP('Données projet'!$B$15,Paramètres!$A$1:$I$89,5,0)</f>
        <v>286.41599999999983</v>
      </c>
      <c r="EL63" s="14">
        <f t="shared" si="45"/>
        <v>68.321101129951188</v>
      </c>
      <c r="EM63" s="22">
        <f t="shared" si="19"/>
        <v>617.83378446799804</v>
      </c>
      <c r="EN63" s="62">
        <f t="shared" si="20"/>
        <v>879.08949079947547</v>
      </c>
      <c r="EO63" s="62">
        <f ca="1">AVERAGE(OFFSET($EN$3,0,0,'Données projet'!$E$15+1,1))-AVERAGE(OFFSET($H$3,0,0,'Données projet'!$E$15+1,1))</f>
        <v>450.93388191845378</v>
      </c>
      <c r="EP63" s="62">
        <f t="shared" si="46"/>
        <v>483.33635017129325</v>
      </c>
      <c r="EQ63" s="16">
        <f>IF(ISNA(VLOOKUP(A63,'Données projet'!$A$191:$I$211,3,0)),0,VLOOKUP(A63,'Données projet'!$A$191:$I$211,3,0))</f>
        <v>5</v>
      </c>
      <c r="ER63" s="16">
        <f>IF(ISNA(VLOOKUP(A63,'Données projet'!$A$191:$I$211,4,0)),0,VLOOKUP(A63,'Données projet'!$A$191:$I$211,4,0))</f>
        <v>35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297</v>
      </c>
      <c r="FC63" s="13">
        <f>VLOOKUP(A63,'Données projet'!$A$217:$I$237,9,0)</f>
        <v>9.375</v>
      </c>
      <c r="FD63" s="13">
        <f t="array" ref="FD63">INDEX(FC:FC,MIN(IF(ISNUMBER(FC63:FC259),ROW(FC63:FC259),"")))</f>
        <v>9.375</v>
      </c>
      <c r="FE63" s="13">
        <f>IF('Données projet'!$A$218&gt;35,FE62+FD63-FM62,IF(A63&lt;'Données projet'!$A$218,$FB$205^A63,IF(A63='Données projet'!$A$218,'Données projet'!$B$218,FE62+FD63-FM62)))</f>
        <v>296.99999999999989</v>
      </c>
      <c r="FF63" s="18">
        <f>FE63*VLOOKUP('Données projet'!$B$16,Paramètres!$A$1:$I$89,3,0)*VLOOKUP('Données projet'!$B$16,Paramètres!$A$1:$I$89,5,0)</f>
        <v>231.65999999999991</v>
      </c>
      <c r="FG63" s="14">
        <f t="shared" si="47"/>
        <v>56.641461975682766</v>
      </c>
      <c r="FH63" s="22">
        <f t="shared" si="22"/>
        <v>502.125046274314</v>
      </c>
      <c r="FI63" s="62">
        <f t="shared" si="23"/>
        <v>763.38075260579149</v>
      </c>
      <c r="FJ63" s="62">
        <f ca="1">AVERAGE(OFFSET($FI$3,0,0,'Données projet'!$E$16+1,1))-AVERAGE(OFFSET($H$3,0,0,'Données projet'!$E$16+1,1))</f>
        <v>309.21625451786218</v>
      </c>
      <c r="FK63" s="62">
        <f t="shared" si="48"/>
        <v>302.59481222418219</v>
      </c>
      <c r="FL63" s="16">
        <f>IF(ISNA(VLOOKUP(A63,'Données projet'!$A$217:$I$237,3,0)),0,VLOOKUP(A63,'Données projet'!$A$217:$I$237,3,0))</f>
        <v>7</v>
      </c>
      <c r="FM63" s="16">
        <f>IF(ISNA(VLOOKUP(A63,'Données projet'!$A$217:$I$237,4,0)),0,VLOOKUP(A63,'Données projet'!$A$217:$I$237,4,0))</f>
        <v>47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5.2</v>
      </c>
      <c r="N64" s="14">
        <f>IF('Données projet'!$A$36&gt;35,N63+M64-V63,IF(A64&lt;'Données projet'!$A$36,$K$205^A64,IF(A64='Données projet'!$A$36,'Données projet'!$B$36,N63+M64-V63)))</f>
        <v>285.19999999999993</v>
      </c>
      <c r="O64" s="14">
        <f>N64*VLOOKUP('Données projet'!$B$9,Paramètres!$A$1:$I$89,3,0)*VLOOKUP('Données projet'!$B$9,Paramètres!$A$1:$I$89,5,0)</f>
        <v>226.90511999999995</v>
      </c>
      <c r="P64" s="14">
        <f t="shared" si="33"/>
        <v>55.612969408444364</v>
      </c>
      <c r="Q64" s="22">
        <f t="shared" si="53"/>
        <v>492.05233905304044</v>
      </c>
      <c r="R64" s="62">
        <f t="shared" si="0"/>
        <v>753.86452049816978</v>
      </c>
      <c r="S64" s="62">
        <f ca="1">AVERAGE(OFFSET($R$3,0,0,'Données projet'!$E$9+1,1))-AVERAGE(OFFSET($H$3,0,0,'Données projet'!$E$9+1,1))</f>
        <v>394.70330963327166</v>
      </c>
      <c r="T64" s="62">
        <f t="shared" si="34"/>
        <v>424.06445894109982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8.6666666666666661</v>
      </c>
      <c r="AI64" s="14">
        <f>IF('Données projet'!$A$62&gt;35,AI63+AH64-AQ63,IF(A64&lt;'Données projet'!$A$62,$AF$205^A64,IF(A64='Données projet'!$A$62,'Données projet'!$B$62,AI63+AH64-AQ63)))</f>
        <v>258.66666666666657</v>
      </c>
      <c r="AJ64" s="14">
        <f>AI64*VLOOKUP('Données projet'!$B$10,Paramètres!$A$1:$I$89,3,0)*VLOOKUP('Données projet'!$B$10,Paramètres!$A$1:$I$89,5,0)</f>
        <v>209.83039999999994</v>
      </c>
      <c r="AK64" s="14">
        <f t="shared" si="35"/>
        <v>51.898522088668521</v>
      </c>
      <c r="AL64" s="22">
        <f t="shared" si="4"/>
        <v>455.84453930443095</v>
      </c>
      <c r="AM64" s="62">
        <f t="shared" si="5"/>
        <v>717.65672074956024</v>
      </c>
      <c r="AN64" s="62">
        <f ca="1">AVERAGE(OFFSET($AM$3,0,0,'Données projet'!$E$10+1,1))-AVERAGE(OFFSET($H$3,0,0,'Données projet'!$E$10+1,1))</f>
        <v>319.39055628111151</v>
      </c>
      <c r="AO64" s="62">
        <f t="shared" si="36"/>
        <v>312.22190035638084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3.2</v>
      </c>
      <c r="BD64" s="13">
        <f>IF('Données projet'!$A$88&gt;35,BD63+BC64-BL63,IF(A64&lt;'Données projet'!$A$88,$BA$205^A64,IF(A64='Données projet'!$A$88,'Données projet'!$B$88,BD63+BC64-BL63)))</f>
        <v>189.19999999999993</v>
      </c>
      <c r="BE64" s="14">
        <f>BD64*VLOOKUP('Données projet'!$B$11,Paramètres!$A$1:$I$89,3,0)*VLOOKUP('Données projet'!$B$11,Paramètres!$A$1:$I$89,5,0)</f>
        <v>138.72143999999994</v>
      </c>
      <c r="BF64" s="14">
        <f t="shared" si="37"/>
        <v>36.003949140467718</v>
      </c>
      <c r="BG64" s="22">
        <f t="shared" si="7"/>
        <v>304.31338608631449</v>
      </c>
      <c r="BH64" s="62">
        <f t="shared" si="8"/>
        <v>566.12556753144383</v>
      </c>
      <c r="BI64" s="62">
        <f ca="1">AVERAGE(OFFSET($BH$3,0,0,'Données projet'!$E$11+1,1))-AVERAGE(OFFSET($H$3,0,0,'Données projet'!$E$11+1,1))</f>
        <v>257.906524944431</v>
      </c>
      <c r="BJ64" s="62">
        <f t="shared" si="38"/>
        <v>274.70390601173563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-1.1368683772161603E-13</v>
      </c>
      <c r="BZ64" s="14">
        <f>BY64*VLOOKUP('Données projet'!$B$12,Paramètres!$A$1:$I$89,3,0)*VLOOKUP('Données projet'!$B$12,Paramètres!$A$1:$I$89,5,0)</f>
        <v>-9.2222762759774927E-14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272.69564942740931</v>
      </c>
      <c r="CE64" s="62">
        <f t="shared" si="40"/>
        <v>316.57989180609252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5.5128205128205083</v>
      </c>
      <c r="CT64" s="13">
        <f>IF('Données projet'!$A$140&gt;35,CT63+CS64-DB63,IF(A64&lt;'Données projet'!$A$140,$CQ$205^A64,IF(A64='Données projet'!$A$140,'Données projet'!$B$140,CT63+CS64-DB63)))</f>
        <v>224.10256410256409</v>
      </c>
      <c r="CU64" s="18">
        <f>CT64*VLOOKUP('Données projet'!$B$13,Paramètres!$A$1:$I$89,3,0)*VLOOKUP('Données projet'!$B$13,Paramètres!$A$1:$I$89,5,0)</f>
        <v>213.25599999999997</v>
      </c>
      <c r="CV64" s="14">
        <f t="shared" si="41"/>
        <v>52.646465235028018</v>
      </c>
      <c r="CW64" s="22">
        <f t="shared" si="13"/>
        <v>463.11346028434042</v>
      </c>
      <c r="CX64" s="62">
        <f t="shared" si="14"/>
        <v>724.92564172946982</v>
      </c>
      <c r="CY64" s="62">
        <f ca="1">AVERAGE(OFFSET($CX$3,0,0,'Données projet'!$E$13+1,1))-AVERAGE(OFFSET($H$3,0,0,'Données projet'!$E$13+1,1))</f>
        <v>491.87038198656927</v>
      </c>
      <c r="CZ64" s="62">
        <f t="shared" si="42"/>
        <v>406.49261644949559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8.8000000000000007</v>
      </c>
      <c r="DO64" s="13">
        <f>IF('Données projet'!$A$166&gt;35,DO63+DN64-DW63,IF(A64&lt;'Données projet'!$A$166,$DL$205^A64,IF(A64='Données projet'!$A$166,'Données projet'!$B$166,DO63+DN64-DW63)))</f>
        <v>281.79999999999995</v>
      </c>
      <c r="DP64" s="18">
        <f>DO64*VLOOKUP('Données projet'!$B$14,Paramètres!$A$1:$I$89,3,0)*VLOOKUP('Données projet'!$B$14,Paramètres!$A$1:$I$89,5,0)</f>
        <v>272.55696</v>
      </c>
      <c r="DQ64" s="14">
        <f t="shared" si="43"/>
        <v>65.391622690449097</v>
      </c>
      <c r="DR64" s="22">
        <f t="shared" si="16"/>
        <v>588.59378151919873</v>
      </c>
      <c r="DS64" s="62">
        <f t="shared" si="17"/>
        <v>850.40596296432807</v>
      </c>
      <c r="DT64" s="62">
        <f ca="1">AVERAGE(OFFSET($DS$3,0,0,'Données projet'!$E$14+1,1))-AVERAGE(OFFSET($H$3,0,0,'Données projet'!$E$14+1,1))</f>
        <v>603.52431522262032</v>
      </c>
      <c r="DU64" s="62">
        <f t="shared" si="44"/>
        <v>313.56299786481338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6.2</v>
      </c>
      <c r="EJ64" s="13">
        <f>IF('Données projet'!$A$192&gt;35,EJ63+EI64-ER63,IF(A64&lt;'Données projet'!$A$192,$EG$205^A64,IF(A64='Données projet'!$A$192,'Données projet'!$B$192,EJ63+EI64-ER63)))</f>
        <v>331.19999999999976</v>
      </c>
      <c r="EK64" s="18">
        <f>EJ64*VLOOKUP('Données projet'!$B$15,Paramètres!$A$1:$I$89,3,0)*VLOOKUP('Données projet'!$B$15,Paramètres!$A$1:$I$89,5,0)</f>
        <v>263.50271999999984</v>
      </c>
      <c r="EL64" s="14">
        <f t="shared" si="45"/>
        <v>63.468433809179686</v>
      </c>
      <c r="EM64" s="22">
        <f t="shared" si="19"/>
        <v>569.47475955098764</v>
      </c>
      <c r="EN64" s="62">
        <f t="shared" si="20"/>
        <v>831.28694099611698</v>
      </c>
      <c r="EO64" s="62">
        <f ca="1">AVERAGE(OFFSET($EN$3,0,0,'Données projet'!$E$15+1,1))-AVERAGE(OFFSET($H$3,0,0,'Données projet'!$E$15+1,1))</f>
        <v>450.93388191845378</v>
      </c>
      <c r="EP64" s="62">
        <f t="shared" si="46"/>
        <v>483.33635017129325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8.6666666666666661</v>
      </c>
      <c r="FE64" s="13">
        <f>IF('Données projet'!$A$218&gt;35,FE63+FD64-FM63,IF(A64&lt;'Données projet'!$A$218,$FB$205^A64,IF(A64='Données projet'!$A$218,'Données projet'!$B$218,FE63+FD64-FM63)))</f>
        <v>258.66666666666657</v>
      </c>
      <c r="FF64" s="18">
        <f>FE64*VLOOKUP('Données projet'!$B$16,Paramètres!$A$1:$I$89,3,0)*VLOOKUP('Données projet'!$B$16,Paramètres!$A$1:$I$89,5,0)</f>
        <v>201.75999999999993</v>
      </c>
      <c r="FG64" s="14">
        <f t="shared" si="47"/>
        <v>50.130765000424169</v>
      </c>
      <c r="FH64" s="22">
        <f t="shared" si="22"/>
        <v>438.70974904240529</v>
      </c>
      <c r="FI64" s="62">
        <f t="shared" si="23"/>
        <v>700.52193048753463</v>
      </c>
      <c r="FJ64" s="62">
        <f ca="1">AVERAGE(OFFSET($FI$3,0,0,'Données projet'!$E$16+1,1))-AVERAGE(OFFSET($H$3,0,0,'Données projet'!$E$16+1,1))</f>
        <v>309.21625451786218</v>
      </c>
      <c r="FK64" s="62">
        <f t="shared" si="48"/>
        <v>302.59481222418219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5.2</v>
      </c>
      <c r="N65" s="14">
        <f>IF('Données projet'!$A$36&gt;35,N64+M65-V64,IF(A65&lt;'Données projet'!$A$36,$K$205^A65,IF(A65='Données projet'!$A$36,'Données projet'!$B$36,N64+M65-V64)))</f>
        <v>290.39999999999992</v>
      </c>
      <c r="O65" s="14">
        <f>N65*VLOOKUP('Données projet'!$B$9,Paramètres!$A$1:$I$89,3,0)*VLOOKUP('Données projet'!$B$9,Paramètres!$A$1:$I$89,5,0)</f>
        <v>231.04223999999994</v>
      </c>
      <c r="P65" s="14">
        <f t="shared" si="33"/>
        <v>56.507978852931409</v>
      </c>
      <c r="Q65" s="22">
        <f t="shared" si="53"/>
        <v>500.81663116885539</v>
      </c>
      <c r="R65" s="62">
        <f t="shared" si="0"/>
        <v>763.17563412850677</v>
      </c>
      <c r="S65" s="62">
        <f ca="1">AVERAGE(OFFSET($R$3,0,0,'Données projet'!$E$9+1,1))-AVERAGE(OFFSET($H$3,0,0,'Données projet'!$E$9+1,1))</f>
        <v>394.70330963327166</v>
      </c>
      <c r="T65" s="62">
        <f t="shared" si="34"/>
        <v>424.06445894109982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8.6666666666666661</v>
      </c>
      <c r="AI65" s="14">
        <f>IF('Données projet'!$A$62&gt;35,AI64+AH65-AQ64,IF(A65&lt;'Données projet'!$A$62,$AF$205^A65,IF(A65='Données projet'!$A$62,'Données projet'!$B$62,AI64+AH65-AQ64)))</f>
        <v>267.33333333333326</v>
      </c>
      <c r="AJ65" s="14">
        <f>AI65*VLOOKUP('Données projet'!$B$10,Paramètres!$A$1:$I$89,3,0)*VLOOKUP('Données projet'!$B$10,Paramètres!$A$1:$I$89,5,0)</f>
        <v>216.86079999999995</v>
      </c>
      <c r="AK65" s="14">
        <f t="shared" si="35"/>
        <v>53.432026464152699</v>
      </c>
      <c r="AL65" s="22">
        <f t="shared" si="4"/>
        <v>470.76000609173252</v>
      </c>
      <c r="AM65" s="62">
        <f t="shared" si="5"/>
        <v>733.11900905138384</v>
      </c>
      <c r="AN65" s="62">
        <f ca="1">AVERAGE(OFFSET($AM$3,0,0,'Données projet'!$E$10+1,1))-AVERAGE(OFFSET($H$3,0,0,'Données projet'!$E$10+1,1))</f>
        <v>319.39055628111151</v>
      </c>
      <c r="AO65" s="62">
        <f t="shared" si="36"/>
        <v>312.22190035638084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3.2</v>
      </c>
      <c r="BD65" s="13">
        <f>IF('Données projet'!$A$88&gt;35,BD64+BC65-BL64,IF(A65&lt;'Données projet'!$A$88,$BA$205^A65,IF(A65='Données projet'!$A$88,'Données projet'!$B$88,BD64+BC65-BL64)))</f>
        <v>192.39999999999992</v>
      </c>
      <c r="BE65" s="14">
        <f>BD65*VLOOKUP('Données projet'!$B$11,Paramètres!$A$1:$I$89,3,0)*VLOOKUP('Données projet'!$B$11,Paramètres!$A$1:$I$89,5,0)</f>
        <v>141.06767999999994</v>
      </c>
      <c r="BF65" s="14">
        <f t="shared" si="37"/>
        <v>36.541487735562882</v>
      </c>
      <c r="BG65" s="22">
        <f t="shared" si="7"/>
        <v>309.33596713943859</v>
      </c>
      <c r="BH65" s="62">
        <f t="shared" si="8"/>
        <v>571.69497009908991</v>
      </c>
      <c r="BI65" s="62">
        <f ca="1">AVERAGE(OFFSET($BH$3,0,0,'Données projet'!$E$11+1,1))-AVERAGE(OFFSET($H$3,0,0,'Données projet'!$E$11+1,1))</f>
        <v>257.906524944431</v>
      </c>
      <c r="BJ65" s="62">
        <f t="shared" si="38"/>
        <v>274.70390601173563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-1.1368683772161603E-13</v>
      </c>
      <c r="BZ65" s="14">
        <f>BY65*VLOOKUP('Données projet'!$B$12,Paramètres!$A$1:$I$89,3,0)*VLOOKUP('Données projet'!$B$12,Paramètres!$A$1:$I$89,5,0)</f>
        <v>-9.2222762759774927E-14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272.69564942740931</v>
      </c>
      <c r="CE65" s="62">
        <f t="shared" si="40"/>
        <v>316.57989180609252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5.5128205128205083</v>
      </c>
      <c r="CT65" s="13">
        <f>IF('Données projet'!$A$140&gt;35,CT64+CS65-DB64,IF(A65&lt;'Données projet'!$A$140,$CQ$205^A65,IF(A65='Données projet'!$A$140,'Données projet'!$B$140,CT64+CS65-DB64)))</f>
        <v>229.61538461538458</v>
      </c>
      <c r="CU65" s="18">
        <f>CT65*VLOOKUP('Données projet'!$B$13,Paramètres!$A$1:$I$89,3,0)*VLOOKUP('Données projet'!$B$13,Paramètres!$A$1:$I$89,5,0)</f>
        <v>218.50199999999998</v>
      </c>
      <c r="CV65" s="14">
        <f t="shared" si="41"/>
        <v>53.789173468854308</v>
      </c>
      <c r="CW65" s="22">
        <f t="shared" si="13"/>
        <v>474.24046045825457</v>
      </c>
      <c r="CX65" s="62">
        <f t="shared" si="14"/>
        <v>736.59946341790589</v>
      </c>
      <c r="CY65" s="62">
        <f ca="1">AVERAGE(OFFSET($CX$3,0,0,'Données projet'!$E$13+1,1))-AVERAGE(OFFSET($H$3,0,0,'Données projet'!$E$13+1,1))</f>
        <v>491.87038198656927</v>
      </c>
      <c r="CZ65" s="62">
        <f t="shared" si="42"/>
        <v>406.49261644949559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8.8000000000000007</v>
      </c>
      <c r="DO65" s="13">
        <f>IF('Données projet'!$A$166&gt;35,DO64+DN65-DW64,IF(A65&lt;'Données projet'!$A$166,$DL$205^A65,IF(A65='Données projet'!$A$166,'Données projet'!$B$166,DO64+DN65-DW64)))</f>
        <v>290.59999999999997</v>
      </c>
      <c r="DP65" s="18">
        <f>DO65*VLOOKUP('Données projet'!$B$14,Paramètres!$A$1:$I$89,3,0)*VLOOKUP('Données projet'!$B$14,Paramètres!$A$1:$I$89,5,0)</f>
        <v>281.06831999999997</v>
      </c>
      <c r="DQ65" s="14">
        <f t="shared" si="43"/>
        <v>67.19272554541665</v>
      </c>
      <c r="DR65" s="22">
        <f t="shared" si="16"/>
        <v>606.55465432493395</v>
      </c>
      <c r="DS65" s="62">
        <f t="shared" si="17"/>
        <v>868.91365728458527</v>
      </c>
      <c r="DT65" s="62">
        <f ca="1">AVERAGE(OFFSET($DS$3,0,0,'Données projet'!$E$14+1,1))-AVERAGE(OFFSET($H$3,0,0,'Données projet'!$E$14+1,1))</f>
        <v>603.52431522262032</v>
      </c>
      <c r="DU65" s="62">
        <f t="shared" si="44"/>
        <v>313.56299786481338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6.2</v>
      </c>
      <c r="EJ65" s="13">
        <f>IF('Données projet'!$A$192&gt;35,EJ64+EI65-ER64,IF(A65&lt;'Données projet'!$A$192,$EG$205^A65,IF(A65='Données projet'!$A$192,'Données projet'!$B$192,EJ64+EI65-ER64)))</f>
        <v>337.39999999999975</v>
      </c>
      <c r="EK65" s="18">
        <f>EJ65*VLOOKUP('Données projet'!$B$15,Paramètres!$A$1:$I$89,3,0)*VLOOKUP('Données projet'!$B$15,Paramètres!$A$1:$I$89,5,0)</f>
        <v>268.4354399999998</v>
      </c>
      <c r="EL65" s="14">
        <f t="shared" si="45"/>
        <v>64.517117946718415</v>
      </c>
      <c r="EM65" s="22">
        <f t="shared" si="19"/>
        <v>579.89237175720086</v>
      </c>
      <c r="EN65" s="62">
        <f t="shared" si="20"/>
        <v>842.25137471685218</v>
      </c>
      <c r="EO65" s="62">
        <f ca="1">AVERAGE(OFFSET($EN$3,0,0,'Données projet'!$E$15+1,1))-AVERAGE(OFFSET($H$3,0,0,'Données projet'!$E$15+1,1))</f>
        <v>450.93388191845378</v>
      </c>
      <c r="EP65" s="62">
        <f t="shared" si="46"/>
        <v>483.33635017129325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8.6666666666666661</v>
      </c>
      <c r="FE65" s="13">
        <f>IF('Données projet'!$A$218&gt;35,FE64+FD65-FM64,IF(A65&lt;'Données projet'!$A$218,$FB$205^A65,IF(A65='Données projet'!$A$218,'Données projet'!$B$218,FE64+FD65-FM64)))</f>
        <v>267.33333333333326</v>
      </c>
      <c r="FF65" s="18">
        <f>FE65*VLOOKUP('Données projet'!$B$16,Paramètres!$A$1:$I$89,3,0)*VLOOKUP('Données projet'!$B$16,Paramètres!$A$1:$I$89,5,0)</f>
        <v>208.51999999999995</v>
      </c>
      <c r="FG65" s="14">
        <f t="shared" si="47"/>
        <v>51.612035456318459</v>
      </c>
      <c r="FH65" s="22">
        <f t="shared" si="22"/>
        <v>453.06329508642119</v>
      </c>
      <c r="FI65" s="62">
        <f t="shared" si="23"/>
        <v>715.42229804607246</v>
      </c>
      <c r="FJ65" s="62">
        <f ca="1">AVERAGE(OFFSET($FI$3,0,0,'Données projet'!$E$16+1,1))-AVERAGE(OFFSET($H$3,0,0,'Données projet'!$E$16+1,1))</f>
        <v>309.21625451786218</v>
      </c>
      <c r="FK65" s="62">
        <f t="shared" si="48"/>
        <v>302.59481222418219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5.2</v>
      </c>
      <c r="N66" s="14">
        <f>IF('Données projet'!$A$36&gt;35,N65+M66-V65,IF(A66&lt;'Données projet'!$A$36,$K$205^A66,IF(A66='Données projet'!$A$36,'Données projet'!$B$36,N65+M66-V65)))</f>
        <v>295.59999999999991</v>
      </c>
      <c r="O66" s="14">
        <f>N66*VLOOKUP('Données projet'!$B$9,Paramètres!$A$1:$I$89,3,0)*VLOOKUP('Données projet'!$B$9,Paramètres!$A$1:$I$89,5,0)</f>
        <v>235.17935999999992</v>
      </c>
      <c r="P66" s="14">
        <f t="shared" si="33"/>
        <v>57.401124668909425</v>
      </c>
      <c r="Q66" s="22">
        <f t="shared" si="53"/>
        <v>509.57767746501708</v>
      </c>
      <c r="R66" s="62">
        <f t="shared" si="0"/>
        <v>772.47401580842325</v>
      </c>
      <c r="S66" s="62">
        <f ca="1">AVERAGE(OFFSET($R$3,0,0,'Données projet'!$E$9+1,1))-AVERAGE(OFFSET($H$3,0,0,'Données projet'!$E$9+1,1))</f>
        <v>394.70330963327166</v>
      </c>
      <c r="T66" s="62">
        <f t="shared" si="34"/>
        <v>424.06445894109982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8.6666666666666661</v>
      </c>
      <c r="AI66" s="14">
        <f>IF('Données projet'!$A$62&gt;35,AI65+AH66-AQ65,IF(A66&lt;'Données projet'!$A$62,$AF$205^A66,IF(A66='Données projet'!$A$62,'Données projet'!$B$62,AI65+AH66-AQ65)))</f>
        <v>275.99999999999994</v>
      </c>
      <c r="AJ66" s="14">
        <f>AI66*VLOOKUP('Données projet'!$B$10,Paramètres!$A$1:$I$89,3,0)*VLOOKUP('Données projet'!$B$10,Paramètres!$A$1:$I$89,5,0)</f>
        <v>223.89119999999997</v>
      </c>
      <c r="AK66" s="14">
        <f t="shared" si="35"/>
        <v>54.95975389514863</v>
      </c>
      <c r="AL66" s="22">
        <f t="shared" si="4"/>
        <v>485.66541136738391</v>
      </c>
      <c r="AM66" s="62">
        <f t="shared" si="5"/>
        <v>748.56174971079008</v>
      </c>
      <c r="AN66" s="62">
        <f ca="1">AVERAGE(OFFSET($AM$3,0,0,'Données projet'!$E$10+1,1))-AVERAGE(OFFSET($H$3,0,0,'Données projet'!$E$10+1,1))</f>
        <v>319.39055628111151</v>
      </c>
      <c r="AO66" s="62">
        <f t="shared" si="36"/>
        <v>312.22190035638084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3.2</v>
      </c>
      <c r="BD66" s="13">
        <f>IF('Données projet'!$A$88&gt;35,BD65+BC66-BL65,IF(A66&lt;'Données projet'!$A$88,$BA$205^A66,IF(A66='Données projet'!$A$88,'Données projet'!$B$88,BD65+BC66-BL65)))</f>
        <v>195.59999999999991</v>
      </c>
      <c r="BE66" s="14">
        <f>BD66*VLOOKUP('Données projet'!$B$11,Paramètres!$A$1:$I$89,3,0)*VLOOKUP('Données projet'!$B$11,Paramètres!$A$1:$I$89,5,0)</f>
        <v>143.41391999999993</v>
      </c>
      <c r="BF66" s="14">
        <f t="shared" si="37"/>
        <v>37.077986629828985</v>
      </c>
      <c r="BG66" s="22">
        <f t="shared" si="7"/>
        <v>314.35673738028538</v>
      </c>
      <c r="BH66" s="62">
        <f t="shared" si="8"/>
        <v>577.2530757236915</v>
      </c>
      <c r="BI66" s="62">
        <f ca="1">AVERAGE(OFFSET($BH$3,0,0,'Données projet'!$E$11+1,1))-AVERAGE(OFFSET($H$3,0,0,'Données projet'!$E$11+1,1))</f>
        <v>257.906524944431</v>
      </c>
      <c r="BJ66" s="62">
        <f t="shared" si="38"/>
        <v>274.70390601173563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-1.1368683772161603E-13</v>
      </c>
      <c r="BZ66" s="14">
        <f>BY66*VLOOKUP('Données projet'!$B$12,Paramètres!$A$1:$I$89,3,0)*VLOOKUP('Données projet'!$B$12,Paramètres!$A$1:$I$89,5,0)</f>
        <v>-9.2222762759774927E-14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272.69564942740931</v>
      </c>
      <c r="CE66" s="62">
        <f t="shared" si="40"/>
        <v>316.57989180609252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5.5128205128205083</v>
      </c>
      <c r="CT66" s="13">
        <f>IF('Données projet'!$A$140&gt;35,CT65+CS66-DB65,IF(A66&lt;'Données projet'!$A$140,$CQ$205^A66,IF(A66='Données projet'!$A$140,'Données projet'!$B$140,CT65+CS66-DB65)))</f>
        <v>235.12820512820508</v>
      </c>
      <c r="CU66" s="18">
        <f>CT66*VLOOKUP('Données projet'!$B$13,Paramètres!$A$1:$I$89,3,0)*VLOOKUP('Données projet'!$B$13,Paramètres!$A$1:$I$89,5,0)</f>
        <v>223.74799999999996</v>
      </c>
      <c r="CV66" s="14">
        <f t="shared" si="41"/>
        <v>54.928692378995628</v>
      </c>
      <c r="CW66" s="22">
        <f t="shared" si="13"/>
        <v>485.36190589341732</v>
      </c>
      <c r="CX66" s="62">
        <f t="shared" si="14"/>
        <v>748.25824423682343</v>
      </c>
      <c r="CY66" s="62">
        <f ca="1">AVERAGE(OFFSET($CX$3,0,0,'Données projet'!$E$13+1,1))-AVERAGE(OFFSET($H$3,0,0,'Données projet'!$E$13+1,1))</f>
        <v>491.87038198656927</v>
      </c>
      <c r="CZ66" s="62">
        <f t="shared" si="42"/>
        <v>406.49261644949559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8.8000000000000007</v>
      </c>
      <c r="DO66" s="13">
        <f>IF('Données projet'!$A$166&gt;35,DO65+DN66-DW65,IF(A66&lt;'Données projet'!$A$166,$DL$205^A66,IF(A66='Données projet'!$A$166,'Données projet'!$B$166,DO65+DN66-DW65)))</f>
        <v>299.39999999999998</v>
      </c>
      <c r="DP66" s="18">
        <f>DO66*VLOOKUP('Données projet'!$B$14,Paramètres!$A$1:$I$89,3,0)*VLOOKUP('Données projet'!$B$14,Paramètres!$A$1:$I$89,5,0)</f>
        <v>289.57968</v>
      </c>
      <c r="DQ66" s="14">
        <f t="shared" si="43"/>
        <v>68.987489943980663</v>
      </c>
      <c r="DR66" s="22">
        <f t="shared" si="16"/>
        <v>624.504487652433</v>
      </c>
      <c r="DS66" s="62">
        <f t="shared" si="17"/>
        <v>887.40082599583911</v>
      </c>
      <c r="DT66" s="62">
        <f ca="1">AVERAGE(OFFSET($DS$3,0,0,'Données projet'!$E$14+1,1))-AVERAGE(OFFSET($H$3,0,0,'Données projet'!$E$14+1,1))</f>
        <v>603.52431522262032</v>
      </c>
      <c r="DU66" s="62">
        <f t="shared" si="44"/>
        <v>313.56299786481338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6.2</v>
      </c>
      <c r="EJ66" s="13">
        <f>IF('Données projet'!$A$192&gt;35,EJ65+EI66-ER65,IF(A66&lt;'Données projet'!$A$192,$EG$205^A66,IF(A66='Données projet'!$A$192,'Données projet'!$B$192,EJ65+EI66-ER65)))</f>
        <v>343.59999999999974</v>
      </c>
      <c r="EK66" s="18">
        <f>EJ66*VLOOKUP('Données projet'!$B$15,Paramètres!$A$1:$I$89,3,0)*VLOOKUP('Données projet'!$B$15,Paramètres!$A$1:$I$89,5,0)</f>
        <v>273.36815999999982</v>
      </c>
      <c r="EL66" s="14">
        <f t="shared" si="45"/>
        <v>65.563561270581033</v>
      </c>
      <c r="EM66" s="22">
        <f t="shared" si="19"/>
        <v>590.30608121292823</v>
      </c>
      <c r="EN66" s="62">
        <f t="shared" si="20"/>
        <v>853.20241955633435</v>
      </c>
      <c r="EO66" s="62">
        <f ca="1">AVERAGE(OFFSET($EN$3,0,0,'Données projet'!$E$15+1,1))-AVERAGE(OFFSET($H$3,0,0,'Données projet'!$E$15+1,1))</f>
        <v>450.93388191845378</v>
      </c>
      <c r="EP66" s="62">
        <f t="shared" si="46"/>
        <v>483.33635017129325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8.6666666666666661</v>
      </c>
      <c r="FE66" s="13">
        <f>IF('Données projet'!$A$218&gt;35,FE65+FD66-FM65,IF(A66&lt;'Données projet'!$A$218,$FB$205^A66,IF(A66='Données projet'!$A$218,'Données projet'!$B$218,FE65+FD66-FM65)))</f>
        <v>275.99999999999994</v>
      </c>
      <c r="FF66" s="18">
        <f>FE66*VLOOKUP('Données projet'!$B$16,Paramètres!$A$1:$I$89,3,0)*VLOOKUP('Données projet'!$B$16,Paramètres!$A$1:$I$89,5,0)</f>
        <v>215.27999999999997</v>
      </c>
      <c r="FG66" s="14">
        <f t="shared" si="47"/>
        <v>53.087725740853138</v>
      </c>
      <c r="FH66" s="22">
        <f t="shared" si="22"/>
        <v>467.40712233198587</v>
      </c>
      <c r="FI66" s="62">
        <f t="shared" si="23"/>
        <v>730.30346067539199</v>
      </c>
      <c r="FJ66" s="62">
        <f ca="1">AVERAGE(OFFSET($FI$3,0,0,'Données projet'!$E$16+1,1))-AVERAGE(OFFSET($H$3,0,0,'Données projet'!$E$16+1,1))</f>
        <v>309.21625451786218</v>
      </c>
      <c r="FK66" s="62">
        <f t="shared" si="48"/>
        <v>302.59481222418219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5.2</v>
      </c>
      <c r="N67" s="14">
        <f>IF('Données projet'!$A$36&gt;35,N66+M67-V66,IF(A67&lt;'Données projet'!$A$36,$K$205^A67,IF(A67='Données projet'!$A$36,'Données projet'!$B$36,N66+M67-V66)))</f>
        <v>300.7999999999999</v>
      </c>
      <c r="O67" s="14">
        <f>N67*VLOOKUP('Données projet'!$B$9,Paramètres!$A$1:$I$89,3,0)*VLOOKUP('Données projet'!$B$9,Paramètres!$A$1:$I$89,5,0)</f>
        <v>239.31647999999996</v>
      </c>
      <c r="P67" s="14">
        <f t="shared" si="33"/>
        <v>58.292443422481945</v>
      </c>
      <c r="Q67" s="22">
        <f t="shared" ref="Q67:Q98" si="54">(O67+P67)*0.475*44/12</f>
        <v>518.33554162748931</v>
      </c>
      <c r="R67" s="62">
        <f t="shared" ref="R67:R130" si="55">Q67+(I67+J67)*44/12</f>
        <v>781.75989378704412</v>
      </c>
      <c r="S67" s="62">
        <f ca="1">AVERAGE(OFFSET($R$3,0,0,'Données projet'!$E$9+1,1))-AVERAGE(OFFSET($H$3,0,0,'Données projet'!$E$9+1,1))</f>
        <v>394.70330963327166</v>
      </c>
      <c r="T67" s="62">
        <f t="shared" si="34"/>
        <v>424.06445894109982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8.6666666666666661</v>
      </c>
      <c r="AI67" s="14">
        <f>IF('Données projet'!$A$62&gt;35,AI66+AH67-AQ66,IF(A67&lt;'Données projet'!$A$62,$AF$205^A67,IF(A67='Données projet'!$A$62,'Données projet'!$B$62,AI66+AH67-AQ66)))</f>
        <v>284.66666666666663</v>
      </c>
      <c r="AJ67" s="14">
        <f>AI67*VLOOKUP('Données projet'!$B$10,Paramètres!$A$1:$I$89,3,0)*VLOOKUP('Données projet'!$B$10,Paramètres!$A$1:$I$89,5,0)</f>
        <v>230.92159999999998</v>
      </c>
      <c r="AK67" s="14">
        <f t="shared" si="35"/>
        <v>56.481906596223716</v>
      </c>
      <c r="AL67" s="22">
        <f t="shared" si="4"/>
        <v>500.5611073217562</v>
      </c>
      <c r="AM67" s="62">
        <f t="shared" si="5"/>
        <v>763.98545948131095</v>
      </c>
      <c r="AN67" s="62">
        <f ca="1">AVERAGE(OFFSET($AM$3,0,0,'Données projet'!$E$10+1,1))-AVERAGE(OFFSET($H$3,0,0,'Données projet'!$E$10+1,1))</f>
        <v>319.39055628111151</v>
      </c>
      <c r="AO67" s="62">
        <f t="shared" si="36"/>
        <v>312.22190035638084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3.2</v>
      </c>
      <c r="BD67" s="13">
        <f>IF('Données projet'!$A$88&gt;35,BD66+BC67-BL66,IF(A67&lt;'Données projet'!$A$88,$BA$205^A67,IF(A67='Données projet'!$A$88,'Données projet'!$B$88,BD66+BC67-BL66)))</f>
        <v>198.7999999999999</v>
      </c>
      <c r="BE67" s="14">
        <f>BD67*VLOOKUP('Données projet'!$B$11,Paramètres!$A$1:$I$89,3,0)*VLOOKUP('Données projet'!$B$11,Paramètres!$A$1:$I$89,5,0)</f>
        <v>145.76015999999993</v>
      </c>
      <c r="BF67" s="14">
        <f t="shared" si="37"/>
        <v>37.613464796219112</v>
      </c>
      <c r="BG67" s="22">
        <f t="shared" si="7"/>
        <v>319.37572985341484</v>
      </c>
      <c r="BH67" s="62">
        <f t="shared" si="8"/>
        <v>582.8000820129696</v>
      </c>
      <c r="BI67" s="62">
        <f ca="1">AVERAGE(OFFSET($BH$3,0,0,'Données projet'!$E$11+1,1))-AVERAGE(OFFSET($H$3,0,0,'Données projet'!$E$11+1,1))</f>
        <v>257.906524944431</v>
      </c>
      <c r="BJ67" s="62">
        <f t="shared" si="38"/>
        <v>274.70390601173563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-1.1368683772161603E-13</v>
      </c>
      <c r="BZ67" s="14">
        <f>BY67*VLOOKUP('Données projet'!$B$12,Paramètres!$A$1:$I$89,3,0)*VLOOKUP('Données projet'!$B$12,Paramètres!$A$1:$I$89,5,0)</f>
        <v>-9.2222762759774927E-14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272.69564942740931</v>
      </c>
      <c r="CE67" s="62">
        <f t="shared" si="40"/>
        <v>316.57989180609252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5.5128205128205083</v>
      </c>
      <c r="CT67" s="13">
        <f>IF('Données projet'!$A$140&gt;35,CT66+CS67-DB66,IF(A67&lt;'Données projet'!$A$140,$CQ$205^A67,IF(A67='Données projet'!$A$140,'Données projet'!$B$140,CT66+CS67-DB66)))</f>
        <v>240.64102564102558</v>
      </c>
      <c r="CU67" s="18">
        <f>CT67*VLOOKUP('Données projet'!$B$13,Paramètres!$A$1:$I$89,3,0)*VLOOKUP('Données projet'!$B$13,Paramètres!$A$1:$I$89,5,0)</f>
        <v>228.99399999999997</v>
      </c>
      <c r="CV67" s="14">
        <f t="shared" si="41"/>
        <v>56.065105348066425</v>
      </c>
      <c r="CW67" s="22">
        <f t="shared" si="13"/>
        <v>496.47794181454901</v>
      </c>
      <c r="CX67" s="62">
        <f t="shared" si="14"/>
        <v>759.90229397410371</v>
      </c>
      <c r="CY67" s="62">
        <f ca="1">AVERAGE(OFFSET($CX$3,0,0,'Données projet'!$E$13+1,1))-AVERAGE(OFFSET($H$3,0,0,'Données projet'!$E$13+1,1))</f>
        <v>491.87038198656927</v>
      </c>
      <c r="CZ67" s="62">
        <f t="shared" si="42"/>
        <v>406.49261644949559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8.8000000000000007</v>
      </c>
      <c r="DO67" s="13">
        <f>IF('Données projet'!$A$166&gt;35,DO66+DN67-DW66,IF(A67&lt;'Données projet'!$A$166,$DL$205^A67,IF(A67='Données projet'!$A$166,'Données projet'!$B$166,DO66+DN67-DW66)))</f>
        <v>308.2</v>
      </c>
      <c r="DP67" s="18">
        <f>DO67*VLOOKUP('Données projet'!$B$14,Paramètres!$A$1:$I$89,3,0)*VLOOKUP('Données projet'!$B$14,Paramètres!$A$1:$I$89,5,0)</f>
        <v>298.09104000000002</v>
      </c>
      <c r="DQ67" s="14">
        <f t="shared" si="43"/>
        <v>70.776123577436934</v>
      </c>
      <c r="DR67" s="22">
        <f t="shared" si="16"/>
        <v>642.44364323070261</v>
      </c>
      <c r="DS67" s="62">
        <f t="shared" si="17"/>
        <v>905.86799539025742</v>
      </c>
      <c r="DT67" s="62">
        <f ca="1">AVERAGE(OFFSET($DS$3,0,0,'Données projet'!$E$14+1,1))-AVERAGE(OFFSET($H$3,0,0,'Données projet'!$E$14+1,1))</f>
        <v>603.52431522262032</v>
      </c>
      <c r="DU67" s="62">
        <f t="shared" si="44"/>
        <v>313.56299786481338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6.2</v>
      </c>
      <c r="EJ67" s="13">
        <f>IF('Données projet'!$A$192&gt;35,EJ66+EI67-ER66,IF(A67&lt;'Données projet'!$A$192,$EG$205^A67,IF(A67='Données projet'!$A$192,'Données projet'!$B$192,EJ66+EI67-ER66)))</f>
        <v>349.79999999999973</v>
      </c>
      <c r="EK67" s="18">
        <f>EJ67*VLOOKUP('Données projet'!$B$15,Paramètres!$A$1:$I$89,3,0)*VLOOKUP('Données projet'!$B$15,Paramètres!$A$1:$I$89,5,0)</f>
        <v>278.30087999999978</v>
      </c>
      <c r="EL67" s="14">
        <f t="shared" si="45"/>
        <v>66.607808878595833</v>
      </c>
      <c r="EM67" s="22">
        <f t="shared" si="19"/>
        <v>600.71596646355397</v>
      </c>
      <c r="EN67" s="62">
        <f t="shared" si="20"/>
        <v>864.14031862310867</v>
      </c>
      <c r="EO67" s="62">
        <f ca="1">AVERAGE(OFFSET($EN$3,0,0,'Données projet'!$E$15+1,1))-AVERAGE(OFFSET($H$3,0,0,'Données projet'!$E$15+1,1))</f>
        <v>450.93388191845378</v>
      </c>
      <c r="EP67" s="62">
        <f t="shared" si="46"/>
        <v>483.33635017129325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8.6666666666666661</v>
      </c>
      <c r="FE67" s="13">
        <f>IF('Données projet'!$A$218&gt;35,FE66+FD67-FM66,IF(A67&lt;'Données projet'!$A$218,$FB$205^A67,IF(A67='Données projet'!$A$218,'Données projet'!$B$218,FE66+FD67-FM66)))</f>
        <v>284.66666666666663</v>
      </c>
      <c r="FF67" s="18">
        <f>FE67*VLOOKUP('Données projet'!$B$16,Paramètres!$A$1:$I$89,3,0)*VLOOKUP('Données projet'!$B$16,Paramètres!$A$1:$I$89,5,0)</f>
        <v>222.04</v>
      </c>
      <c r="FG67" s="14">
        <f t="shared" si="47"/>
        <v>54.558031180803546</v>
      </c>
      <c r="FH67" s="22">
        <f t="shared" si="22"/>
        <v>481.74157097323285</v>
      </c>
      <c r="FI67" s="62">
        <f t="shared" si="23"/>
        <v>745.16592313278761</v>
      </c>
      <c r="FJ67" s="62">
        <f ca="1">AVERAGE(OFFSET($FI$3,0,0,'Données projet'!$E$16+1,1))-AVERAGE(OFFSET($H$3,0,0,'Données projet'!$E$16+1,1))</f>
        <v>309.21625451786218</v>
      </c>
      <c r="FK67" s="62">
        <f t="shared" si="48"/>
        <v>302.59481222418219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306</v>
      </c>
      <c r="L68" s="13">
        <f>VLOOKUP(A68,'Données projet'!$A$35:$I$55,9,0)</f>
        <v>5.2</v>
      </c>
      <c r="M68" s="13">
        <f t="array" ref="M68">INDEX(L:L,MIN(IF(ISNUMBER(L68:L264),ROW(L68:L264),"")))</f>
        <v>5.2</v>
      </c>
      <c r="N68" s="14">
        <f>IF('Données projet'!$A$36&gt;35,N67+M68-V67,IF(A68&lt;'Données projet'!$A$36,$K$205^A68,IF(A68='Données projet'!$A$36,'Données projet'!$B$36,N67+M68-V67)))</f>
        <v>305.99999999999989</v>
      </c>
      <c r="O68" s="14">
        <f>N68*VLOOKUP('Données projet'!$B$9,Paramètres!$A$1:$I$89,3,0)*VLOOKUP('Données projet'!$B$9,Paramètres!$A$1:$I$89,5,0)</f>
        <v>243.45359999999991</v>
      </c>
      <c r="P68" s="14">
        <f t="shared" si="33"/>
        <v>59.181970343065267</v>
      </c>
      <c r="Q68" s="22">
        <f t="shared" si="54"/>
        <v>527.09028501417185</v>
      </c>
      <c r="R68" s="62">
        <f t="shared" si="55"/>
        <v>791.033491130627</v>
      </c>
      <c r="S68" s="62">
        <f ca="1">AVERAGE(OFFSET($R$3,0,0,'Données projet'!$E$9+1,1))-AVERAGE(OFFSET($H$3,0,0,'Données projet'!$E$9+1,1))</f>
        <v>394.70330963327166</v>
      </c>
      <c r="T68" s="62">
        <f t="shared" si="34"/>
        <v>424.06445894109982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8.6666666666666661</v>
      </c>
      <c r="AI68" s="14">
        <f>IF('Données projet'!$A$62&gt;35,AI67+AH68-AQ67,IF(A68&lt;'Données projet'!$A$62,$AF$205^A68,IF(A68='Données projet'!$A$62,'Données projet'!$B$62,AI67+AH68-AQ67)))</f>
        <v>293.33333333333331</v>
      </c>
      <c r="AJ68" s="14">
        <f>AI68*VLOOKUP('Données projet'!$B$10,Paramètres!$A$1:$I$89,3,0)*VLOOKUP('Données projet'!$B$10,Paramètres!$A$1:$I$89,5,0)</f>
        <v>237.952</v>
      </c>
      <c r="AK68" s="14">
        <f t="shared" si="35"/>
        <v>57.99867376947342</v>
      </c>
      <c r="AL68" s="22">
        <f t="shared" ref="AL68:AL131" si="58">(AJ68+AK68)*0.475*44/12</f>
        <v>515.44742348183297</v>
      </c>
      <c r="AM68" s="62">
        <f t="shared" ref="AM68:AM131" si="59">AL68+(AD68+AE68)*44/12</f>
        <v>779.39062959828811</v>
      </c>
      <c r="AN68" s="62">
        <f ca="1">AVERAGE(OFFSET($AM$3,0,0,'Données projet'!$E$10+1,1))-AVERAGE(OFFSET($H$3,0,0,'Données projet'!$E$10+1,1))</f>
        <v>319.39055628111151</v>
      </c>
      <c r="AO68" s="62">
        <f t="shared" si="36"/>
        <v>312.22190035638084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202</v>
      </c>
      <c r="BB68" s="13">
        <f>VLOOKUP(A68,'Données projet'!$A$87:$I$107,9,0)</f>
        <v>3.2</v>
      </c>
      <c r="BC68" s="13">
        <f t="array" ref="BC68">INDEX(BB:BB,MIN(IF(ISNUMBER(BB68:BB264),ROW(BB68:BB264),"")))</f>
        <v>3.2</v>
      </c>
      <c r="BD68" s="13">
        <f>IF('Données projet'!$A$88&gt;35,BD67+BC68-BL67,IF(A68&lt;'Données projet'!$A$88,$BA$205^A68,IF(A68='Données projet'!$A$88,'Données projet'!$B$88,BD67+BC68-BL67)))</f>
        <v>201.99999999999989</v>
      </c>
      <c r="BE68" s="14">
        <f>BD68*VLOOKUP('Données projet'!$B$11,Paramètres!$A$1:$I$89,3,0)*VLOOKUP('Données projet'!$B$11,Paramètres!$A$1:$I$89,5,0)</f>
        <v>148.10639999999992</v>
      </c>
      <c r="BF68" s="14">
        <f t="shared" si="37"/>
        <v>38.147940561860423</v>
      </c>
      <c r="BG68" s="22">
        <f t="shared" ref="BG68:BG131" si="61">(BE68+BF68)*0.475*44/12</f>
        <v>324.39297647857342</v>
      </c>
      <c r="BH68" s="62">
        <f t="shared" ref="BH68:BH131" si="62">BG68+(AY68+AZ68)*44/12</f>
        <v>588.33618259502862</v>
      </c>
      <c r="BI68" s="62">
        <f ca="1">AVERAGE(OFFSET($BH$3,0,0,'Données projet'!$E$11+1,1))-AVERAGE(OFFSET($H$3,0,0,'Données projet'!$E$11+1,1))</f>
        <v>257.906524944431</v>
      </c>
      <c r="BJ68" s="62">
        <f t="shared" si="38"/>
        <v>274.70390601173563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-1.1368683772161603E-13</v>
      </c>
      <c r="BZ68" s="14">
        <f>BY68*VLOOKUP('Données projet'!$B$12,Paramètres!$A$1:$I$89,3,0)*VLOOKUP('Données projet'!$B$12,Paramètres!$A$1:$I$89,5,0)</f>
        <v>-9.2222762759774927E-14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272.69564942740931</v>
      </c>
      <c r="CE68" s="62">
        <f t="shared" si="40"/>
        <v>316.57989180609252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246.15384615384613</v>
      </c>
      <c r="CR68" s="13">
        <f>VLOOKUP(A68,'Données projet'!$A$139:$I$159,9,0)</f>
        <v>5.5128205128205083</v>
      </c>
      <c r="CS68" s="13">
        <f t="array" ref="CS68">INDEX(CR:CR,MIN(IF(ISNUMBER(CR68:CR264),ROW(CR68:CR264),"")))</f>
        <v>5.5128205128205083</v>
      </c>
      <c r="CT68" s="13">
        <f>IF('Données projet'!$A$140&gt;35,CT67+CS68-DB67,IF(A68&lt;'Données projet'!$A$140,$CQ$205^A68,IF(A68='Données projet'!$A$140,'Données projet'!$B$140,CT67+CS68-DB67)))</f>
        <v>246.15384615384608</v>
      </c>
      <c r="CU68" s="18">
        <f>CT68*VLOOKUP('Données projet'!$B$13,Paramètres!$A$1:$I$89,3,0)*VLOOKUP('Données projet'!$B$13,Paramètres!$A$1:$I$89,5,0)</f>
        <v>234.23999999999992</v>
      </c>
      <c r="CV68" s="14">
        <f t="shared" si="41"/>
        <v>57.19849172024869</v>
      </c>
      <c r="CW68" s="22">
        <f t="shared" ref="CW68:CW131" si="67">(CU68+CV68)*0.475*44/12</f>
        <v>507.58870641276627</v>
      </c>
      <c r="CX68" s="62">
        <f t="shared" ref="CX68:CX131" si="68">CW68+(CO68+CP68)*44/12</f>
        <v>771.53191252922147</v>
      </c>
      <c r="CY68" s="62">
        <f ca="1">AVERAGE(OFFSET($CX$3,0,0,'Données projet'!$E$13+1,1))-AVERAGE(OFFSET($H$3,0,0,'Données projet'!$E$13+1,1))</f>
        <v>491.87038198656927</v>
      </c>
      <c r="CZ68" s="62">
        <f t="shared" si="42"/>
        <v>406.49261644949559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317</v>
      </c>
      <c r="DM68" s="13">
        <f>VLOOKUP(A68,'Données projet'!$A$165:$I$185,9,0)</f>
        <v>8.8000000000000007</v>
      </c>
      <c r="DN68" s="13">
        <f t="array" ref="DN68">INDEX(DM:DM,MIN(IF(ISNUMBER(DM68:DM264),ROW(DM68:DM264),"")))</f>
        <v>8.8000000000000007</v>
      </c>
      <c r="DO68" s="13">
        <f>IF('Données projet'!$A$166&gt;35,DO67+DN68-DW67,IF(A68&lt;'Données projet'!$A$166,$DL$205^A68,IF(A68='Données projet'!$A$166,'Données projet'!$B$166,DO67+DN68-DW67)))</f>
        <v>317</v>
      </c>
      <c r="DP68" s="18">
        <f>DO68*VLOOKUP('Données projet'!$B$14,Paramètres!$A$1:$I$89,3,0)*VLOOKUP('Données projet'!$B$14,Paramètres!$A$1:$I$89,5,0)</f>
        <v>306.60239999999999</v>
      </c>
      <c r="DQ68" s="14">
        <f t="shared" si="43"/>
        <v>72.558821602115088</v>
      </c>
      <c r="DR68" s="22">
        <f t="shared" ref="DR68:DR131" si="70">(DP68+DQ68)*0.475*44/12</f>
        <v>660.3724609570171</v>
      </c>
      <c r="DS68" s="62">
        <f t="shared" ref="DS68:DS131" si="71">DR68+(DJ68+DK68)*44/12</f>
        <v>924.31566707347224</v>
      </c>
      <c r="DT68" s="62">
        <f ca="1">AVERAGE(OFFSET($DS$3,0,0,'Données projet'!$E$14+1,1))-AVERAGE(OFFSET($H$3,0,0,'Données projet'!$E$14+1,1))</f>
        <v>603.52431522262032</v>
      </c>
      <c r="DU68" s="62">
        <f t="shared" si="44"/>
        <v>313.56299786481338</v>
      </c>
      <c r="DV68" s="16">
        <f>IF(ISNA(VLOOKUP(A68,'Données projet'!$A$165:$I$185,3,0)),0,VLOOKUP(A68,'Données projet'!$A$165:$I$185,3,0))</f>
        <v>5</v>
      </c>
      <c r="DW68" s="16">
        <f>IF(ISNA(VLOOKUP(A68,'Données projet'!$A$165:$I$185,4,0)),0,VLOOKUP(A68,'Données projet'!$A$165:$I$185,4,0))</f>
        <v>56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356</v>
      </c>
      <c r="EH68" s="13">
        <f>VLOOKUP(A68,'Données projet'!$A$191:$I$211,9,0)</f>
        <v>6.2</v>
      </c>
      <c r="EI68" s="13">
        <f t="array" ref="EI68">INDEX(EH:EH,MIN(IF(ISNUMBER(EH68:EH264),ROW(EH68:EH264),"")))</f>
        <v>6.2</v>
      </c>
      <c r="EJ68" s="13">
        <f>IF('Données projet'!$A$192&gt;35,EJ67+EI68-ER67,IF(A68&lt;'Données projet'!$A$192,$EG$205^A68,IF(A68='Données projet'!$A$192,'Données projet'!$B$192,EJ67+EI68-ER67)))</f>
        <v>355.99999999999972</v>
      </c>
      <c r="EK68" s="18">
        <f>EJ68*VLOOKUP('Données projet'!$B$15,Paramètres!$A$1:$I$89,3,0)*VLOOKUP('Données projet'!$B$15,Paramètres!$A$1:$I$89,5,0)</f>
        <v>283.2335999999998</v>
      </c>
      <c r="EL68" s="14">
        <f t="shared" si="45"/>
        <v>67.649904178362377</v>
      </c>
      <c r="EM68" s="22">
        <f t="shared" ref="EM68:EM131" si="73">(EK68+EL68)*0.475*44/12</f>
        <v>611.12210311064734</v>
      </c>
      <c r="EN68" s="62">
        <f t="shared" ref="EN68:EN131" si="74">EM68+(EE68+EF68)*44/12</f>
        <v>875.06530922710249</v>
      </c>
      <c r="EO68" s="62">
        <f ca="1">AVERAGE(OFFSET($EN$3,0,0,'Données projet'!$E$15+1,1))-AVERAGE(OFFSET($H$3,0,0,'Données projet'!$E$15+1,1))</f>
        <v>450.93388191845378</v>
      </c>
      <c r="EP68" s="62">
        <f t="shared" si="46"/>
        <v>483.33635017129325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8.6666666666666661</v>
      </c>
      <c r="FE68" s="13">
        <f>IF('Données projet'!$A$218&gt;35,FE67+FD68-FM67,IF(A68&lt;'Données projet'!$A$218,$FB$205^A68,IF(A68='Données projet'!$A$218,'Données projet'!$B$218,FE67+FD68-FM67)))</f>
        <v>293.33333333333331</v>
      </c>
      <c r="FF68" s="18">
        <f>FE68*VLOOKUP('Données projet'!$B$16,Paramètres!$A$1:$I$89,3,0)*VLOOKUP('Données projet'!$B$16,Paramètres!$A$1:$I$89,5,0)</f>
        <v>228.79999999999998</v>
      </c>
      <c r="FG68" s="14">
        <f t="shared" si="47"/>
        <v>56.023134533701196</v>
      </c>
      <c r="FH68" s="22">
        <f t="shared" ref="FH68:FH131" si="76">(FF68+FG68)*0.475*44/12</f>
        <v>496.06695931286293</v>
      </c>
      <c r="FI68" s="62">
        <f t="shared" ref="FI68:FI131" si="77">FH68+(EZ68+FA68)*44/12</f>
        <v>760.01016542931814</v>
      </c>
      <c r="FJ68" s="62">
        <f ca="1">AVERAGE(OFFSET($FI$3,0,0,'Données projet'!$E$16+1,1))-AVERAGE(OFFSET($H$3,0,0,'Données projet'!$E$16+1,1))</f>
        <v>309.21625451786218</v>
      </c>
      <c r="FK68" s="62">
        <f t="shared" si="48"/>
        <v>302.59481222418219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4.4000000000000004</v>
      </c>
      <c r="N69" s="14">
        <f>IF('Données projet'!$A$36&gt;35,N68+M69-V68,IF(A69&lt;'Données projet'!$A$36,$K$205^A69,IF(A69='Données projet'!$A$36,'Données projet'!$B$36,N68+M69-V68)))</f>
        <v>310.39999999999986</v>
      </c>
      <c r="O69" s="14">
        <f>N69*VLOOKUP('Données projet'!$B$9,Paramètres!$A$1:$I$89,3,0)*VLOOKUP('Données projet'!$B$9,Paramètres!$A$1:$I$89,5,0)</f>
        <v>246.95423999999991</v>
      </c>
      <c r="P69" s="14">
        <f t="shared" ref="P69:P132" si="87">EXP(-1.0587+0.8836*LN(O69)+0.284)</f>
        <v>59.933272631878893</v>
      </c>
      <c r="Q69" s="22">
        <f t="shared" si="54"/>
        <v>534.49575116718881</v>
      </c>
      <c r="R69" s="62">
        <f t="shared" si="55"/>
        <v>798.9488102843759</v>
      </c>
      <c r="S69" s="62">
        <f ca="1">AVERAGE(OFFSET($R$3,0,0,'Données projet'!$E$9+1,1))-AVERAGE(OFFSET($H$3,0,0,'Données projet'!$E$9+1,1))</f>
        <v>394.70330963327166</v>
      </c>
      <c r="T69" s="62">
        <f t="shared" ref="T69:T132" si="88">$T$3</f>
        <v>424.06445894109982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8.6666666666666661</v>
      </c>
      <c r="AI69" s="14">
        <f>IF('Données projet'!$A$62&gt;35,AI68+AH69-AQ68,IF(A69&lt;'Données projet'!$A$62,$AF$205^A69,IF(A69='Données projet'!$A$62,'Données projet'!$B$62,AI68+AH69-AQ68)))</f>
        <v>302</v>
      </c>
      <c r="AJ69" s="14">
        <f>AI69*VLOOKUP('Données projet'!$B$10,Paramètres!$A$1:$I$89,3,0)*VLOOKUP('Données projet'!$B$10,Paramètres!$A$1:$I$89,5,0)</f>
        <v>244.98239999999998</v>
      </c>
      <c r="AK69" s="14">
        <f t="shared" ref="AK69:AK132" si="89">EXP(-1.0587+0.8836*LN(AJ69)+0.284)</f>
        <v>59.510232801299644</v>
      </c>
      <c r="AL69" s="22">
        <f t="shared" si="58"/>
        <v>530.32466879559684</v>
      </c>
      <c r="AM69" s="62">
        <f t="shared" si="59"/>
        <v>794.77772791278392</v>
      </c>
      <c r="AN69" s="62">
        <f ca="1">AVERAGE(OFFSET($AM$3,0,0,'Données projet'!$E$10+1,1))-AVERAGE(OFFSET($H$3,0,0,'Données projet'!$E$10+1,1))</f>
        <v>319.39055628111151</v>
      </c>
      <c r="AO69" s="62">
        <f t="shared" ref="AO69:AO132" si="90">$AO$3</f>
        <v>312.22190035638084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3</v>
      </c>
      <c r="BD69" s="13">
        <f>IF('Données projet'!$A$88&gt;35,BD68+BC69-BL68,IF(A69&lt;'Données projet'!$A$88,$BA$205^A69,IF(A69='Données projet'!$A$88,'Données projet'!$B$88,BD68+BC69-BL68)))</f>
        <v>204.99999999999989</v>
      </c>
      <c r="BE69" s="14">
        <f>BD69*VLOOKUP('Données projet'!$B$11,Paramètres!$A$1:$I$89,3,0)*VLOOKUP('Données projet'!$B$11,Paramètres!$A$1:$I$89,5,0)</f>
        <v>150.3059999999999</v>
      </c>
      <c r="BF69" s="14">
        <f t="shared" ref="BF69:BF132" si="91">EXP(-1.0587+0.8836*LN(BE69)+0.284)</f>
        <v>38.648116968856641</v>
      </c>
      <c r="BG69" s="22">
        <f t="shared" si="61"/>
        <v>329.09508705409178</v>
      </c>
      <c r="BH69" s="62">
        <f t="shared" si="62"/>
        <v>593.54814617127886</v>
      </c>
      <c r="BI69" s="62">
        <f ca="1">AVERAGE(OFFSET($BH$3,0,0,'Données projet'!$E$11+1,1))-AVERAGE(OFFSET($H$3,0,0,'Données projet'!$E$11+1,1))</f>
        <v>257.906524944431</v>
      </c>
      <c r="BJ69" s="62">
        <f t="shared" ref="BJ69:BJ132" si="92">$BJ$3</f>
        <v>274.70390601173563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-1.1368683772161603E-13</v>
      </c>
      <c r="BZ69" s="14">
        <f>BY69*VLOOKUP('Données projet'!$B$12,Paramètres!$A$1:$I$89,3,0)*VLOOKUP('Données projet'!$B$12,Paramètres!$A$1:$I$89,5,0)</f>
        <v>-9.2222762759774927E-14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272.69564942740931</v>
      </c>
      <c r="CE69" s="62">
        <f t="shared" ref="CE69:CE132" si="94">$CE$3</f>
        <v>316.57989180609252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5.3846153846153921</v>
      </c>
      <c r="CT69" s="13">
        <f>IF('Données projet'!$A$140&gt;35,CT68+CS69-DB68,IF(A69&lt;'Données projet'!$A$140,$CQ$205^A69,IF(A69='Données projet'!$A$140,'Données projet'!$B$140,CT68+CS69-DB68)))</f>
        <v>251.53846153846146</v>
      </c>
      <c r="CU69" s="18">
        <f>CT69*VLOOKUP('Données projet'!$B$13,Paramètres!$A$1:$I$89,3,0)*VLOOKUP('Données projet'!$B$13,Paramètres!$A$1:$I$89,5,0)</f>
        <v>239.36399999999995</v>
      </c>
      <c r="CV69" s="14">
        <f t="shared" ref="CV69:CV132" si="95">EXP(-1.0587+0.8836*LN(CU69)+0.284)</f>
        <v>58.302670858566024</v>
      </c>
      <c r="CW69" s="22">
        <f t="shared" si="67"/>
        <v>518.43611841200243</v>
      </c>
      <c r="CX69" s="62">
        <f t="shared" si="68"/>
        <v>782.88917752918951</v>
      </c>
      <c r="CY69" s="62">
        <f ca="1">AVERAGE(OFFSET($CX$3,0,0,'Données projet'!$E$13+1,1))-AVERAGE(OFFSET($H$3,0,0,'Données projet'!$E$13+1,1))</f>
        <v>491.87038198656927</v>
      </c>
      <c r="CZ69" s="62">
        <f t="shared" ref="CZ69:CZ132" si="96">$CZ$3</f>
        <v>406.49261644949559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8.1999999999999993</v>
      </c>
      <c r="DO69" s="13">
        <f>IF('Données projet'!$A$166&gt;35,DO68+DN69-DW68,IF(A69&lt;'Données projet'!$A$166,$DL$205^A69,IF(A69='Données projet'!$A$166,'Données projet'!$B$166,DO68+DN69-DW68)))</f>
        <v>269.2</v>
      </c>
      <c r="DP69" s="18">
        <f>DO69*VLOOKUP('Données projet'!$B$14,Paramètres!$A$1:$I$89,3,0)*VLOOKUP('Données projet'!$B$14,Paramètres!$A$1:$I$89,5,0)</f>
        <v>260.37024000000002</v>
      </c>
      <c r="DQ69" s="14">
        <f t="shared" ref="DQ69:DQ132" si="97">EXP(-1.0587+0.8836*LN(DP69)+0.284)</f>
        <v>62.801291625234725</v>
      </c>
      <c r="DR69" s="22">
        <f t="shared" si="70"/>
        <v>562.85708424728386</v>
      </c>
      <c r="DS69" s="62">
        <f t="shared" si="71"/>
        <v>827.31014336447095</v>
      </c>
      <c r="DT69" s="62">
        <f ca="1">AVERAGE(OFFSET($DS$3,0,0,'Données projet'!$E$14+1,1))-AVERAGE(OFFSET($H$3,0,0,'Données projet'!$E$14+1,1))</f>
        <v>603.52431522262032</v>
      </c>
      <c r="DU69" s="62">
        <f t="shared" ref="DU69:DU132" si="98">$DU$3</f>
        <v>313.56299786481338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5.2</v>
      </c>
      <c r="EJ69" s="13">
        <f>IF('Données projet'!$A$192&gt;35,EJ68+EI69-ER68,IF(A69&lt;'Données projet'!$A$192,$EG$205^A69,IF(A69='Données projet'!$A$192,'Données projet'!$B$192,EJ68+EI69-ER68)))</f>
        <v>361.1999999999997</v>
      </c>
      <c r="EK69" s="18">
        <f>EJ69*VLOOKUP('Données projet'!$B$15,Paramètres!$A$1:$I$89,3,0)*VLOOKUP('Données projet'!$B$15,Paramètres!$A$1:$I$89,5,0)</f>
        <v>287.37071999999978</v>
      </c>
      <c r="EL69" s="14">
        <f t="shared" ref="EL69:EL132" si="99">EXP(-1.0587+0.8836*LN(EK69)+0.284)</f>
        <v>68.522290556506064</v>
      </c>
      <c r="EM69" s="22">
        <f t="shared" si="73"/>
        <v>619.84699338591429</v>
      </c>
      <c r="EN69" s="62">
        <f t="shared" si="74"/>
        <v>884.30005250310137</v>
      </c>
      <c r="EO69" s="62">
        <f ca="1">AVERAGE(OFFSET($EN$3,0,0,'Données projet'!$E$15+1,1))-AVERAGE(OFFSET($H$3,0,0,'Données projet'!$E$15+1,1))</f>
        <v>450.93388191845378</v>
      </c>
      <c r="EP69" s="62">
        <f t="shared" ref="EP69:EP132" si="100">$EP$3</f>
        <v>483.33635017129325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8.6666666666666661</v>
      </c>
      <c r="FE69" s="13">
        <f>IF('Données projet'!$A$218&gt;35,FE68+FD69-FM68,IF(A69&lt;'Données projet'!$A$218,$FB$205^A69,IF(A69='Données projet'!$A$218,'Données projet'!$B$218,FE68+FD69-FM68)))</f>
        <v>302</v>
      </c>
      <c r="FF69" s="18">
        <f>FE69*VLOOKUP('Données projet'!$B$16,Paramètres!$A$1:$I$89,3,0)*VLOOKUP('Données projet'!$B$16,Paramètres!$A$1:$I$89,5,0)</f>
        <v>235.56</v>
      </c>
      <c r="FG69" s="14">
        <f t="shared" ref="FG69:FG132" si="101">EXP(-1.0587+0.8836*LN(FF69)+0.284)</f>
        <v>57.483207143847721</v>
      </c>
      <c r="FH69" s="22">
        <f t="shared" si="76"/>
        <v>510.38358577553481</v>
      </c>
      <c r="FI69" s="62">
        <f t="shared" si="77"/>
        <v>774.83664489272189</v>
      </c>
      <c r="FJ69" s="62">
        <f ca="1">AVERAGE(OFFSET($FI$3,0,0,'Données projet'!$E$16+1,1))-AVERAGE(OFFSET($H$3,0,0,'Données projet'!$E$16+1,1))</f>
        <v>309.21625451786218</v>
      </c>
      <c r="FK69" s="62">
        <f t="shared" ref="FK69:FK132" si="102">$FK$3</f>
        <v>302.59481222418219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4.4000000000000004</v>
      </c>
      <c r="N70" s="14">
        <f>IF('Données projet'!$A$36&gt;35,N69+M70-V69,IF(A70&lt;'Données projet'!$A$36,$K$205^A70,IF(A70='Données projet'!$A$36,'Données projet'!$B$36,N69+M70-V69)))</f>
        <v>314.79999999999984</v>
      </c>
      <c r="O70" s="14">
        <f>N70*VLOOKUP('Données projet'!$B$9,Paramètres!$A$1:$I$89,3,0)*VLOOKUP('Données projet'!$B$9,Paramètres!$A$1:$I$89,5,0)</f>
        <v>250.45487999999989</v>
      </c>
      <c r="P70" s="14">
        <f t="shared" si="87"/>
        <v>60.683336250201052</v>
      </c>
      <c r="Q70" s="22">
        <f t="shared" si="54"/>
        <v>541.89905996909988</v>
      </c>
      <c r="R70" s="62">
        <f t="shared" si="55"/>
        <v>806.85312727731684</v>
      </c>
      <c r="S70" s="62">
        <f ca="1">AVERAGE(OFFSET($R$3,0,0,'Données projet'!$E$9+1,1))-AVERAGE(OFFSET($H$3,0,0,'Données projet'!$E$9+1,1))</f>
        <v>394.70330963327166</v>
      </c>
      <c r="T70" s="62">
        <f t="shared" si="88"/>
        <v>424.06445894109982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8.6666666666666661</v>
      </c>
      <c r="AI70" s="14">
        <f>IF('Données projet'!$A$62&gt;35,AI69+AH70-AQ69,IF(A70&lt;'Données projet'!$A$62,$AF$205^A70,IF(A70='Données projet'!$A$62,'Données projet'!$B$62,AI69+AH70-AQ69)))</f>
        <v>310.66666666666669</v>
      </c>
      <c r="AJ70" s="14">
        <f>AI70*VLOOKUP('Données projet'!$B$10,Paramètres!$A$1:$I$89,3,0)*VLOOKUP('Données projet'!$B$10,Paramètres!$A$1:$I$89,5,0)</f>
        <v>252.01280000000003</v>
      </c>
      <c r="AK70" s="14">
        <f t="shared" si="89"/>
        <v>61.016750317950084</v>
      </c>
      <c r="AL70" s="22">
        <f t="shared" si="58"/>
        <v>545.19313347042976</v>
      </c>
      <c r="AM70" s="62">
        <f t="shared" si="59"/>
        <v>810.14720077864672</v>
      </c>
      <c r="AN70" s="62">
        <f ca="1">AVERAGE(OFFSET($AM$3,0,0,'Données projet'!$E$10+1,1))-AVERAGE(OFFSET($H$3,0,0,'Données projet'!$E$10+1,1))</f>
        <v>319.39055628111151</v>
      </c>
      <c r="AO70" s="62">
        <f t="shared" si="90"/>
        <v>312.22190035638084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3</v>
      </c>
      <c r="BD70" s="13">
        <f>IF('Données projet'!$A$88&gt;35,BD69+BC70-BL69,IF(A70&lt;'Données projet'!$A$88,$BA$205^A70,IF(A70='Données projet'!$A$88,'Données projet'!$B$88,BD69+BC70-BL69)))</f>
        <v>207.99999999999989</v>
      </c>
      <c r="BE70" s="14">
        <f>BD70*VLOOKUP('Données projet'!$B$11,Paramètres!$A$1:$I$89,3,0)*VLOOKUP('Données projet'!$B$11,Paramètres!$A$1:$I$89,5,0)</f>
        <v>152.5055999999999</v>
      </c>
      <c r="BF70" s="14">
        <f t="shared" si="91"/>
        <v>39.147442061162181</v>
      </c>
      <c r="BG70" s="22">
        <f t="shared" si="61"/>
        <v>333.79571492319059</v>
      </c>
      <c r="BH70" s="62">
        <f t="shared" si="62"/>
        <v>598.74978223140749</v>
      </c>
      <c r="BI70" s="62">
        <f ca="1">AVERAGE(OFFSET($BH$3,0,0,'Données projet'!$E$11+1,1))-AVERAGE(OFFSET($H$3,0,0,'Données projet'!$E$11+1,1))</f>
        <v>257.906524944431</v>
      </c>
      <c r="BJ70" s="62">
        <f t="shared" si="92"/>
        <v>274.70390601173563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-1.1368683772161603E-13</v>
      </c>
      <c r="BZ70" s="14">
        <f>BY70*VLOOKUP('Données projet'!$B$12,Paramètres!$A$1:$I$89,3,0)*VLOOKUP('Données projet'!$B$12,Paramètres!$A$1:$I$89,5,0)</f>
        <v>-9.2222762759774927E-14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272.69564942740931</v>
      </c>
      <c r="CE70" s="62">
        <f t="shared" si="94"/>
        <v>316.57989180609252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5.3846153846153921</v>
      </c>
      <c r="CT70" s="13">
        <f>IF('Données projet'!$A$140&gt;35,CT69+CS70-DB69,IF(A70&lt;'Données projet'!$A$140,$CQ$205^A70,IF(A70='Données projet'!$A$140,'Données projet'!$B$140,CT69+CS70-DB69)))</f>
        <v>256.92307692307685</v>
      </c>
      <c r="CU70" s="18">
        <f>CT70*VLOOKUP('Données projet'!$B$13,Paramètres!$A$1:$I$89,3,0)*VLOOKUP('Données projet'!$B$13,Paramètres!$A$1:$I$89,5,0)</f>
        <v>244.48799999999991</v>
      </c>
      <c r="CV70" s="14">
        <f t="shared" si="95"/>
        <v>59.404101869221606</v>
      </c>
      <c r="CW70" s="22">
        <f t="shared" si="67"/>
        <v>529.27874408889409</v>
      </c>
      <c r="CX70" s="62">
        <f t="shared" si="68"/>
        <v>794.23281139711094</v>
      </c>
      <c r="CY70" s="62">
        <f ca="1">AVERAGE(OFFSET($CX$3,0,0,'Données projet'!$E$13+1,1))-AVERAGE(OFFSET($H$3,0,0,'Données projet'!$E$13+1,1))</f>
        <v>491.87038198656927</v>
      </c>
      <c r="CZ70" s="62">
        <f t="shared" si="96"/>
        <v>406.49261644949559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8.1999999999999993</v>
      </c>
      <c r="DO70" s="13">
        <f>IF('Données projet'!$A$166&gt;35,DO69+DN70-DW69,IF(A70&lt;'Données projet'!$A$166,$DL$205^A70,IF(A70='Données projet'!$A$166,'Données projet'!$B$166,DO69+DN70-DW69)))</f>
        <v>277.39999999999998</v>
      </c>
      <c r="DP70" s="18">
        <f>DO70*VLOOKUP('Données projet'!$B$14,Paramètres!$A$1:$I$89,3,0)*VLOOKUP('Données projet'!$B$14,Paramètres!$A$1:$I$89,5,0)</f>
        <v>268.30127999999996</v>
      </c>
      <c r="DQ70" s="14">
        <f t="shared" si="97"/>
        <v>64.488625713042012</v>
      </c>
      <c r="DR70" s="22">
        <f t="shared" si="70"/>
        <v>579.60908578354815</v>
      </c>
      <c r="DS70" s="62">
        <f t="shared" si="71"/>
        <v>844.56315309176512</v>
      </c>
      <c r="DT70" s="62">
        <f ca="1">AVERAGE(OFFSET($DS$3,0,0,'Données projet'!$E$14+1,1))-AVERAGE(OFFSET($H$3,0,0,'Données projet'!$E$14+1,1))</f>
        <v>603.52431522262032</v>
      </c>
      <c r="DU70" s="62">
        <f t="shared" si="98"/>
        <v>313.56299786481338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5.2</v>
      </c>
      <c r="EJ70" s="13">
        <f>IF('Données projet'!$A$192&gt;35,EJ69+EI70-ER69,IF(A70&lt;'Données projet'!$A$192,$EG$205^A70,IF(A70='Données projet'!$A$192,'Données projet'!$B$192,EJ69+EI70-ER69)))</f>
        <v>366.39999999999969</v>
      </c>
      <c r="EK70" s="18">
        <f>EJ70*VLOOKUP('Données projet'!$B$15,Paramètres!$A$1:$I$89,3,0)*VLOOKUP('Données projet'!$B$15,Paramètres!$A$1:$I$89,5,0)</f>
        <v>291.50783999999976</v>
      </c>
      <c r="EL70" s="14">
        <f t="shared" si="99"/>
        <v>69.393216206200947</v>
      </c>
      <c r="EM70" s="22">
        <f t="shared" si="73"/>
        <v>628.5693395591328</v>
      </c>
      <c r="EN70" s="62">
        <f t="shared" si="74"/>
        <v>893.52340686734965</v>
      </c>
      <c r="EO70" s="62">
        <f ca="1">AVERAGE(OFFSET($EN$3,0,0,'Données projet'!$E$15+1,1))-AVERAGE(OFFSET($H$3,0,0,'Données projet'!$E$15+1,1))</f>
        <v>450.93388191845378</v>
      </c>
      <c r="EP70" s="62">
        <f t="shared" si="100"/>
        <v>483.33635017129325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8.6666666666666661</v>
      </c>
      <c r="FE70" s="13">
        <f>IF('Données projet'!$A$218&gt;35,FE69+FD70-FM69,IF(A70&lt;'Données projet'!$A$218,$FB$205^A70,IF(A70='Données projet'!$A$218,'Données projet'!$B$218,FE69+FD70-FM69)))</f>
        <v>310.66666666666669</v>
      </c>
      <c r="FF70" s="18">
        <f>FE70*VLOOKUP('Données projet'!$B$16,Paramètres!$A$1:$I$89,3,0)*VLOOKUP('Données projet'!$B$16,Paramètres!$A$1:$I$89,5,0)</f>
        <v>242.32000000000002</v>
      </c>
      <c r="FG70" s="14">
        <f t="shared" si="101"/>
        <v>58.938409961900859</v>
      </c>
      <c r="FH70" s="22">
        <f t="shared" si="76"/>
        <v>524.69173068364398</v>
      </c>
      <c r="FI70" s="62">
        <f t="shared" si="77"/>
        <v>789.64579799186095</v>
      </c>
      <c r="FJ70" s="62">
        <f ca="1">AVERAGE(OFFSET($FI$3,0,0,'Données projet'!$E$16+1,1))-AVERAGE(OFFSET($H$3,0,0,'Données projet'!$E$16+1,1))</f>
        <v>309.21625451786218</v>
      </c>
      <c r="FK70" s="62">
        <f t="shared" si="102"/>
        <v>302.59481222418219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4.4000000000000004</v>
      </c>
      <c r="N71" s="14">
        <f>IF('Données projet'!$A$36&gt;35,N70+M71-V70,IF(A71&lt;'Données projet'!$A$36,$K$205^A71,IF(A71='Données projet'!$A$36,'Données projet'!$B$36,N70+M71-V70)))</f>
        <v>319.19999999999982</v>
      </c>
      <c r="O71" s="14">
        <f>N71*VLOOKUP('Données projet'!$B$9,Paramètres!$A$1:$I$89,3,0)*VLOOKUP('Données projet'!$B$9,Paramètres!$A$1:$I$89,5,0)</f>
        <v>253.95551999999986</v>
      </c>
      <c r="P71" s="14">
        <f t="shared" si="87"/>
        <v>61.432180511879253</v>
      </c>
      <c r="Q71" s="22">
        <f t="shared" si="54"/>
        <v>549.30024505818949</v>
      </c>
      <c r="R71" s="62">
        <f t="shared" si="55"/>
        <v>814.74662918540832</v>
      </c>
      <c r="S71" s="62">
        <f ca="1">AVERAGE(OFFSET($R$3,0,0,'Données projet'!$E$9+1,1))-AVERAGE(OFFSET($H$3,0,0,'Données projet'!$E$9+1,1))</f>
        <v>394.70330963327166</v>
      </c>
      <c r="T71" s="62">
        <f t="shared" si="88"/>
        <v>424.06445894109982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8.6666666666666661</v>
      </c>
      <c r="AI71" s="14">
        <f>IF('Données projet'!$A$62&gt;35,AI70+AH71-AQ70,IF(A71&lt;'Données projet'!$A$62,$AF$205^A71,IF(A71='Données projet'!$A$62,'Données projet'!$B$62,AI70+AH71-AQ70)))</f>
        <v>319.33333333333337</v>
      </c>
      <c r="AJ71" s="14">
        <f>AI71*VLOOKUP('Données projet'!$B$10,Paramètres!$A$1:$I$89,3,0)*VLOOKUP('Données projet'!$B$10,Paramètres!$A$1:$I$89,5,0)</f>
        <v>259.04320000000007</v>
      </c>
      <c r="AK71" s="14">
        <f t="shared" si="89"/>
        <v>62.518383119960305</v>
      </c>
      <c r="AL71" s="22">
        <f t="shared" si="58"/>
        <v>560.05309060059756</v>
      </c>
      <c r="AM71" s="62">
        <f t="shared" si="59"/>
        <v>825.49947472781639</v>
      </c>
      <c r="AN71" s="62">
        <f ca="1">AVERAGE(OFFSET($AM$3,0,0,'Données projet'!$E$10+1,1))-AVERAGE(OFFSET($H$3,0,0,'Données projet'!$E$10+1,1))</f>
        <v>319.39055628111151</v>
      </c>
      <c r="AO71" s="62">
        <f t="shared" si="90"/>
        <v>312.22190035638084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3</v>
      </c>
      <c r="BD71" s="13">
        <f>IF('Données projet'!$A$88&gt;35,BD70+BC71-BL70,IF(A71&lt;'Données projet'!$A$88,$BA$205^A71,IF(A71='Données projet'!$A$88,'Données projet'!$B$88,BD70+BC71-BL70)))</f>
        <v>210.99999999999989</v>
      </c>
      <c r="BE71" s="14">
        <f>BD71*VLOOKUP('Données projet'!$B$11,Paramètres!$A$1:$I$89,3,0)*VLOOKUP('Données projet'!$B$11,Paramètres!$A$1:$I$89,5,0)</f>
        <v>154.70519999999991</v>
      </c>
      <c r="BF71" s="14">
        <f t="shared" si="91"/>
        <v>39.645929536036498</v>
      </c>
      <c r="BG71" s="22">
        <f t="shared" si="61"/>
        <v>338.49488394193003</v>
      </c>
      <c r="BH71" s="62">
        <f t="shared" si="62"/>
        <v>603.94126806914892</v>
      </c>
      <c r="BI71" s="62">
        <f ca="1">AVERAGE(OFFSET($BH$3,0,0,'Données projet'!$E$11+1,1))-AVERAGE(OFFSET($H$3,0,0,'Données projet'!$E$11+1,1))</f>
        <v>257.906524944431</v>
      </c>
      <c r="BJ71" s="62">
        <f t="shared" si="92"/>
        <v>274.70390601173563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-1.1368683772161603E-13</v>
      </c>
      <c r="BZ71" s="14">
        <f>BY71*VLOOKUP('Données projet'!$B$12,Paramètres!$A$1:$I$89,3,0)*VLOOKUP('Données projet'!$B$12,Paramètres!$A$1:$I$89,5,0)</f>
        <v>-9.2222762759774927E-14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272.69564942740931</v>
      </c>
      <c r="CE71" s="62">
        <f t="shared" si="94"/>
        <v>316.57989180609252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5.3846153846153921</v>
      </c>
      <c r="CT71" s="13">
        <f>IF('Données projet'!$A$140&gt;35,CT70+CS71-DB70,IF(A71&lt;'Données projet'!$A$140,$CQ$205^A71,IF(A71='Données projet'!$A$140,'Données projet'!$B$140,CT70+CS71-DB70)))</f>
        <v>262.30769230769226</v>
      </c>
      <c r="CU71" s="18">
        <f>CT71*VLOOKUP('Données projet'!$B$13,Paramètres!$A$1:$I$89,3,0)*VLOOKUP('Données projet'!$B$13,Paramètres!$A$1:$I$89,5,0)</f>
        <v>249.61199999999997</v>
      </c>
      <c r="CV71" s="14">
        <f t="shared" si="95"/>
        <v>60.502848982948457</v>
      </c>
      <c r="CW71" s="22">
        <f t="shared" si="67"/>
        <v>540.11669531196856</v>
      </c>
      <c r="CX71" s="62">
        <f t="shared" si="68"/>
        <v>805.56307943918739</v>
      </c>
      <c r="CY71" s="62">
        <f ca="1">AVERAGE(OFFSET($CX$3,0,0,'Données projet'!$E$13+1,1))-AVERAGE(OFFSET($H$3,0,0,'Données projet'!$E$13+1,1))</f>
        <v>491.87038198656927</v>
      </c>
      <c r="CZ71" s="62">
        <f t="shared" si="96"/>
        <v>406.49261644949559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8.1999999999999993</v>
      </c>
      <c r="DO71" s="13">
        <f>IF('Données projet'!$A$166&gt;35,DO70+DN71-DW70,IF(A71&lt;'Données projet'!$A$166,$DL$205^A71,IF(A71='Données projet'!$A$166,'Données projet'!$B$166,DO70+DN71-DW70)))</f>
        <v>285.59999999999997</v>
      </c>
      <c r="DP71" s="18">
        <f>DO71*VLOOKUP('Données projet'!$B$14,Paramètres!$A$1:$I$89,3,0)*VLOOKUP('Données projet'!$B$14,Paramètres!$A$1:$I$89,5,0)</f>
        <v>276.23231999999996</v>
      </c>
      <c r="DQ71" s="14">
        <f t="shared" si="97"/>
        <v>66.170163093943458</v>
      </c>
      <c r="DR71" s="22">
        <f t="shared" si="70"/>
        <v>596.35099138861813</v>
      </c>
      <c r="DS71" s="62">
        <f t="shared" si="71"/>
        <v>861.79737551583696</v>
      </c>
      <c r="DT71" s="62">
        <f ca="1">AVERAGE(OFFSET($DS$3,0,0,'Données projet'!$E$14+1,1))-AVERAGE(OFFSET($H$3,0,0,'Données projet'!$E$14+1,1))</f>
        <v>603.52431522262032</v>
      </c>
      <c r="DU71" s="62">
        <f t="shared" si="98"/>
        <v>313.56299786481338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5.2</v>
      </c>
      <c r="EJ71" s="13">
        <f>IF('Données projet'!$A$192&gt;35,EJ70+EI71-ER70,IF(A71&lt;'Données projet'!$A$192,$EG$205^A71,IF(A71='Données projet'!$A$192,'Données projet'!$B$192,EJ70+EI71-ER70)))</f>
        <v>371.59999999999968</v>
      </c>
      <c r="EK71" s="18">
        <f>EJ71*VLOOKUP('Données projet'!$B$15,Paramètres!$A$1:$I$89,3,0)*VLOOKUP('Données projet'!$B$15,Paramètres!$A$1:$I$89,5,0)</f>
        <v>295.6449599999998</v>
      </c>
      <c r="EL71" s="14">
        <f t="shared" si="99"/>
        <v>70.26270425383828</v>
      </c>
      <c r="EM71" s="22">
        <f t="shared" si="73"/>
        <v>637.289181908768</v>
      </c>
      <c r="EN71" s="62">
        <f t="shared" si="74"/>
        <v>902.73556603598684</v>
      </c>
      <c r="EO71" s="62">
        <f ca="1">AVERAGE(OFFSET($EN$3,0,0,'Données projet'!$E$15+1,1))-AVERAGE(OFFSET($H$3,0,0,'Données projet'!$E$15+1,1))</f>
        <v>450.93388191845378</v>
      </c>
      <c r="EP71" s="62">
        <f t="shared" si="100"/>
        <v>483.33635017129325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8.6666666666666661</v>
      </c>
      <c r="FE71" s="13">
        <f>IF('Données projet'!$A$218&gt;35,FE70+FD71-FM70,IF(A71&lt;'Données projet'!$A$218,$FB$205^A71,IF(A71='Données projet'!$A$218,'Données projet'!$B$218,FE70+FD71-FM70)))</f>
        <v>319.33333333333337</v>
      </c>
      <c r="FF71" s="18">
        <f>FE71*VLOOKUP('Données projet'!$B$16,Paramètres!$A$1:$I$89,3,0)*VLOOKUP('Données projet'!$B$16,Paramètres!$A$1:$I$89,5,0)</f>
        <v>249.08000000000004</v>
      </c>
      <c r="FG71" s="14">
        <f t="shared" si="101"/>
        <v>60.388894447487807</v>
      </c>
      <c r="FH71" s="22">
        <f t="shared" si="76"/>
        <v>538.99165782937473</v>
      </c>
      <c r="FI71" s="62">
        <f t="shared" si="77"/>
        <v>804.43804195659357</v>
      </c>
      <c r="FJ71" s="62">
        <f ca="1">AVERAGE(OFFSET($FI$3,0,0,'Données projet'!$E$16+1,1))-AVERAGE(OFFSET($H$3,0,0,'Données projet'!$E$16+1,1))</f>
        <v>309.21625451786218</v>
      </c>
      <c r="FK71" s="62">
        <f t="shared" si="102"/>
        <v>302.59481222418219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4.4000000000000004</v>
      </c>
      <c r="N72" s="14">
        <f>IF('Données projet'!$A$36&gt;35,N71+M72-V71,IF(A72&lt;'Données projet'!$A$36,$K$205^A72,IF(A72='Données projet'!$A$36,'Données projet'!$B$36,N71+M72-V71)))</f>
        <v>323.5999999999998</v>
      </c>
      <c r="O72" s="14">
        <f>N72*VLOOKUP('Données projet'!$B$9,Paramètres!$A$1:$I$89,3,0)*VLOOKUP('Données projet'!$B$9,Paramètres!$A$1:$I$89,5,0)</f>
        <v>257.45615999999984</v>
      </c>
      <c r="P72" s="14">
        <f t="shared" si="87"/>
        <v>62.179824167708126</v>
      </c>
      <c r="Q72" s="22">
        <f t="shared" si="54"/>
        <v>556.69933909209135</v>
      </c>
      <c r="R72" s="62">
        <f t="shared" si="55"/>
        <v>822.62949944215791</v>
      </c>
      <c r="S72" s="62">
        <f ca="1">AVERAGE(OFFSET($R$3,0,0,'Données projet'!$E$9+1,1))-AVERAGE(OFFSET($H$3,0,0,'Données projet'!$E$9+1,1))</f>
        <v>394.70330963327166</v>
      </c>
      <c r="T72" s="62">
        <f t="shared" si="88"/>
        <v>424.06445894109982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>
        <f>VLOOKUP(A72,'Données projet'!$A$61:$I$81,2,0)</f>
        <v>328</v>
      </c>
      <c r="AG72" s="13">
        <f>VLOOKUP(A72,'Données projet'!$A$61:$I$81,9,0)</f>
        <v>8.6666666666666661</v>
      </c>
      <c r="AH72" s="13">
        <f t="array" ref="AH72">INDEX(AG:AG,MIN(IF(ISNUMBER(AG72:AG268),ROW(AG72:AG268),"")))</f>
        <v>8.6666666666666661</v>
      </c>
      <c r="AI72" s="14">
        <f>IF('Données projet'!$A$62&gt;35,AI71+AH72-AQ71,IF(A72&lt;'Données projet'!$A$62,$AF$205^A72,IF(A72='Données projet'!$A$62,'Données projet'!$B$62,AI71+AH72-AQ71)))</f>
        <v>328.00000000000006</v>
      </c>
      <c r="AJ72" s="14">
        <f>AI72*VLOOKUP('Données projet'!$B$10,Paramètres!$A$1:$I$89,3,0)*VLOOKUP('Données projet'!$B$10,Paramètres!$A$1:$I$89,5,0)</f>
        <v>266.07360000000006</v>
      </c>
      <c r="AK72" s="14">
        <f t="shared" si="89"/>
        <v>64.015279012301136</v>
      </c>
      <c r="AL72" s="22">
        <f t="shared" si="58"/>
        <v>574.90479761309109</v>
      </c>
      <c r="AM72" s="62">
        <f t="shared" si="59"/>
        <v>840.83495796315765</v>
      </c>
      <c r="AN72" s="62">
        <f ca="1">AVERAGE(OFFSET($AM$3,0,0,'Données projet'!$E$10+1,1))-AVERAGE(OFFSET($H$3,0,0,'Données projet'!$E$10+1,1))</f>
        <v>319.39055628111151</v>
      </c>
      <c r="AO72" s="62">
        <f t="shared" si="90"/>
        <v>312.22190035638084</v>
      </c>
      <c r="AP72" s="16">
        <f>IF(ISNA(VLOOKUP(A72,'Données projet'!$A$61:$I$81,3,0)),0,VLOOKUP(A72,'Données projet'!$A$61:$I$81,3,0))</f>
        <v>8</v>
      </c>
      <c r="AQ72" s="16">
        <f>IF(ISNA(VLOOKUP(A72,'Données projet'!$A$61:$I$81,4,0)),0,VLOOKUP(A72,'Données projet'!$A$61:$I$81,4,0))</f>
        <v>328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3</v>
      </c>
      <c r="BD72" s="13">
        <f>IF('Données projet'!$A$88&gt;35,BD71+BC72-BL71,IF(A72&lt;'Données projet'!$A$88,$BA$205^A72,IF(A72='Données projet'!$A$88,'Données projet'!$B$88,BD71+BC72-BL71)))</f>
        <v>213.99999999999989</v>
      </c>
      <c r="BE72" s="14">
        <f>BD72*VLOOKUP('Données projet'!$B$11,Paramètres!$A$1:$I$89,3,0)*VLOOKUP('Données projet'!$B$11,Paramètres!$A$1:$I$89,5,0)</f>
        <v>156.90479999999991</v>
      </c>
      <c r="BF72" s="14">
        <f t="shared" si="91"/>
        <v>40.143592678874334</v>
      </c>
      <c r="BG72" s="22">
        <f t="shared" si="61"/>
        <v>343.1926172490393</v>
      </c>
      <c r="BH72" s="62">
        <f t="shared" si="62"/>
        <v>609.1227775991058</v>
      </c>
      <c r="BI72" s="62">
        <f ca="1">AVERAGE(OFFSET($BH$3,0,0,'Données projet'!$E$11+1,1))-AVERAGE(OFFSET($H$3,0,0,'Données projet'!$E$11+1,1))</f>
        <v>257.906524944431</v>
      </c>
      <c r="BJ72" s="62">
        <f t="shared" si="92"/>
        <v>274.70390601173563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-1.1368683772161603E-13</v>
      </c>
      <c r="BZ72" s="14">
        <f>BY72*VLOOKUP('Données projet'!$B$12,Paramètres!$A$1:$I$89,3,0)*VLOOKUP('Données projet'!$B$12,Paramètres!$A$1:$I$89,5,0)</f>
        <v>-9.2222762759774927E-14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272.69564942740931</v>
      </c>
      <c r="CE72" s="62">
        <f t="shared" si="94"/>
        <v>316.57989180609252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5.3846153846153921</v>
      </c>
      <c r="CT72" s="13">
        <f>IF('Données projet'!$A$140&gt;35,CT71+CS72-DB71,IF(A72&lt;'Données projet'!$A$140,$CQ$205^A72,IF(A72='Données projet'!$A$140,'Données projet'!$B$140,CT71+CS72-DB71)))</f>
        <v>267.69230769230768</v>
      </c>
      <c r="CU72" s="18">
        <f>CT72*VLOOKUP('Données projet'!$B$13,Paramètres!$A$1:$I$89,3,0)*VLOOKUP('Données projet'!$B$13,Paramètres!$A$1:$I$89,5,0)</f>
        <v>254.73599999999999</v>
      </c>
      <c r="CV72" s="14">
        <f t="shared" si="95"/>
        <v>61.598973642708444</v>
      </c>
      <c r="CW72" s="22">
        <f t="shared" si="67"/>
        <v>550.9500790943838</v>
      </c>
      <c r="CX72" s="62">
        <f t="shared" si="68"/>
        <v>816.88023944445035</v>
      </c>
      <c r="CY72" s="62">
        <f ca="1">AVERAGE(OFFSET($CX$3,0,0,'Données projet'!$E$13+1,1))-AVERAGE(OFFSET($H$3,0,0,'Données projet'!$E$13+1,1))</f>
        <v>491.87038198656927</v>
      </c>
      <c r="CZ72" s="62">
        <f t="shared" si="96"/>
        <v>406.49261644949559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8.1999999999999993</v>
      </c>
      <c r="DO72" s="13">
        <f>IF('Données projet'!$A$166&gt;35,DO71+DN72-DW71,IF(A72&lt;'Données projet'!$A$166,$DL$205^A72,IF(A72='Données projet'!$A$166,'Données projet'!$B$166,DO71+DN72-DW71)))</f>
        <v>293.79999999999995</v>
      </c>
      <c r="DP72" s="18">
        <f>DO72*VLOOKUP('Données projet'!$B$14,Paramètres!$A$1:$I$89,3,0)*VLOOKUP('Données projet'!$B$14,Paramètres!$A$1:$I$89,5,0)</f>
        <v>284.16335999999995</v>
      </c>
      <c r="DQ72" s="14">
        <f t="shared" si="97"/>
        <v>67.846089314219739</v>
      </c>
      <c r="DR72" s="22">
        <f t="shared" si="70"/>
        <v>613.08312422226595</v>
      </c>
      <c r="DS72" s="62">
        <f t="shared" si="71"/>
        <v>879.01328457233251</v>
      </c>
      <c r="DT72" s="62">
        <f ca="1">AVERAGE(OFFSET($DS$3,0,0,'Données projet'!$E$14+1,1))-AVERAGE(OFFSET($H$3,0,0,'Données projet'!$E$14+1,1))</f>
        <v>603.52431522262032</v>
      </c>
      <c r="DU72" s="62">
        <f t="shared" si="98"/>
        <v>313.56299786481338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5.2</v>
      </c>
      <c r="EJ72" s="13">
        <f>IF('Données projet'!$A$192&gt;35,EJ71+EI72-ER71,IF(A72&lt;'Données projet'!$A$192,$EG$205^A72,IF(A72='Données projet'!$A$192,'Données projet'!$B$192,EJ71+EI72-ER71)))</f>
        <v>376.79999999999967</v>
      </c>
      <c r="EK72" s="18">
        <f>EJ72*VLOOKUP('Données projet'!$B$15,Paramètres!$A$1:$I$89,3,0)*VLOOKUP('Données projet'!$B$15,Paramètres!$A$1:$I$89,5,0)</f>
        <v>299.78207999999978</v>
      </c>
      <c r="EL72" s="14">
        <f t="shared" si="99"/>
        <v>71.130777141390737</v>
      </c>
      <c r="EM72" s="22">
        <f t="shared" si="73"/>
        <v>646.0065595212551</v>
      </c>
      <c r="EN72" s="62">
        <f t="shared" si="74"/>
        <v>911.93671987132166</v>
      </c>
      <c r="EO72" s="62">
        <f ca="1">AVERAGE(OFFSET($EN$3,0,0,'Données projet'!$E$15+1,1))-AVERAGE(OFFSET($H$3,0,0,'Données projet'!$E$15+1,1))</f>
        <v>450.93388191845378</v>
      </c>
      <c r="EP72" s="62">
        <f t="shared" si="100"/>
        <v>483.33635017129325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>
        <f>VLOOKUP(A72,'Données projet'!$A$217:$I$237,2,0)</f>
        <v>328</v>
      </c>
      <c r="FC72" s="13">
        <f>VLOOKUP(A72,'Données projet'!$A$217:$I$237,9,0)</f>
        <v>8.6666666666666661</v>
      </c>
      <c r="FD72" s="13">
        <f t="array" ref="FD72">INDEX(FC:FC,MIN(IF(ISNUMBER(FC72:FC268),ROW(FC72:FC268),"")))</f>
        <v>8.6666666666666661</v>
      </c>
      <c r="FE72" s="13">
        <f>IF('Données projet'!$A$218&gt;35,FE71+FD72-FM71,IF(A72&lt;'Données projet'!$A$218,$FB$205^A72,IF(A72='Données projet'!$A$218,'Données projet'!$B$218,FE71+FD72-FM71)))</f>
        <v>328.00000000000006</v>
      </c>
      <c r="FF72" s="18">
        <f>FE72*VLOOKUP('Données projet'!$B$16,Paramètres!$A$1:$I$89,3,0)*VLOOKUP('Données projet'!$B$16,Paramètres!$A$1:$I$89,5,0)</f>
        <v>255.84000000000006</v>
      </c>
      <c r="FG72" s="14">
        <f t="shared" si="101"/>
        <v>61.834803371075836</v>
      </c>
      <c r="FH72" s="22">
        <f t="shared" si="76"/>
        <v>553.28361587129041</v>
      </c>
      <c r="FI72" s="62">
        <f t="shared" si="77"/>
        <v>819.21377622135697</v>
      </c>
      <c r="FJ72" s="62">
        <f ca="1">AVERAGE(OFFSET($FI$3,0,0,'Données projet'!$E$16+1,1))-AVERAGE(OFFSET($H$3,0,0,'Données projet'!$E$16+1,1))</f>
        <v>309.21625451786218</v>
      </c>
      <c r="FK72" s="62">
        <f t="shared" si="102"/>
        <v>302.59481222418219</v>
      </c>
      <c r="FL72" s="16">
        <f>IF(ISNA(VLOOKUP(A72,'Données projet'!$A$217:$I$237,3,0)),0,VLOOKUP(A72,'Données projet'!$A$217:$I$237,3,0))</f>
        <v>8</v>
      </c>
      <c r="FM72" s="16">
        <f>IF(ISNA(VLOOKUP(A72,'Données projet'!$A$217:$I$237,4,0)),0,VLOOKUP(A72,'Données projet'!$A$217:$I$237,4,0))</f>
        <v>328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328</v>
      </c>
      <c r="L73" s="13">
        <f>VLOOKUP(A73,'Données projet'!$A$35:$I$55,9,0)</f>
        <v>4.4000000000000004</v>
      </c>
      <c r="M73" s="13">
        <f t="array" ref="M73">INDEX(L:L,MIN(IF(ISNUMBER(L73:L269),ROW(L73:L269),"")))</f>
        <v>4.4000000000000004</v>
      </c>
      <c r="N73" s="14">
        <f>IF('Données projet'!$A$36&gt;35,N72+M73-V72,IF(A73&lt;'Données projet'!$A$36,$K$205^A73,IF(A73='Données projet'!$A$36,'Données projet'!$B$36,N72+M73-V72)))</f>
        <v>327.99999999999977</v>
      </c>
      <c r="O73" s="14">
        <f>N73*VLOOKUP('Données projet'!$B$9,Paramètres!$A$1:$I$89,3,0)*VLOOKUP('Données projet'!$B$9,Paramètres!$A$1:$I$89,5,0)</f>
        <v>260.95679999999982</v>
      </c>
      <c r="P73" s="14">
        <f t="shared" si="87"/>
        <v>62.926285429272689</v>
      </c>
      <c r="Q73" s="22">
        <f t="shared" si="54"/>
        <v>564.09637378931632</v>
      </c>
      <c r="R73" s="62">
        <f t="shared" si="55"/>
        <v>830.50191792632586</v>
      </c>
      <c r="S73" s="62">
        <f ca="1">AVERAGE(OFFSET($R$3,0,0,'Données projet'!$E$9+1,1))-AVERAGE(OFFSET($H$3,0,0,'Données projet'!$E$9+1,1))</f>
        <v>394.70330963327166</v>
      </c>
      <c r="T73" s="62">
        <f t="shared" si="88"/>
        <v>424.06445894109982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26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5.6843418860808015E-14</v>
      </c>
      <c r="AJ73" s="14">
        <f>AI73*VLOOKUP('Données projet'!$B$10,Paramètres!$A$1:$I$89,3,0)*VLOOKUP('Données projet'!$B$10,Paramètres!$A$1:$I$89,5,0)</f>
        <v>4.6111381379887463E-14</v>
      </c>
      <c r="AK73" s="14">
        <f t="shared" si="89"/>
        <v>7.5804141040779151E-13</v>
      </c>
      <c r="AL73" s="22">
        <f t="shared" si="58"/>
        <v>1.4005661123635408E-12</v>
      </c>
      <c r="AM73" s="62">
        <f t="shared" si="59"/>
        <v>266.40554413701091</v>
      </c>
      <c r="AN73" s="62">
        <f ca="1">AVERAGE(OFFSET($AM$3,0,0,'Données projet'!$E$10+1,1))-AVERAGE(OFFSET($H$3,0,0,'Données projet'!$E$10+1,1))</f>
        <v>319.39055628111151</v>
      </c>
      <c r="AO73" s="62">
        <f t="shared" si="90"/>
        <v>312.22190035638084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217</v>
      </c>
      <c r="BB73" s="13">
        <f>VLOOKUP(A73,'Données projet'!$A$87:$I$107,9,0)</f>
        <v>3</v>
      </c>
      <c r="BC73" s="13">
        <f t="array" ref="BC73">INDEX(BB:BB,MIN(IF(ISNUMBER(BB73:BB269),ROW(BB73:BB269),"")))</f>
        <v>3</v>
      </c>
      <c r="BD73" s="13">
        <f>IF('Données projet'!$A$88&gt;35,BD72+BC73-BL72,IF(A73&lt;'Données projet'!$A$88,$BA$205^A73,IF(A73='Données projet'!$A$88,'Données projet'!$B$88,BD72+BC73-BL72)))</f>
        <v>216.99999999999989</v>
      </c>
      <c r="BE73" s="14">
        <f>BD73*VLOOKUP('Données projet'!$B$11,Paramètres!$A$1:$I$89,3,0)*VLOOKUP('Données projet'!$B$11,Paramètres!$A$1:$I$89,5,0)</f>
        <v>159.10439999999991</v>
      </c>
      <c r="BF73" s="14">
        <f t="shared" si="91"/>
        <v>40.64044438118686</v>
      </c>
      <c r="BG73" s="22">
        <f t="shared" si="61"/>
        <v>347.88893729723367</v>
      </c>
      <c r="BH73" s="62">
        <f t="shared" si="62"/>
        <v>614.29448143424315</v>
      </c>
      <c r="BI73" s="62">
        <f ca="1">AVERAGE(OFFSET($BH$3,0,0,'Données projet'!$E$11+1,1))-AVERAGE(OFFSET($H$3,0,0,'Données projet'!$E$11+1,1))</f>
        <v>257.906524944431</v>
      </c>
      <c r="BJ73" s="62">
        <f t="shared" si="92"/>
        <v>274.70390601173563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16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-1.1368683772161603E-13</v>
      </c>
      <c r="BZ73" s="14">
        <f>BY73*VLOOKUP('Données projet'!$B$12,Paramètres!$A$1:$I$89,3,0)*VLOOKUP('Données projet'!$B$12,Paramètres!$A$1:$I$89,5,0)</f>
        <v>-9.2222762759774927E-14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272.69564942740931</v>
      </c>
      <c r="CE73" s="62">
        <f t="shared" si="94"/>
        <v>316.57989180609252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273.07692307692309</v>
      </c>
      <c r="CR73" s="13">
        <f>VLOOKUP(A73,'Données projet'!$A$139:$I$159,9,0)</f>
        <v>5.3846153846153921</v>
      </c>
      <c r="CS73" s="13">
        <f t="array" ref="CS73">INDEX(CR:CR,MIN(IF(ISNUMBER(CR73:CR269),ROW(CR73:CR269),"")))</f>
        <v>5.3846153846153921</v>
      </c>
      <c r="CT73" s="13">
        <f>IF('Données projet'!$A$140&gt;35,CT72+CS73-DB72,IF(A73&lt;'Données projet'!$A$140,$CQ$205^A73,IF(A73='Données projet'!$A$140,'Données projet'!$B$140,CT72+CS73-DB72)))</f>
        <v>273.07692307692309</v>
      </c>
      <c r="CU73" s="18">
        <f>CT73*VLOOKUP('Données projet'!$B$13,Paramètres!$A$1:$I$89,3,0)*VLOOKUP('Données projet'!$B$13,Paramètres!$A$1:$I$89,5,0)</f>
        <v>259.86</v>
      </c>
      <c r="CV73" s="14">
        <f t="shared" si="95"/>
        <v>62.692534678290258</v>
      </c>
      <c r="CW73" s="22">
        <f t="shared" si="67"/>
        <v>561.77899789802211</v>
      </c>
      <c r="CX73" s="62">
        <f t="shared" si="68"/>
        <v>828.18454203503165</v>
      </c>
      <c r="CY73" s="62">
        <f ca="1">AVERAGE(OFFSET($CX$3,0,0,'Données projet'!$E$13+1,1))-AVERAGE(OFFSET($H$3,0,0,'Données projet'!$E$13+1,1))</f>
        <v>491.87038198656927</v>
      </c>
      <c r="CZ73" s="62">
        <f t="shared" si="96"/>
        <v>406.49261644949559</v>
      </c>
      <c r="DA73" s="16">
        <f>IF(ISNA(VLOOKUP(A73,'Données projet'!$A$139:$I$159,3,0)),0,VLOOKUP(A73,'Données projet'!$A$139:$I$159,3,0))</f>
        <v>6</v>
      </c>
      <c r="DB73" s="16">
        <f>IF(ISNA(VLOOKUP(A73,'Données projet'!$A$139:$I$159,4,0)),0,VLOOKUP(A73,'Données projet'!$A$139:$I$159,4,0))</f>
        <v>36.53846153846154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302</v>
      </c>
      <c r="DM73" s="13">
        <f>VLOOKUP(A73,'Données projet'!$A$165:$I$185,9,0)</f>
        <v>8.1999999999999993</v>
      </c>
      <c r="DN73" s="13">
        <f t="array" ref="DN73">INDEX(DM:DM,MIN(IF(ISNUMBER(DM73:DM269),ROW(DM73:DM269),"")))</f>
        <v>8.1999999999999993</v>
      </c>
      <c r="DO73" s="13">
        <f>IF('Données projet'!$A$166&gt;35,DO72+DN73-DW72,IF(A73&lt;'Données projet'!$A$166,$DL$205^A73,IF(A73='Données projet'!$A$166,'Données projet'!$B$166,DO72+DN73-DW72)))</f>
        <v>301.99999999999994</v>
      </c>
      <c r="DP73" s="18">
        <f>DO73*VLOOKUP('Données projet'!$B$14,Paramètres!$A$1:$I$89,3,0)*VLOOKUP('Données projet'!$B$14,Paramètres!$A$1:$I$89,5,0)</f>
        <v>292.09439999999995</v>
      </c>
      <c r="DQ73" s="14">
        <f t="shared" si="97"/>
        <v>69.516578973599849</v>
      </c>
      <c r="DR73" s="22">
        <f t="shared" si="70"/>
        <v>629.80578837901965</v>
      </c>
      <c r="DS73" s="62">
        <f t="shared" si="71"/>
        <v>896.21133251602919</v>
      </c>
      <c r="DT73" s="62">
        <f ca="1">AVERAGE(OFFSET($DS$3,0,0,'Données projet'!$E$14+1,1))-AVERAGE(OFFSET($H$3,0,0,'Données projet'!$E$14+1,1))</f>
        <v>603.52431522262032</v>
      </c>
      <c r="DU73" s="62">
        <f t="shared" si="98"/>
        <v>313.56299786481338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382</v>
      </c>
      <c r="EH73" s="13">
        <f>VLOOKUP(A73,'Données projet'!$A$191:$I$211,9,0)</f>
        <v>5.2</v>
      </c>
      <c r="EI73" s="13">
        <f t="array" ref="EI73">INDEX(EH:EH,MIN(IF(ISNUMBER(EH73:EH269),ROW(EH73:EH269),"")))</f>
        <v>5.2</v>
      </c>
      <c r="EJ73" s="13">
        <f>IF('Données projet'!$A$192&gt;35,EJ72+EI73-ER72,IF(A73&lt;'Données projet'!$A$192,$EG$205^A73,IF(A73='Données projet'!$A$192,'Données projet'!$B$192,EJ72+EI73-ER72)))</f>
        <v>381.99999999999966</v>
      </c>
      <c r="EK73" s="18">
        <f>EJ73*VLOOKUP('Données projet'!$B$15,Paramètres!$A$1:$I$89,3,0)*VLOOKUP('Données projet'!$B$15,Paramètres!$A$1:$I$89,5,0)</f>
        <v>303.91919999999976</v>
      </c>
      <c r="EL73" s="14">
        <f t="shared" si="99"/>
        <v>71.997456655827293</v>
      </c>
      <c r="EM73" s="22">
        <f t="shared" si="73"/>
        <v>654.72151034223214</v>
      </c>
      <c r="EN73" s="62">
        <f t="shared" si="74"/>
        <v>921.12705447924168</v>
      </c>
      <c r="EO73" s="62">
        <f ca="1">AVERAGE(OFFSET($EN$3,0,0,'Données projet'!$E$15+1,1))-AVERAGE(OFFSET($H$3,0,0,'Données projet'!$E$15+1,1))</f>
        <v>450.93388191845378</v>
      </c>
      <c r="EP73" s="62">
        <f t="shared" si="100"/>
        <v>483.33635017129325</v>
      </c>
      <c r="EQ73" s="16">
        <f>IF(ISNA(VLOOKUP(A73,'Données projet'!$A$191:$I$211,3,0)),0,VLOOKUP(A73,'Données projet'!$A$191:$I$211,3,0))</f>
        <v>6</v>
      </c>
      <c r="ER73" s="16">
        <f>IF(ISNA(VLOOKUP(A73,'Données projet'!$A$191:$I$211,4,0)),0,VLOOKUP(A73,'Données projet'!$A$191:$I$211,4,0))</f>
        <v>31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5.6843418860808015E-14</v>
      </c>
      <c r="FF73" s="18">
        <f>FE73*VLOOKUP('Données projet'!$B$16,Paramètres!$A$1:$I$89,3,0)*VLOOKUP('Données projet'!$B$16,Paramètres!$A$1:$I$89,5,0)</f>
        <v>4.4337866711430253E-14</v>
      </c>
      <c r="FG73" s="14">
        <f t="shared" si="101"/>
        <v>7.3222115536967035E-13</v>
      </c>
      <c r="FH73" s="22">
        <f t="shared" si="76"/>
        <v>1.3525069634579169E-12</v>
      </c>
      <c r="FI73" s="62">
        <f t="shared" si="77"/>
        <v>266.40554413701085</v>
      </c>
      <c r="FJ73" s="62">
        <f ca="1">AVERAGE(OFFSET($FI$3,0,0,'Données projet'!$E$16+1,1))-AVERAGE(OFFSET($H$3,0,0,'Données projet'!$E$16+1,1))</f>
        <v>309.21625451786218</v>
      </c>
      <c r="FK73" s="62">
        <f t="shared" si="102"/>
        <v>302.59481222418219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4.4000000000000004</v>
      </c>
      <c r="N74" s="14">
        <f>IF('Données projet'!$A$36&gt;35,N73+M74-V73,IF(A74&lt;'Données projet'!$A$36,$K$205^A74,IF(A74='Données projet'!$A$36,'Données projet'!$B$36,N73+M74-V73)))</f>
        <v>306.39999999999975</v>
      </c>
      <c r="O74" s="14">
        <f>N74*VLOOKUP('Données projet'!$B$9,Paramètres!$A$1:$I$89,3,0)*VLOOKUP('Données projet'!$B$9,Paramètres!$A$1:$I$89,5,0)</f>
        <v>243.7718399999998</v>
      </c>
      <c r="P74" s="14">
        <f t="shared" si="87"/>
        <v>59.250322254889134</v>
      </c>
      <c r="Q74" s="22">
        <f t="shared" si="54"/>
        <v>527.7635992605982</v>
      </c>
      <c r="R74" s="62">
        <f t="shared" si="55"/>
        <v>794.6362803386462</v>
      </c>
      <c r="S74" s="62">
        <f ca="1">AVERAGE(OFFSET($R$3,0,0,'Données projet'!$E$9+1,1))-AVERAGE(OFFSET($H$3,0,0,'Données projet'!$E$9+1,1))</f>
        <v>394.70330963327166</v>
      </c>
      <c r="T74" s="62">
        <f t="shared" si="88"/>
        <v>424.06445894109982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5.6843418860808015E-14</v>
      </c>
      <c r="AJ74" s="14">
        <f>AI74*VLOOKUP('Données projet'!$B$10,Paramètres!$A$1:$I$89,3,0)*VLOOKUP('Données projet'!$B$10,Paramètres!$A$1:$I$89,5,0)</f>
        <v>4.6111381379887463E-14</v>
      </c>
      <c r="AK74" s="14">
        <f t="shared" si="89"/>
        <v>7.5804141040779151E-13</v>
      </c>
      <c r="AL74" s="22">
        <f t="shared" si="58"/>
        <v>1.4005661123635408E-12</v>
      </c>
      <c r="AM74" s="62">
        <f t="shared" si="59"/>
        <v>266.87268107804937</v>
      </c>
      <c r="AN74" s="62">
        <f ca="1">AVERAGE(OFFSET($AM$3,0,0,'Données projet'!$E$10+1,1))-AVERAGE(OFFSET($H$3,0,0,'Données projet'!$E$10+1,1))</f>
        <v>319.39055628111151</v>
      </c>
      <c r="AO74" s="62">
        <f t="shared" si="90"/>
        <v>312.22190035638084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2.6</v>
      </c>
      <c r="BD74" s="13">
        <f>IF('Données projet'!$A$88&gt;35,BD73+BC74-BL73,IF(A74&lt;'Données projet'!$A$88,$BA$205^A74,IF(A74='Données projet'!$A$88,'Données projet'!$B$88,BD73+BC74-BL73)))</f>
        <v>203.59999999999988</v>
      </c>
      <c r="BE74" s="14">
        <f>BD74*VLOOKUP('Données projet'!$B$11,Paramètres!$A$1:$I$89,3,0)*VLOOKUP('Données projet'!$B$11,Paramètres!$A$1:$I$89,5,0)</f>
        <v>149.27951999999991</v>
      </c>
      <c r="BF74" s="14">
        <f t="shared" si="91"/>
        <v>38.414808102917561</v>
      </c>
      <c r="BG74" s="22">
        <f t="shared" si="61"/>
        <v>326.90095477924791</v>
      </c>
      <c r="BH74" s="62">
        <f t="shared" si="62"/>
        <v>593.77363585729586</v>
      </c>
      <c r="BI74" s="62">
        <f ca="1">AVERAGE(OFFSET($BH$3,0,0,'Données projet'!$E$11+1,1))-AVERAGE(OFFSET($H$3,0,0,'Données projet'!$E$11+1,1))</f>
        <v>257.906524944431</v>
      </c>
      <c r="BJ74" s="62">
        <f t="shared" si="92"/>
        <v>274.70390601173563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-1.1368683772161603E-13</v>
      </c>
      <c r="BZ74" s="14">
        <f>BY74*VLOOKUP('Données projet'!$B$12,Paramètres!$A$1:$I$89,3,0)*VLOOKUP('Données projet'!$B$12,Paramètres!$A$1:$I$89,5,0)</f>
        <v>-9.2222762759774927E-14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272.69564942740931</v>
      </c>
      <c r="CE74" s="62">
        <f t="shared" si="94"/>
        <v>316.57989180609252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5.1282051282051269</v>
      </c>
      <c r="CT74" s="13">
        <f>IF('Données projet'!$A$140&gt;35,CT73+CS74-DB73,IF(A74&lt;'Données projet'!$A$140,$CQ$205^A74,IF(A74='Données projet'!$A$140,'Données projet'!$B$140,CT73+CS74-DB73)))</f>
        <v>241.66666666666669</v>
      </c>
      <c r="CU74" s="18">
        <f>CT74*VLOOKUP('Données projet'!$B$13,Paramètres!$A$1:$I$89,3,0)*VLOOKUP('Données projet'!$B$13,Paramètres!$A$1:$I$89,5,0)</f>
        <v>229.97000000000003</v>
      </c>
      <c r="CV74" s="14">
        <f t="shared" si="95"/>
        <v>56.276194780495985</v>
      </c>
      <c r="CW74" s="22">
        <f t="shared" si="67"/>
        <v>498.54545590936385</v>
      </c>
      <c r="CX74" s="62">
        <f t="shared" si="68"/>
        <v>765.4181369874118</v>
      </c>
      <c r="CY74" s="62">
        <f ca="1">AVERAGE(OFFSET($CX$3,0,0,'Données projet'!$E$13+1,1))-AVERAGE(OFFSET($H$3,0,0,'Données projet'!$E$13+1,1))</f>
        <v>491.87038198656927</v>
      </c>
      <c r="CZ74" s="62">
        <f t="shared" si="96"/>
        <v>406.49261644949559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7.6</v>
      </c>
      <c r="DO74" s="13">
        <f>IF('Données projet'!$A$166&gt;35,DO73+DN74-DW73,IF(A74&lt;'Données projet'!$A$166,$DL$205^A74,IF(A74='Données projet'!$A$166,'Données projet'!$B$166,DO73+DN74-DW73)))</f>
        <v>309.59999999999997</v>
      </c>
      <c r="DP74" s="18">
        <f>DO74*VLOOKUP('Données projet'!$B$14,Paramètres!$A$1:$I$89,3,0)*VLOOKUP('Données projet'!$B$14,Paramètres!$A$1:$I$89,5,0)</f>
        <v>299.44511999999997</v>
      </c>
      <c r="DQ74" s="14">
        <f t="shared" si="97"/>
        <v>71.060126783970659</v>
      </c>
      <c r="DR74" s="22">
        <f t="shared" si="70"/>
        <v>645.2966381487488</v>
      </c>
      <c r="DS74" s="62">
        <f t="shared" si="71"/>
        <v>912.16931922679669</v>
      </c>
      <c r="DT74" s="62">
        <f ca="1">AVERAGE(OFFSET($DS$3,0,0,'Données projet'!$E$14+1,1))-AVERAGE(OFFSET($H$3,0,0,'Données projet'!$E$14+1,1))</f>
        <v>603.52431522262032</v>
      </c>
      <c r="DU74" s="62">
        <f t="shared" si="98"/>
        <v>313.56299786481338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4.8</v>
      </c>
      <c r="EJ74" s="13">
        <f>IF('Données projet'!$A$192&gt;35,EJ73+EI74-ER73,IF(A74&lt;'Données projet'!$A$192,$EG$205^A74,IF(A74='Données projet'!$A$192,'Données projet'!$B$192,EJ73+EI74-ER73)))</f>
        <v>355.79999999999967</v>
      </c>
      <c r="EK74" s="18">
        <f>EJ74*VLOOKUP('Données projet'!$B$15,Paramètres!$A$1:$I$89,3,0)*VLOOKUP('Données projet'!$B$15,Paramètres!$A$1:$I$89,5,0)</f>
        <v>283.07447999999977</v>
      </c>
      <c r="EL74" s="14">
        <f t="shared" si="99"/>
        <v>67.616321363645156</v>
      </c>
      <c r="EM74" s="22">
        <f t="shared" si="73"/>
        <v>610.78647904168156</v>
      </c>
      <c r="EN74" s="62">
        <f t="shared" si="74"/>
        <v>877.65916011972945</v>
      </c>
      <c r="EO74" s="62">
        <f ca="1">AVERAGE(OFFSET($EN$3,0,0,'Données projet'!$E$15+1,1))-AVERAGE(OFFSET($H$3,0,0,'Données projet'!$E$15+1,1))</f>
        <v>450.93388191845378</v>
      </c>
      <c r="EP74" s="62">
        <f t="shared" si="100"/>
        <v>483.33635017129325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5.6843418860808015E-14</v>
      </c>
      <c r="FF74" s="18">
        <f>FE74*VLOOKUP('Données projet'!$B$16,Paramètres!$A$1:$I$89,3,0)*VLOOKUP('Données projet'!$B$16,Paramètres!$A$1:$I$89,5,0)</f>
        <v>4.4337866711430253E-14</v>
      </c>
      <c r="FG74" s="14">
        <f t="shared" si="101"/>
        <v>7.3222115536967035E-13</v>
      </c>
      <c r="FH74" s="22">
        <f t="shared" si="76"/>
        <v>1.3525069634579169E-12</v>
      </c>
      <c r="FI74" s="62">
        <f t="shared" si="77"/>
        <v>266.87268107804931</v>
      </c>
      <c r="FJ74" s="62">
        <f ca="1">AVERAGE(OFFSET($FI$3,0,0,'Données projet'!$E$16+1,1))-AVERAGE(OFFSET($H$3,0,0,'Données projet'!$E$16+1,1))</f>
        <v>309.21625451786218</v>
      </c>
      <c r="FK74" s="62">
        <f t="shared" si="102"/>
        <v>302.59481222418219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4.4000000000000004</v>
      </c>
      <c r="N75" s="14">
        <f>IF('Données projet'!$A$36&gt;35,N74+M75-V74,IF(A75&lt;'Données projet'!$A$36,$K$205^A75,IF(A75='Données projet'!$A$36,'Données projet'!$B$36,N74+M75-V74)))</f>
        <v>310.79999999999973</v>
      </c>
      <c r="O75" s="14">
        <f>N75*VLOOKUP('Données projet'!$B$9,Paramètres!$A$1:$I$89,3,0)*VLOOKUP('Données projet'!$B$9,Paramètres!$A$1:$I$89,5,0)</f>
        <v>247.2724799999998</v>
      </c>
      <c r="P75" s="14">
        <f t="shared" si="87"/>
        <v>60.00151112391876</v>
      </c>
      <c r="Q75" s="22">
        <f t="shared" si="54"/>
        <v>535.16886787415808</v>
      </c>
      <c r="R75" s="62">
        <f t="shared" si="55"/>
        <v>802.50058211167925</v>
      </c>
      <c r="S75" s="62">
        <f ca="1">AVERAGE(OFFSET($R$3,0,0,'Données projet'!$E$9+1,1))-AVERAGE(OFFSET($H$3,0,0,'Données projet'!$E$9+1,1))</f>
        <v>394.70330963327166</v>
      </c>
      <c r="T75" s="62">
        <f t="shared" si="88"/>
        <v>424.06445894109982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5.6843418860808015E-14</v>
      </c>
      <c r="AJ75" s="14">
        <f>AI75*VLOOKUP('Données projet'!$B$10,Paramètres!$A$1:$I$89,3,0)*VLOOKUP('Données projet'!$B$10,Paramètres!$A$1:$I$89,5,0)</f>
        <v>4.6111381379887463E-14</v>
      </c>
      <c r="AK75" s="14">
        <f t="shared" si="89"/>
        <v>7.5804141040779151E-13</v>
      </c>
      <c r="AL75" s="22">
        <f t="shared" si="58"/>
        <v>1.4005661123635408E-12</v>
      </c>
      <c r="AM75" s="62">
        <f t="shared" si="59"/>
        <v>267.33171423752253</v>
      </c>
      <c r="AN75" s="62">
        <f ca="1">AVERAGE(OFFSET($AM$3,0,0,'Données projet'!$E$10+1,1))-AVERAGE(OFFSET($H$3,0,0,'Données projet'!$E$10+1,1))</f>
        <v>319.39055628111151</v>
      </c>
      <c r="AO75" s="62">
        <f t="shared" si="90"/>
        <v>312.22190035638084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2.6</v>
      </c>
      <c r="BD75" s="13">
        <f>IF('Données projet'!$A$88&gt;35,BD74+BC75-BL74,IF(A75&lt;'Données projet'!$A$88,$BA$205^A75,IF(A75='Données projet'!$A$88,'Données projet'!$B$88,BD74+BC75-BL74)))</f>
        <v>206.19999999999987</v>
      </c>
      <c r="BE75" s="14">
        <f>BD75*VLOOKUP('Données projet'!$B$11,Paramètres!$A$1:$I$89,3,0)*VLOOKUP('Données projet'!$B$11,Paramètres!$A$1:$I$89,5,0)</f>
        <v>151.1858399999999</v>
      </c>
      <c r="BF75" s="14">
        <f t="shared" si="91"/>
        <v>38.847948387052504</v>
      </c>
      <c r="BG75" s="22">
        <f t="shared" si="61"/>
        <v>330.97551477411622</v>
      </c>
      <c r="BH75" s="62">
        <f t="shared" si="62"/>
        <v>598.30722901163733</v>
      </c>
      <c r="BI75" s="62">
        <f ca="1">AVERAGE(OFFSET($BH$3,0,0,'Données projet'!$E$11+1,1))-AVERAGE(OFFSET($H$3,0,0,'Données projet'!$E$11+1,1))</f>
        <v>257.906524944431</v>
      </c>
      <c r="BJ75" s="62">
        <f t="shared" si="92"/>
        <v>274.70390601173563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-1.1368683772161603E-13</v>
      </c>
      <c r="BZ75" s="14">
        <f>BY75*VLOOKUP('Données projet'!$B$12,Paramètres!$A$1:$I$89,3,0)*VLOOKUP('Données projet'!$B$12,Paramètres!$A$1:$I$89,5,0)</f>
        <v>-9.2222762759774927E-14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272.69564942740931</v>
      </c>
      <c r="CE75" s="62">
        <f t="shared" si="94"/>
        <v>316.57989180609252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5.1282051282051269</v>
      </c>
      <c r="CT75" s="13">
        <f>IF('Données projet'!$A$140&gt;35,CT74+CS75-DB74,IF(A75&lt;'Données projet'!$A$140,$CQ$205^A75,IF(A75='Données projet'!$A$140,'Données projet'!$B$140,CT74+CS75-DB74)))</f>
        <v>246.79487179487182</v>
      </c>
      <c r="CU75" s="18">
        <f>CT75*VLOOKUP('Données projet'!$B$13,Paramètres!$A$1:$I$89,3,0)*VLOOKUP('Données projet'!$B$13,Paramètres!$A$1:$I$89,5,0)</f>
        <v>234.85000000000002</v>
      </c>
      <c r="CV75" s="14">
        <f t="shared" si="95"/>
        <v>57.330087904205421</v>
      </c>
      <c r="CW75" s="22">
        <f t="shared" si="67"/>
        <v>508.88031976649114</v>
      </c>
      <c r="CX75" s="62">
        <f t="shared" si="68"/>
        <v>776.21203400401225</v>
      </c>
      <c r="CY75" s="62">
        <f ca="1">AVERAGE(OFFSET($CX$3,0,0,'Données projet'!$E$13+1,1))-AVERAGE(OFFSET($H$3,0,0,'Données projet'!$E$13+1,1))</f>
        <v>491.87038198656927</v>
      </c>
      <c r="CZ75" s="62">
        <f t="shared" si="96"/>
        <v>406.49261644949559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7.6</v>
      </c>
      <c r="DO75" s="13">
        <f>IF('Données projet'!$A$166&gt;35,DO74+DN75-DW74,IF(A75&lt;'Données projet'!$A$166,$DL$205^A75,IF(A75='Données projet'!$A$166,'Données projet'!$B$166,DO74+DN75-DW74)))</f>
        <v>317.2</v>
      </c>
      <c r="DP75" s="18">
        <f>DO75*VLOOKUP('Données projet'!$B$14,Paramètres!$A$1:$I$89,3,0)*VLOOKUP('Données projet'!$B$14,Paramètres!$A$1:$I$89,5,0)</f>
        <v>306.79584</v>
      </c>
      <c r="DQ75" s="14">
        <f t="shared" si="97"/>
        <v>72.599269943528554</v>
      </c>
      <c r="DR75" s="22">
        <f t="shared" si="70"/>
        <v>660.77981648497882</v>
      </c>
      <c r="DS75" s="62">
        <f t="shared" si="71"/>
        <v>928.11153072249999</v>
      </c>
      <c r="DT75" s="62">
        <f ca="1">AVERAGE(OFFSET($DS$3,0,0,'Données projet'!$E$14+1,1))-AVERAGE(OFFSET($H$3,0,0,'Données projet'!$E$14+1,1))</f>
        <v>603.52431522262032</v>
      </c>
      <c r="DU75" s="62">
        <f t="shared" si="98"/>
        <v>313.56299786481338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4.8</v>
      </c>
      <c r="EJ75" s="13">
        <f>IF('Données projet'!$A$192&gt;35,EJ74+EI75-ER74,IF(A75&lt;'Données projet'!$A$192,$EG$205^A75,IF(A75='Données projet'!$A$192,'Données projet'!$B$192,EJ74+EI75-ER74)))</f>
        <v>360.59999999999968</v>
      </c>
      <c r="EK75" s="18">
        <f>EJ75*VLOOKUP('Données projet'!$B$15,Paramètres!$A$1:$I$89,3,0)*VLOOKUP('Données projet'!$B$15,Paramètres!$A$1:$I$89,5,0)</f>
        <v>286.89335999999975</v>
      </c>
      <c r="EL75" s="14">
        <f t="shared" si="99"/>
        <v>68.421705584684744</v>
      </c>
      <c r="EM75" s="22">
        <f t="shared" si="73"/>
        <v>618.84040589332551</v>
      </c>
      <c r="EN75" s="62">
        <f t="shared" si="74"/>
        <v>886.17212013084668</v>
      </c>
      <c r="EO75" s="62">
        <f ca="1">AVERAGE(OFFSET($EN$3,0,0,'Données projet'!$E$15+1,1))-AVERAGE(OFFSET($H$3,0,0,'Données projet'!$E$15+1,1))</f>
        <v>450.93388191845378</v>
      </c>
      <c r="EP75" s="62">
        <f t="shared" si="100"/>
        <v>483.33635017129325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5.6843418860808015E-14</v>
      </c>
      <c r="FF75" s="18">
        <f>FE75*VLOOKUP('Données projet'!$B$16,Paramètres!$A$1:$I$89,3,0)*VLOOKUP('Données projet'!$B$16,Paramètres!$A$1:$I$89,5,0)</f>
        <v>4.4337866711430253E-14</v>
      </c>
      <c r="FG75" s="14">
        <f t="shared" si="101"/>
        <v>7.3222115536967035E-13</v>
      </c>
      <c r="FH75" s="22">
        <f t="shared" si="76"/>
        <v>1.3525069634579169E-12</v>
      </c>
      <c r="FI75" s="62">
        <f t="shared" si="77"/>
        <v>267.33171423752248</v>
      </c>
      <c r="FJ75" s="62">
        <f ca="1">AVERAGE(OFFSET($FI$3,0,0,'Données projet'!$E$16+1,1))-AVERAGE(OFFSET($H$3,0,0,'Données projet'!$E$16+1,1))</f>
        <v>309.21625451786218</v>
      </c>
      <c r="FK75" s="62">
        <f t="shared" si="102"/>
        <v>302.59481222418219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4.4000000000000004</v>
      </c>
      <c r="N76" s="14">
        <f>IF('Données projet'!$A$36&gt;35,N75+M76-V75,IF(A76&lt;'Données projet'!$A$36,$K$205^A76,IF(A76='Données projet'!$A$36,'Données projet'!$B$36,N75+M76-V75)))</f>
        <v>315.1999999999997</v>
      </c>
      <c r="O76" s="14">
        <f>N76*VLOOKUP('Données projet'!$B$9,Paramètres!$A$1:$I$89,3,0)*VLOOKUP('Données projet'!$B$9,Paramètres!$A$1:$I$89,5,0)</f>
        <v>250.77311999999975</v>
      </c>
      <c r="P76" s="14">
        <f t="shared" si="87"/>
        <v>60.75146310218134</v>
      </c>
      <c r="Q76" s="22">
        <f t="shared" si="54"/>
        <v>542.57198223629882</v>
      </c>
      <c r="R76" s="62">
        <f t="shared" si="55"/>
        <v>810.35476643422066</v>
      </c>
      <c r="S76" s="62">
        <f ca="1">AVERAGE(OFFSET($R$3,0,0,'Données projet'!$E$9+1,1))-AVERAGE(OFFSET($H$3,0,0,'Données projet'!$E$9+1,1))</f>
        <v>394.70330963327166</v>
      </c>
      <c r="T76" s="62">
        <f t="shared" si="88"/>
        <v>424.06445894109982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5.6843418860808015E-14</v>
      </c>
      <c r="AJ76" s="14">
        <f>AI76*VLOOKUP('Données projet'!$B$10,Paramètres!$A$1:$I$89,3,0)*VLOOKUP('Données projet'!$B$10,Paramètres!$A$1:$I$89,5,0)</f>
        <v>4.6111381379887463E-14</v>
      </c>
      <c r="AK76" s="14">
        <f t="shared" si="89"/>
        <v>7.5804141040779151E-13</v>
      </c>
      <c r="AL76" s="22">
        <f t="shared" si="58"/>
        <v>1.4005661123635408E-12</v>
      </c>
      <c r="AM76" s="62">
        <f t="shared" si="59"/>
        <v>267.78278419792321</v>
      </c>
      <c r="AN76" s="62">
        <f ca="1">AVERAGE(OFFSET($AM$3,0,0,'Données projet'!$E$10+1,1))-AVERAGE(OFFSET($H$3,0,0,'Données projet'!$E$10+1,1))</f>
        <v>319.39055628111151</v>
      </c>
      <c r="AO76" s="62">
        <f t="shared" si="90"/>
        <v>312.22190035638084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2.6</v>
      </c>
      <c r="BD76" s="13">
        <f>IF('Données projet'!$A$88&gt;35,BD75+BC76-BL75,IF(A76&lt;'Données projet'!$A$88,$BA$205^A76,IF(A76='Données projet'!$A$88,'Données projet'!$B$88,BD75+BC76-BL75)))</f>
        <v>208.79999999999987</v>
      </c>
      <c r="BE76" s="14">
        <f>BD76*VLOOKUP('Données projet'!$B$11,Paramètres!$A$1:$I$89,3,0)*VLOOKUP('Données projet'!$B$11,Paramètres!$A$1:$I$89,5,0)</f>
        <v>153.09215999999992</v>
      </c>
      <c r="BF76" s="14">
        <f t="shared" si="91"/>
        <v>39.280453399141081</v>
      </c>
      <c r="BG76" s="22">
        <f t="shared" si="61"/>
        <v>335.04896833683722</v>
      </c>
      <c r="BH76" s="62">
        <f t="shared" si="62"/>
        <v>602.83175253475906</v>
      </c>
      <c r="BI76" s="62">
        <f ca="1">AVERAGE(OFFSET($BH$3,0,0,'Données projet'!$E$11+1,1))-AVERAGE(OFFSET($H$3,0,0,'Données projet'!$E$11+1,1))</f>
        <v>257.906524944431</v>
      </c>
      <c r="BJ76" s="62">
        <f t="shared" si="92"/>
        <v>274.70390601173563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-1.1368683772161603E-13</v>
      </c>
      <c r="BZ76" s="14">
        <f>BY76*VLOOKUP('Données projet'!$B$12,Paramètres!$A$1:$I$89,3,0)*VLOOKUP('Données projet'!$B$12,Paramètres!$A$1:$I$89,5,0)</f>
        <v>-9.2222762759774927E-14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272.69564942740931</v>
      </c>
      <c r="CE76" s="62">
        <f t="shared" si="94"/>
        <v>316.57989180609252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5.1282051282051269</v>
      </c>
      <c r="CT76" s="13">
        <f>IF('Données projet'!$A$140&gt;35,CT75+CS76-DB75,IF(A76&lt;'Données projet'!$A$140,$CQ$205^A76,IF(A76='Données projet'!$A$140,'Données projet'!$B$140,CT75+CS76-DB75)))</f>
        <v>251.92307692307696</v>
      </c>
      <c r="CU76" s="18">
        <f>CT76*VLOOKUP('Données projet'!$B$13,Paramètres!$A$1:$I$89,3,0)*VLOOKUP('Données projet'!$B$13,Paramètres!$A$1:$I$89,5,0)</f>
        <v>239.73000000000002</v>
      </c>
      <c r="CV76" s="14">
        <f t="shared" si="95"/>
        <v>58.381434861783795</v>
      </c>
      <c r="CW76" s="22">
        <f t="shared" si="67"/>
        <v>519.21074905094019</v>
      </c>
      <c r="CX76" s="62">
        <f t="shared" si="68"/>
        <v>786.99353324886192</v>
      </c>
      <c r="CY76" s="62">
        <f ca="1">AVERAGE(OFFSET($CX$3,0,0,'Données projet'!$E$13+1,1))-AVERAGE(OFFSET($H$3,0,0,'Données projet'!$E$13+1,1))</f>
        <v>491.87038198656927</v>
      </c>
      <c r="CZ76" s="62">
        <f t="shared" si="96"/>
        <v>406.49261644949559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7.6</v>
      </c>
      <c r="DO76" s="13">
        <f>IF('Données projet'!$A$166&gt;35,DO75+DN76-DW75,IF(A76&lt;'Données projet'!$A$166,$DL$205^A76,IF(A76='Données projet'!$A$166,'Données projet'!$B$166,DO75+DN76-DW75)))</f>
        <v>324.8</v>
      </c>
      <c r="DP76" s="18">
        <f>DO76*VLOOKUP('Données projet'!$B$14,Paramètres!$A$1:$I$89,3,0)*VLOOKUP('Données projet'!$B$14,Paramètres!$A$1:$I$89,5,0)</f>
        <v>314.14656000000002</v>
      </c>
      <c r="DQ76" s="14">
        <f t="shared" si="97"/>
        <v>74.134126128922034</v>
      </c>
      <c r="DR76" s="22">
        <f t="shared" si="70"/>
        <v>676.25552834120583</v>
      </c>
      <c r="DS76" s="62">
        <f t="shared" si="71"/>
        <v>944.03831253912767</v>
      </c>
      <c r="DT76" s="62">
        <f ca="1">AVERAGE(OFFSET($DS$3,0,0,'Données projet'!$E$14+1,1))-AVERAGE(OFFSET($H$3,0,0,'Données projet'!$E$14+1,1))</f>
        <v>603.52431522262032</v>
      </c>
      <c r="DU76" s="62">
        <f t="shared" si="98"/>
        <v>313.56299786481338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4.8</v>
      </c>
      <c r="EJ76" s="13">
        <f>IF('Données projet'!$A$192&gt;35,EJ75+EI76-ER75,IF(A76&lt;'Données projet'!$A$192,$EG$205^A76,IF(A76='Données projet'!$A$192,'Données projet'!$B$192,EJ75+EI76-ER75)))</f>
        <v>365.39999999999969</v>
      </c>
      <c r="EK76" s="18">
        <f>EJ76*VLOOKUP('Données projet'!$B$15,Paramètres!$A$1:$I$89,3,0)*VLOOKUP('Données projet'!$B$15,Paramètres!$A$1:$I$89,5,0)</f>
        <v>290.71223999999978</v>
      </c>
      <c r="EL76" s="14">
        <f t="shared" si="99"/>
        <v>69.225842856510994</v>
      </c>
      <c r="EM76" s="22">
        <f t="shared" si="73"/>
        <v>626.89216097508961</v>
      </c>
      <c r="EN76" s="62">
        <f t="shared" si="74"/>
        <v>894.67494517301134</v>
      </c>
      <c r="EO76" s="62">
        <f ca="1">AVERAGE(OFFSET($EN$3,0,0,'Données projet'!$E$15+1,1))-AVERAGE(OFFSET($H$3,0,0,'Données projet'!$E$15+1,1))</f>
        <v>450.93388191845378</v>
      </c>
      <c r="EP76" s="62">
        <f t="shared" si="100"/>
        <v>483.33635017129325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5.6843418860808015E-14</v>
      </c>
      <c r="FF76" s="18">
        <f>FE76*VLOOKUP('Données projet'!$B$16,Paramètres!$A$1:$I$89,3,0)*VLOOKUP('Données projet'!$B$16,Paramètres!$A$1:$I$89,5,0)</f>
        <v>4.4337866711430253E-14</v>
      </c>
      <c r="FG76" s="14">
        <f t="shared" si="101"/>
        <v>7.3222115536967035E-13</v>
      </c>
      <c r="FH76" s="22">
        <f t="shared" si="76"/>
        <v>1.3525069634579169E-12</v>
      </c>
      <c r="FI76" s="62">
        <f t="shared" si="77"/>
        <v>267.78278419792315</v>
      </c>
      <c r="FJ76" s="62">
        <f ca="1">AVERAGE(OFFSET($FI$3,0,0,'Données projet'!$E$16+1,1))-AVERAGE(OFFSET($H$3,0,0,'Données projet'!$E$16+1,1))</f>
        <v>309.21625451786218</v>
      </c>
      <c r="FK76" s="62">
        <f t="shared" si="102"/>
        <v>302.59481222418219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4.4000000000000004</v>
      </c>
      <c r="N77" s="14">
        <f>IF('Données projet'!$A$36&gt;35,N76+M77-V76,IF(A77&lt;'Données projet'!$A$36,$K$205^A77,IF(A77='Données projet'!$A$36,'Données projet'!$B$36,N76+M77-V76)))</f>
        <v>319.59999999999968</v>
      </c>
      <c r="O77" s="14">
        <f>N77*VLOOKUP('Données projet'!$B$9,Paramètres!$A$1:$I$89,3,0)*VLOOKUP('Données projet'!$B$9,Paramètres!$A$1:$I$89,5,0)</f>
        <v>254.27375999999975</v>
      </c>
      <c r="P77" s="14">
        <f t="shared" si="87"/>
        <v>61.500197451316261</v>
      </c>
      <c r="Q77" s="22">
        <f t="shared" si="54"/>
        <v>549.97297589437528</v>
      </c>
      <c r="R77" s="62">
        <f t="shared" si="55"/>
        <v>818.19900499732614</v>
      </c>
      <c r="S77" s="62">
        <f ca="1">AVERAGE(OFFSET($R$3,0,0,'Données projet'!$E$9+1,1))-AVERAGE(OFFSET($H$3,0,0,'Données projet'!$E$9+1,1))</f>
        <v>394.70330963327166</v>
      </c>
      <c r="T77" s="62">
        <f t="shared" si="88"/>
        <v>424.06445894109982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5.6843418860808015E-14</v>
      </c>
      <c r="AJ77" s="14">
        <f>AI77*VLOOKUP('Données projet'!$B$10,Paramètres!$A$1:$I$89,3,0)*VLOOKUP('Données projet'!$B$10,Paramètres!$A$1:$I$89,5,0)</f>
        <v>4.6111381379887463E-14</v>
      </c>
      <c r="AK77" s="14">
        <f t="shared" si="89"/>
        <v>7.5804141040779151E-13</v>
      </c>
      <c r="AL77" s="22">
        <f t="shared" si="58"/>
        <v>1.4005661123635408E-12</v>
      </c>
      <c r="AM77" s="62">
        <f t="shared" si="59"/>
        <v>268.22602910295228</v>
      </c>
      <c r="AN77" s="62">
        <f ca="1">AVERAGE(OFFSET($AM$3,0,0,'Données projet'!$E$10+1,1))-AVERAGE(OFFSET($H$3,0,0,'Données projet'!$E$10+1,1))</f>
        <v>319.39055628111151</v>
      </c>
      <c r="AO77" s="62">
        <f t="shared" si="90"/>
        <v>312.22190035638084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2.6</v>
      </c>
      <c r="BD77" s="13">
        <f>IF('Données projet'!$A$88&gt;35,BD76+BC77-BL76,IF(A77&lt;'Données projet'!$A$88,$BA$205^A77,IF(A77='Données projet'!$A$88,'Données projet'!$B$88,BD76+BC77-BL76)))</f>
        <v>211.39999999999986</v>
      </c>
      <c r="BE77" s="14">
        <f>BD77*VLOOKUP('Données projet'!$B$11,Paramètres!$A$1:$I$89,3,0)*VLOOKUP('Données projet'!$B$11,Paramètres!$A$1:$I$89,5,0)</f>
        <v>154.99847999999989</v>
      </c>
      <c r="BF77" s="14">
        <f t="shared" si="91"/>
        <v>39.712331964499974</v>
      </c>
      <c r="BG77" s="22">
        <f t="shared" si="61"/>
        <v>339.12133083817054</v>
      </c>
      <c r="BH77" s="62">
        <f t="shared" si="62"/>
        <v>607.34735994112134</v>
      </c>
      <c r="BI77" s="62">
        <f ca="1">AVERAGE(OFFSET($BH$3,0,0,'Données projet'!$E$11+1,1))-AVERAGE(OFFSET($H$3,0,0,'Données projet'!$E$11+1,1))</f>
        <v>257.906524944431</v>
      </c>
      <c r="BJ77" s="62">
        <f t="shared" si="92"/>
        <v>274.70390601173563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-1.1368683772161603E-13</v>
      </c>
      <c r="BZ77" s="14">
        <f>BY77*VLOOKUP('Données projet'!$B$12,Paramètres!$A$1:$I$89,3,0)*VLOOKUP('Données projet'!$B$12,Paramètres!$A$1:$I$89,5,0)</f>
        <v>-9.2222762759774927E-14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272.69564942740931</v>
      </c>
      <c r="CE77" s="62">
        <f t="shared" si="94"/>
        <v>316.57989180609252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5.1282051282051269</v>
      </c>
      <c r="CT77" s="13">
        <f>IF('Données projet'!$A$140&gt;35,CT76+CS77-DB76,IF(A77&lt;'Données projet'!$A$140,$CQ$205^A77,IF(A77='Données projet'!$A$140,'Données projet'!$B$140,CT76+CS77-DB76)))</f>
        <v>257.0512820512821</v>
      </c>
      <c r="CU77" s="18">
        <f>CT77*VLOOKUP('Données projet'!$B$13,Paramètres!$A$1:$I$89,3,0)*VLOOKUP('Données projet'!$B$13,Paramètres!$A$1:$I$89,5,0)</f>
        <v>244.61000000000004</v>
      </c>
      <c r="CV77" s="14">
        <f t="shared" si="95"/>
        <v>59.430293456197688</v>
      </c>
      <c r="CW77" s="22">
        <f t="shared" si="67"/>
        <v>529.53684443621103</v>
      </c>
      <c r="CX77" s="62">
        <f t="shared" si="68"/>
        <v>797.76287353916189</v>
      </c>
      <c r="CY77" s="62">
        <f ca="1">AVERAGE(OFFSET($CX$3,0,0,'Données projet'!$E$13+1,1))-AVERAGE(OFFSET($H$3,0,0,'Données projet'!$E$13+1,1))</f>
        <v>491.87038198656927</v>
      </c>
      <c r="CZ77" s="62">
        <f t="shared" si="96"/>
        <v>406.49261644949559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7.6</v>
      </c>
      <c r="DO77" s="13">
        <f>IF('Données projet'!$A$166&gt;35,DO76+DN77-DW76,IF(A77&lt;'Données projet'!$A$166,$DL$205^A77,IF(A77='Données projet'!$A$166,'Données projet'!$B$166,DO76+DN77-DW76)))</f>
        <v>332.40000000000003</v>
      </c>
      <c r="DP77" s="18">
        <f>DO77*VLOOKUP('Données projet'!$B$14,Paramètres!$A$1:$I$89,3,0)*VLOOKUP('Données projet'!$B$14,Paramètres!$A$1:$I$89,5,0)</f>
        <v>321.49728000000005</v>
      </c>
      <c r="DQ77" s="14">
        <f t="shared" si="97"/>
        <v>75.664807195585155</v>
      </c>
      <c r="DR77" s="22">
        <f t="shared" si="70"/>
        <v>691.72396853231078</v>
      </c>
      <c r="DS77" s="62">
        <f t="shared" si="71"/>
        <v>959.94999763526164</v>
      </c>
      <c r="DT77" s="62">
        <f ca="1">AVERAGE(OFFSET($DS$3,0,0,'Données projet'!$E$14+1,1))-AVERAGE(OFFSET($H$3,0,0,'Données projet'!$E$14+1,1))</f>
        <v>603.52431522262032</v>
      </c>
      <c r="DU77" s="62">
        <f t="shared" si="98"/>
        <v>313.56299786481338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4.8</v>
      </c>
      <c r="EJ77" s="13">
        <f>IF('Données projet'!$A$192&gt;35,EJ76+EI77-ER76,IF(A77&lt;'Données projet'!$A$192,$EG$205^A77,IF(A77='Données projet'!$A$192,'Données projet'!$B$192,EJ76+EI77-ER76)))</f>
        <v>370.1999999999997</v>
      </c>
      <c r="EK77" s="18">
        <f>EJ77*VLOOKUP('Données projet'!$B$15,Paramètres!$A$1:$I$89,3,0)*VLOOKUP('Données projet'!$B$15,Paramètres!$A$1:$I$89,5,0)</f>
        <v>294.53111999999976</v>
      </c>
      <c r="EL77" s="14">
        <f t="shared" si="99"/>
        <v>70.028751453157682</v>
      </c>
      <c r="EM77" s="22">
        <f t="shared" si="73"/>
        <v>634.94177611424914</v>
      </c>
      <c r="EN77" s="62">
        <f t="shared" si="74"/>
        <v>903.1678052172</v>
      </c>
      <c r="EO77" s="62">
        <f ca="1">AVERAGE(OFFSET($EN$3,0,0,'Données projet'!$E$15+1,1))-AVERAGE(OFFSET($H$3,0,0,'Données projet'!$E$15+1,1))</f>
        <v>450.93388191845378</v>
      </c>
      <c r="EP77" s="62">
        <f t="shared" si="100"/>
        <v>483.33635017129325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5.6843418860808015E-14</v>
      </c>
      <c r="FF77" s="18">
        <f>FE77*VLOOKUP('Données projet'!$B$16,Paramètres!$A$1:$I$89,3,0)*VLOOKUP('Données projet'!$B$16,Paramètres!$A$1:$I$89,5,0)</f>
        <v>4.4337866711430253E-14</v>
      </c>
      <c r="FG77" s="14">
        <f t="shared" si="101"/>
        <v>7.3222115536967035E-13</v>
      </c>
      <c r="FH77" s="22">
        <f t="shared" si="76"/>
        <v>1.3525069634579169E-12</v>
      </c>
      <c r="FI77" s="62">
        <f t="shared" si="77"/>
        <v>268.22602910295223</v>
      </c>
      <c r="FJ77" s="62">
        <f ca="1">AVERAGE(OFFSET($FI$3,0,0,'Données projet'!$E$16+1,1))-AVERAGE(OFFSET($H$3,0,0,'Données projet'!$E$16+1,1))</f>
        <v>309.21625451786218</v>
      </c>
      <c r="FK77" s="62">
        <f t="shared" si="102"/>
        <v>302.59481222418219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324</v>
      </c>
      <c r="L78" s="13">
        <f>VLOOKUP(A78,'Données projet'!$A$35:$I$55,9,0)</f>
        <v>4.4000000000000004</v>
      </c>
      <c r="M78" s="13">
        <f t="array" ref="M78">INDEX(L:L,MIN(IF(ISNUMBER(L78:L274),ROW(L78:L274),"")))</f>
        <v>4.4000000000000004</v>
      </c>
      <c r="N78" s="14">
        <f>IF('Données projet'!$A$36&gt;35,N77+M78-V77,IF(A78&lt;'Données projet'!$A$36,$K$205^A78,IF(A78='Données projet'!$A$36,'Données projet'!$B$36,N77+M78-V77)))</f>
        <v>323.99999999999966</v>
      </c>
      <c r="O78" s="14">
        <f>N78*VLOOKUP('Données projet'!$B$9,Paramètres!$A$1:$I$89,3,0)*VLOOKUP('Données projet'!$B$9,Paramètres!$A$1:$I$89,5,0)</f>
        <v>257.77439999999973</v>
      </c>
      <c r="P78" s="14">
        <f t="shared" si="87"/>
        <v>62.247732872134243</v>
      </c>
      <c r="Q78" s="22">
        <f t="shared" si="54"/>
        <v>557.37188141896661</v>
      </c>
      <c r="R78" s="62">
        <f t="shared" si="55"/>
        <v>826.03346611879147</v>
      </c>
      <c r="S78" s="62">
        <f ca="1">AVERAGE(OFFSET($R$3,0,0,'Données projet'!$E$9+1,1))-AVERAGE(OFFSET($H$3,0,0,'Données projet'!$E$9+1,1))</f>
        <v>394.70330963327166</v>
      </c>
      <c r="T78" s="62">
        <f t="shared" si="88"/>
        <v>424.06445894109982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5.6843418860808015E-14</v>
      </c>
      <c r="AJ78" s="14">
        <f>AI78*VLOOKUP('Données projet'!$B$10,Paramètres!$A$1:$I$89,3,0)*VLOOKUP('Données projet'!$B$10,Paramètres!$A$1:$I$89,5,0)</f>
        <v>4.6111381379887463E-14</v>
      </c>
      <c r="AK78" s="14">
        <f t="shared" si="89"/>
        <v>7.5804141040779151E-13</v>
      </c>
      <c r="AL78" s="22">
        <f t="shared" si="58"/>
        <v>1.4005661123635408E-12</v>
      </c>
      <c r="AM78" s="62">
        <f t="shared" si="59"/>
        <v>268.66158469982622</v>
      </c>
      <c r="AN78" s="62">
        <f ca="1">AVERAGE(OFFSET($AM$3,0,0,'Données projet'!$E$10+1,1))-AVERAGE(OFFSET($H$3,0,0,'Données projet'!$E$10+1,1))</f>
        <v>319.39055628111151</v>
      </c>
      <c r="AO78" s="62">
        <f t="shared" si="90"/>
        <v>312.22190035638084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214</v>
      </c>
      <c r="BB78" s="13">
        <f>VLOOKUP(A78,'Données projet'!$A$87:$I$107,9,0)</f>
        <v>2.6</v>
      </c>
      <c r="BC78" s="13">
        <f t="array" ref="BC78">INDEX(BB:BB,MIN(IF(ISNUMBER(BB78:BB274),ROW(BB78:BB274),"")))</f>
        <v>2.6</v>
      </c>
      <c r="BD78" s="13">
        <f>IF('Données projet'!$A$88&gt;35,BD77+BC78-BL77,IF(A78&lt;'Données projet'!$A$88,$BA$205^A78,IF(A78='Données projet'!$A$88,'Données projet'!$B$88,BD77+BC78-BL77)))</f>
        <v>213.99999999999986</v>
      </c>
      <c r="BE78" s="14">
        <f>BD78*VLOOKUP('Données projet'!$B$11,Paramètres!$A$1:$I$89,3,0)*VLOOKUP('Données projet'!$B$11,Paramètres!$A$1:$I$89,5,0)</f>
        <v>156.90479999999988</v>
      </c>
      <c r="BF78" s="14">
        <f t="shared" si="91"/>
        <v>40.143592678874334</v>
      </c>
      <c r="BG78" s="22">
        <f t="shared" si="61"/>
        <v>343.19261724903919</v>
      </c>
      <c r="BH78" s="62">
        <f t="shared" si="62"/>
        <v>611.85420194886399</v>
      </c>
      <c r="BI78" s="62">
        <f ca="1">AVERAGE(OFFSET($BH$3,0,0,'Données projet'!$E$11+1,1))-AVERAGE(OFFSET($H$3,0,0,'Données projet'!$E$11+1,1))</f>
        <v>257.906524944431</v>
      </c>
      <c r="BJ78" s="62">
        <f t="shared" si="92"/>
        <v>274.70390601173563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-1.1368683772161603E-13</v>
      </c>
      <c r="BZ78" s="14">
        <f>BY78*VLOOKUP('Données projet'!$B$12,Paramètres!$A$1:$I$89,3,0)*VLOOKUP('Données projet'!$B$12,Paramètres!$A$1:$I$89,5,0)</f>
        <v>-9.2222762759774927E-14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272.69564942740931</v>
      </c>
      <c r="CE78" s="62">
        <f t="shared" si="94"/>
        <v>316.57989180609252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262.17948717948718</v>
      </c>
      <c r="CR78" s="13">
        <f>VLOOKUP(A78,'Données projet'!$A$139:$I$159,9,0)</f>
        <v>5.1282051282051269</v>
      </c>
      <c r="CS78" s="13">
        <f t="array" ref="CS78">INDEX(CR:CR,MIN(IF(ISNUMBER(CR78:CR274),ROW(CR78:CR274),"")))</f>
        <v>5.1282051282051269</v>
      </c>
      <c r="CT78" s="13">
        <f>IF('Données projet'!$A$140&gt;35,CT77+CS78-DB77,IF(A78&lt;'Données projet'!$A$140,$CQ$205^A78,IF(A78='Données projet'!$A$140,'Données projet'!$B$140,CT77+CS78-DB77)))</f>
        <v>262.17948717948724</v>
      </c>
      <c r="CU78" s="18">
        <f>CT78*VLOOKUP('Données projet'!$B$13,Paramètres!$A$1:$I$89,3,0)*VLOOKUP('Données projet'!$B$13,Paramètres!$A$1:$I$89,5,0)</f>
        <v>249.49000000000007</v>
      </c>
      <c r="CV78" s="14">
        <f t="shared" si="95"/>
        <v>60.476719052177842</v>
      </c>
      <c r="CW78" s="22">
        <f t="shared" si="67"/>
        <v>539.85870234920981</v>
      </c>
      <c r="CX78" s="62">
        <f t="shared" si="68"/>
        <v>808.52028704903455</v>
      </c>
      <c r="CY78" s="62">
        <f ca="1">AVERAGE(OFFSET($CX$3,0,0,'Données projet'!$E$13+1,1))-AVERAGE(OFFSET($H$3,0,0,'Données projet'!$E$13+1,1))</f>
        <v>491.87038198656927</v>
      </c>
      <c r="CZ78" s="62">
        <f t="shared" si="96"/>
        <v>406.49261644949559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340</v>
      </c>
      <c r="DM78" s="13">
        <f>VLOOKUP(A78,'Données projet'!$A$165:$I$185,9,0)</f>
        <v>7.6</v>
      </c>
      <c r="DN78" s="13">
        <f t="array" ref="DN78">INDEX(DM:DM,MIN(IF(ISNUMBER(DM78:DM274),ROW(DM78:DM274),"")))</f>
        <v>7.6</v>
      </c>
      <c r="DO78" s="13">
        <f>IF('Données projet'!$A$166&gt;35,DO77+DN78-DW77,IF(A78&lt;'Données projet'!$A$166,$DL$205^A78,IF(A78='Données projet'!$A$166,'Données projet'!$B$166,DO77+DN78-DW77)))</f>
        <v>340.00000000000006</v>
      </c>
      <c r="DP78" s="18">
        <f>DO78*VLOOKUP('Données projet'!$B$14,Paramètres!$A$1:$I$89,3,0)*VLOOKUP('Données projet'!$B$14,Paramètres!$A$1:$I$89,5,0)</f>
        <v>328.84800000000007</v>
      </c>
      <c r="DQ78" s="14">
        <f t="shared" si="97"/>
        <v>77.191419592112595</v>
      </c>
      <c r="DR78" s="22">
        <f t="shared" si="70"/>
        <v>707.18532245626284</v>
      </c>
      <c r="DS78" s="62">
        <f t="shared" si="71"/>
        <v>975.84690715608758</v>
      </c>
      <c r="DT78" s="62">
        <f ca="1">AVERAGE(OFFSET($DS$3,0,0,'Données projet'!$E$14+1,1))-AVERAGE(OFFSET($H$3,0,0,'Données projet'!$E$14+1,1))</f>
        <v>603.52431522262032</v>
      </c>
      <c r="DU78" s="62">
        <f t="shared" si="98"/>
        <v>313.56299786481338</v>
      </c>
      <c r="DV78" s="16">
        <f>IF(ISNA(VLOOKUP(A78,'Données projet'!$A$165:$I$185,3,0)),0,VLOOKUP(A78,'Données projet'!$A$165:$I$185,3,0))</f>
        <v>6</v>
      </c>
      <c r="DW78" s="16">
        <f>IF(ISNA(VLOOKUP(A78,'Données projet'!$A$165:$I$185,4,0)),0,VLOOKUP(A78,'Données projet'!$A$165:$I$185,4,0))</f>
        <v>56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375</v>
      </c>
      <c r="EH78" s="13">
        <f>VLOOKUP(A78,'Données projet'!$A$191:$I$211,9,0)</f>
        <v>4.8</v>
      </c>
      <c r="EI78" s="13">
        <f t="array" ref="EI78">INDEX(EH:EH,MIN(IF(ISNUMBER(EH78:EH274),ROW(EH78:EH274),"")))</f>
        <v>4.8</v>
      </c>
      <c r="EJ78" s="13">
        <f>IF('Données projet'!$A$192&gt;35,EJ77+EI78-ER77,IF(A78&lt;'Données projet'!$A$192,$EG$205^A78,IF(A78='Données projet'!$A$192,'Données projet'!$B$192,EJ77+EI78-ER77)))</f>
        <v>374.99999999999972</v>
      </c>
      <c r="EK78" s="18">
        <f>EJ78*VLOOKUP('Données projet'!$B$15,Paramètres!$A$1:$I$89,3,0)*VLOOKUP('Données projet'!$B$15,Paramètres!$A$1:$I$89,5,0)</f>
        <v>298.3499999999998</v>
      </c>
      <c r="EL78" s="14">
        <f t="shared" si="99"/>
        <v>70.83044914753448</v>
      </c>
      <c r="EM78" s="22">
        <f t="shared" si="73"/>
        <v>642.98928226528881</v>
      </c>
      <c r="EN78" s="62">
        <f t="shared" si="74"/>
        <v>911.65086696511366</v>
      </c>
      <c r="EO78" s="62">
        <f ca="1">AVERAGE(OFFSET($EN$3,0,0,'Données projet'!$E$15+1,1))-AVERAGE(OFFSET($H$3,0,0,'Données projet'!$E$15+1,1))</f>
        <v>450.93388191845378</v>
      </c>
      <c r="EP78" s="62">
        <f t="shared" si="100"/>
        <v>483.33635017129325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5.6843418860808015E-14</v>
      </c>
      <c r="FF78" s="18">
        <f>FE78*VLOOKUP('Données projet'!$B$16,Paramètres!$A$1:$I$89,3,0)*VLOOKUP('Données projet'!$B$16,Paramètres!$A$1:$I$89,5,0)</f>
        <v>4.4337866711430253E-14</v>
      </c>
      <c r="FG78" s="14">
        <f t="shared" si="101"/>
        <v>7.3222115536967035E-13</v>
      </c>
      <c r="FH78" s="22">
        <f t="shared" si="76"/>
        <v>1.3525069634579169E-12</v>
      </c>
      <c r="FI78" s="62">
        <f t="shared" si="77"/>
        <v>268.66158469982616</v>
      </c>
      <c r="FJ78" s="62">
        <f ca="1">AVERAGE(OFFSET($FI$3,0,0,'Données projet'!$E$16+1,1))-AVERAGE(OFFSET($H$3,0,0,'Données projet'!$E$16+1,1))</f>
        <v>309.21625451786218</v>
      </c>
      <c r="FK78" s="62">
        <f t="shared" si="102"/>
        <v>302.59481222418219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3.6</v>
      </c>
      <c r="N79" s="14">
        <f>IF('Données projet'!$A$36&gt;35,N78+M79-V78,IF(A79&lt;'Données projet'!$A$36,$K$205^A79,IF(A79='Données projet'!$A$36,'Données projet'!$B$36,N78+M79-V78)))</f>
        <v>327.59999999999968</v>
      </c>
      <c r="O79" s="14">
        <f>N79*VLOOKUP('Données projet'!$B$9,Paramètres!$A$1:$I$89,3,0)*VLOOKUP('Données projet'!$B$9,Paramètres!$A$1:$I$89,5,0)</f>
        <v>260.63855999999976</v>
      </c>
      <c r="P79" s="14">
        <f t="shared" si="87"/>
        <v>62.858473704931782</v>
      </c>
      <c r="Q79" s="22">
        <f t="shared" si="54"/>
        <v>563.4240003694224</v>
      </c>
      <c r="R79" s="62">
        <f t="shared" si="55"/>
        <v>832.51358475027178</v>
      </c>
      <c r="S79" s="62">
        <f ca="1">AVERAGE(OFFSET($R$3,0,0,'Données projet'!$E$9+1,1))-AVERAGE(OFFSET($H$3,0,0,'Données projet'!$E$9+1,1))</f>
        <v>394.70330963327166</v>
      </c>
      <c r="T79" s="62">
        <f t="shared" si="88"/>
        <v>424.06445894109982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5.6843418860808015E-14</v>
      </c>
      <c r="AJ79" s="14">
        <f>AI79*VLOOKUP('Données projet'!$B$10,Paramètres!$A$1:$I$89,3,0)*VLOOKUP('Données projet'!$B$10,Paramètres!$A$1:$I$89,5,0)</f>
        <v>4.6111381379887463E-14</v>
      </c>
      <c r="AK79" s="14">
        <f t="shared" si="89"/>
        <v>7.5804141040779151E-13</v>
      </c>
      <c r="AL79" s="22">
        <f t="shared" si="58"/>
        <v>1.4005661123635408E-12</v>
      </c>
      <c r="AM79" s="62">
        <f t="shared" si="59"/>
        <v>269.08958438085085</v>
      </c>
      <c r="AN79" s="62">
        <f ca="1">AVERAGE(OFFSET($AM$3,0,0,'Données projet'!$E$10+1,1))-AVERAGE(OFFSET($H$3,0,0,'Données projet'!$E$10+1,1))</f>
        <v>319.39055628111151</v>
      </c>
      <c r="AO79" s="62">
        <f t="shared" si="90"/>
        <v>312.22190035638084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2.4</v>
      </c>
      <c r="BD79" s="13">
        <f>IF('Données projet'!$A$88&gt;35,BD78+BC79-BL78,IF(A79&lt;'Données projet'!$A$88,$BA$205^A79,IF(A79='Données projet'!$A$88,'Données projet'!$B$88,BD78+BC79-BL78)))</f>
        <v>216.39999999999986</v>
      </c>
      <c r="BE79" s="14">
        <f>BD79*VLOOKUP('Données projet'!$B$11,Paramètres!$A$1:$I$89,3,0)*VLOOKUP('Données projet'!$B$11,Paramètres!$A$1:$I$89,5,0)</f>
        <v>158.66447999999988</v>
      </c>
      <c r="BF79" s="14">
        <f t="shared" si="91"/>
        <v>40.541138349970325</v>
      </c>
      <c r="BG79" s="22">
        <f t="shared" si="61"/>
        <v>346.94978529286482</v>
      </c>
      <c r="BH79" s="62">
        <f t="shared" si="62"/>
        <v>616.03936967371419</v>
      </c>
      <c r="BI79" s="62">
        <f ca="1">AVERAGE(OFFSET($BH$3,0,0,'Données projet'!$E$11+1,1))-AVERAGE(OFFSET($H$3,0,0,'Données projet'!$E$11+1,1))</f>
        <v>257.906524944431</v>
      </c>
      <c r="BJ79" s="62">
        <f t="shared" si="92"/>
        <v>274.70390601173563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-1.1368683772161603E-13</v>
      </c>
      <c r="BZ79" s="14">
        <f>BY79*VLOOKUP('Données projet'!$B$12,Paramètres!$A$1:$I$89,3,0)*VLOOKUP('Données projet'!$B$12,Paramètres!$A$1:$I$89,5,0)</f>
        <v>-9.2222762759774927E-14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272.69564942740931</v>
      </c>
      <c r="CE79" s="62">
        <f t="shared" si="94"/>
        <v>316.57989180609252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4.7435897435897463</v>
      </c>
      <c r="CT79" s="13">
        <f>IF('Données projet'!$A$140&gt;35,CT78+CS79-DB78,IF(A79&lt;'Données projet'!$A$140,$CQ$205^A79,IF(A79='Données projet'!$A$140,'Données projet'!$B$140,CT78+CS79-DB78)))</f>
        <v>266.92307692307696</v>
      </c>
      <c r="CU79" s="18">
        <f>CT79*VLOOKUP('Données projet'!$B$13,Paramètres!$A$1:$I$89,3,0)*VLOOKUP('Données projet'!$B$13,Paramètres!$A$1:$I$89,5,0)</f>
        <v>254.00400000000005</v>
      </c>
      <c r="CV79" s="14">
        <f t="shared" si="95"/>
        <v>61.442542707030256</v>
      </c>
      <c r="CW79" s="22">
        <f t="shared" si="67"/>
        <v>549.40272854807779</v>
      </c>
      <c r="CX79" s="62">
        <f t="shared" si="68"/>
        <v>818.49231292892728</v>
      </c>
      <c r="CY79" s="62">
        <f ca="1">AVERAGE(OFFSET($CX$3,0,0,'Données projet'!$E$13+1,1))-AVERAGE(OFFSET($H$3,0,0,'Données projet'!$E$13+1,1))</f>
        <v>491.87038198656927</v>
      </c>
      <c r="CZ79" s="62">
        <f t="shared" si="96"/>
        <v>406.49261644949559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7.2</v>
      </c>
      <c r="DO79" s="13">
        <f>IF('Données projet'!$A$166&gt;35,DO78+DN79-DW78,IF(A79&lt;'Données projet'!$A$166,$DL$205^A79,IF(A79='Données projet'!$A$166,'Données projet'!$B$166,DO78+DN79-DW78)))</f>
        <v>291.20000000000005</v>
      </c>
      <c r="DP79" s="18">
        <f>DO79*VLOOKUP('Données projet'!$B$14,Paramètres!$A$1:$I$89,3,0)*VLOOKUP('Données projet'!$B$14,Paramètres!$A$1:$I$89,5,0)</f>
        <v>281.64864000000006</v>
      </c>
      <c r="DQ79" s="14">
        <f t="shared" si="97"/>
        <v>67.315294774697747</v>
      </c>
      <c r="DR79" s="22">
        <f t="shared" si="70"/>
        <v>607.77885306593191</v>
      </c>
      <c r="DS79" s="62">
        <f t="shared" si="71"/>
        <v>876.8684374467814</v>
      </c>
      <c r="DT79" s="62">
        <f ca="1">AVERAGE(OFFSET($DS$3,0,0,'Données projet'!$E$14+1,1))-AVERAGE(OFFSET($H$3,0,0,'Données projet'!$E$14+1,1))</f>
        <v>603.52431522262032</v>
      </c>
      <c r="DU79" s="62">
        <f t="shared" si="98"/>
        <v>313.56299786481338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4.2</v>
      </c>
      <c r="EJ79" s="13">
        <f>IF('Données projet'!$A$192&gt;35,EJ78+EI79-ER78,IF(A79&lt;'Données projet'!$A$192,$EG$205^A79,IF(A79='Données projet'!$A$192,'Données projet'!$B$192,EJ78+EI79-ER78)))</f>
        <v>379.1999999999997</v>
      </c>
      <c r="EK79" s="18">
        <f>EJ79*VLOOKUP('Données projet'!$B$15,Paramètres!$A$1:$I$89,3,0)*VLOOKUP('Données projet'!$B$15,Paramètres!$A$1:$I$89,5,0)</f>
        <v>301.6915199999998</v>
      </c>
      <c r="EL79" s="14">
        <f t="shared" si="99"/>
        <v>71.530954916923548</v>
      </c>
      <c r="EM79" s="22">
        <f t="shared" si="73"/>
        <v>650.02914381364155</v>
      </c>
      <c r="EN79" s="62">
        <f t="shared" si="74"/>
        <v>919.11872819449104</v>
      </c>
      <c r="EO79" s="62">
        <f ca="1">AVERAGE(OFFSET($EN$3,0,0,'Données projet'!$E$15+1,1))-AVERAGE(OFFSET($H$3,0,0,'Données projet'!$E$15+1,1))</f>
        <v>450.93388191845378</v>
      </c>
      <c r="EP79" s="62">
        <f t="shared" si="100"/>
        <v>483.33635017129325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5.6843418860808015E-14</v>
      </c>
      <c r="FF79" s="18">
        <f>FE79*VLOOKUP('Données projet'!$B$16,Paramètres!$A$1:$I$89,3,0)*VLOOKUP('Données projet'!$B$16,Paramètres!$A$1:$I$89,5,0)</f>
        <v>4.4337866711430253E-14</v>
      </c>
      <c r="FG79" s="14">
        <f t="shared" si="101"/>
        <v>7.3222115536967035E-13</v>
      </c>
      <c r="FH79" s="22">
        <f t="shared" si="76"/>
        <v>1.3525069634579169E-12</v>
      </c>
      <c r="FI79" s="62">
        <f t="shared" si="77"/>
        <v>269.08958438085079</v>
      </c>
      <c r="FJ79" s="62">
        <f ca="1">AVERAGE(OFFSET($FI$3,0,0,'Données projet'!$E$16+1,1))-AVERAGE(OFFSET($H$3,0,0,'Données projet'!$E$16+1,1))</f>
        <v>309.21625451786218</v>
      </c>
      <c r="FK79" s="62">
        <f t="shared" si="102"/>
        <v>302.59481222418219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3.6</v>
      </c>
      <c r="N80" s="14">
        <f>IF('Données projet'!$A$36&gt;35,N79+M80-V79,IF(A80&lt;'Données projet'!$A$36,$K$205^A80,IF(A80='Données projet'!$A$36,'Données projet'!$B$36,N79+M80-V79)))</f>
        <v>331.1999999999997</v>
      </c>
      <c r="O80" s="14">
        <f>N80*VLOOKUP('Données projet'!$B$9,Paramètres!$A$1:$I$89,3,0)*VLOOKUP('Données projet'!$B$9,Paramètres!$A$1:$I$89,5,0)</f>
        <v>263.50271999999978</v>
      </c>
      <c r="P80" s="14">
        <f t="shared" si="87"/>
        <v>63.468433809179686</v>
      </c>
      <c r="Q80" s="22">
        <f t="shared" si="54"/>
        <v>569.47475955098753</v>
      </c>
      <c r="R80" s="62">
        <f t="shared" si="55"/>
        <v>838.98491877525976</v>
      </c>
      <c r="S80" s="62">
        <f ca="1">AVERAGE(OFFSET($R$3,0,0,'Données projet'!$E$9+1,1))-AVERAGE(OFFSET($H$3,0,0,'Données projet'!$E$9+1,1))</f>
        <v>394.70330963327166</v>
      </c>
      <c r="T80" s="62">
        <f t="shared" si="88"/>
        <v>424.06445894109982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5.6843418860808015E-14</v>
      </c>
      <c r="AJ80" s="14">
        <f>AI80*VLOOKUP('Données projet'!$B$10,Paramètres!$A$1:$I$89,3,0)*VLOOKUP('Données projet'!$B$10,Paramètres!$A$1:$I$89,5,0)</f>
        <v>4.6111381379887463E-14</v>
      </c>
      <c r="AK80" s="14">
        <f t="shared" si="89"/>
        <v>7.5804141040779151E-13</v>
      </c>
      <c r="AL80" s="22">
        <f t="shared" si="58"/>
        <v>1.4005661123635408E-12</v>
      </c>
      <c r="AM80" s="62">
        <f t="shared" si="59"/>
        <v>269.51015922427371</v>
      </c>
      <c r="AN80" s="62">
        <f ca="1">AVERAGE(OFFSET($AM$3,0,0,'Données projet'!$E$10+1,1))-AVERAGE(OFFSET($H$3,0,0,'Données projet'!$E$10+1,1))</f>
        <v>319.39055628111151</v>
      </c>
      <c r="AO80" s="62">
        <f t="shared" si="90"/>
        <v>312.22190035638084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2.4</v>
      </c>
      <c r="BD80" s="13">
        <f>IF('Données projet'!$A$88&gt;35,BD79+BC80-BL79,IF(A80&lt;'Données projet'!$A$88,$BA$205^A80,IF(A80='Données projet'!$A$88,'Données projet'!$B$88,BD79+BC80-BL79)))</f>
        <v>218.79999999999987</v>
      </c>
      <c r="BE80" s="14">
        <f>BD80*VLOOKUP('Données projet'!$B$11,Paramètres!$A$1:$I$89,3,0)*VLOOKUP('Données projet'!$B$11,Paramètres!$A$1:$I$89,5,0)</f>
        <v>160.42415999999989</v>
      </c>
      <c r="BF80" s="14">
        <f t="shared" si="91"/>
        <v>40.938171132384412</v>
      </c>
      <c r="BG80" s="22">
        <f t="shared" si="61"/>
        <v>350.70606005556925</v>
      </c>
      <c r="BH80" s="62">
        <f t="shared" si="62"/>
        <v>620.21621927984154</v>
      </c>
      <c r="BI80" s="62">
        <f ca="1">AVERAGE(OFFSET($BH$3,0,0,'Données projet'!$E$11+1,1))-AVERAGE(OFFSET($H$3,0,0,'Données projet'!$E$11+1,1))</f>
        <v>257.906524944431</v>
      </c>
      <c r="BJ80" s="62">
        <f t="shared" si="92"/>
        <v>274.70390601173563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-1.1368683772161603E-13</v>
      </c>
      <c r="BZ80" s="14">
        <f>BY80*VLOOKUP('Données projet'!$B$12,Paramètres!$A$1:$I$89,3,0)*VLOOKUP('Données projet'!$B$12,Paramètres!$A$1:$I$89,5,0)</f>
        <v>-9.2222762759774927E-14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272.69564942740931</v>
      </c>
      <c r="CE80" s="62">
        <f t="shared" si="94"/>
        <v>316.57989180609252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4.7435897435897463</v>
      </c>
      <c r="CT80" s="13">
        <f>IF('Données projet'!$A$140&gt;35,CT79+CS80-DB79,IF(A80&lt;'Données projet'!$A$140,$CQ$205^A80,IF(A80='Données projet'!$A$140,'Données projet'!$B$140,CT79+CS80-DB79)))</f>
        <v>271.66666666666669</v>
      </c>
      <c r="CU80" s="18">
        <f>CT80*VLOOKUP('Données projet'!$B$13,Paramètres!$A$1:$I$89,3,0)*VLOOKUP('Données projet'!$B$13,Paramètres!$A$1:$I$89,5,0)</f>
        <v>258.51800000000003</v>
      </c>
      <c r="CV80" s="14">
        <f t="shared" si="95"/>
        <v>62.406370424674854</v>
      </c>
      <c r="CW80" s="22">
        <f t="shared" si="67"/>
        <v>558.94327848964201</v>
      </c>
      <c r="CX80" s="62">
        <f t="shared" si="68"/>
        <v>828.45343771391435</v>
      </c>
      <c r="CY80" s="62">
        <f ca="1">AVERAGE(OFFSET($CX$3,0,0,'Données projet'!$E$13+1,1))-AVERAGE(OFFSET($H$3,0,0,'Données projet'!$E$13+1,1))</f>
        <v>491.87038198656927</v>
      </c>
      <c r="CZ80" s="62">
        <f t="shared" si="96"/>
        <v>406.49261644949559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7.2</v>
      </c>
      <c r="DO80" s="13">
        <f>IF('Données projet'!$A$166&gt;35,DO79+DN80-DW79,IF(A80&lt;'Données projet'!$A$166,$DL$205^A80,IF(A80='Données projet'!$A$166,'Données projet'!$B$166,DO79+DN80-DW79)))</f>
        <v>298.40000000000003</v>
      </c>
      <c r="DP80" s="18">
        <f>DO80*VLOOKUP('Données projet'!$B$14,Paramètres!$A$1:$I$89,3,0)*VLOOKUP('Données projet'!$B$14,Paramètres!$A$1:$I$89,5,0)</f>
        <v>288.61248000000001</v>
      </c>
      <c r="DQ80" s="14">
        <f t="shared" si="97"/>
        <v>68.783851967051476</v>
      </c>
      <c r="DR80" s="22">
        <f t="shared" si="70"/>
        <v>622.4652781759479</v>
      </c>
      <c r="DS80" s="62">
        <f t="shared" si="71"/>
        <v>891.97543740022024</v>
      </c>
      <c r="DT80" s="62">
        <f ca="1">AVERAGE(OFFSET($DS$3,0,0,'Données projet'!$E$14+1,1))-AVERAGE(OFFSET($H$3,0,0,'Données projet'!$E$14+1,1))</f>
        <v>603.52431522262032</v>
      </c>
      <c r="DU80" s="62">
        <f t="shared" si="98"/>
        <v>313.56299786481338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4.2</v>
      </c>
      <c r="EJ80" s="13">
        <f>IF('Données projet'!$A$192&gt;35,EJ79+EI80-ER79,IF(A80&lt;'Données projet'!$A$192,$EG$205^A80,IF(A80='Données projet'!$A$192,'Données projet'!$B$192,EJ79+EI80-ER79)))</f>
        <v>383.39999999999969</v>
      </c>
      <c r="EK80" s="18">
        <f>EJ80*VLOOKUP('Données projet'!$B$15,Paramètres!$A$1:$I$89,3,0)*VLOOKUP('Données projet'!$B$15,Paramètres!$A$1:$I$89,5,0)</f>
        <v>305.0330399999998</v>
      </c>
      <c r="EL80" s="14">
        <f t="shared" si="99"/>
        <v>72.230558128303628</v>
      </c>
      <c r="EM80" s="22">
        <f t="shared" si="73"/>
        <v>657.06743340679509</v>
      </c>
      <c r="EN80" s="62">
        <f t="shared" si="74"/>
        <v>926.57759263106732</v>
      </c>
      <c r="EO80" s="62">
        <f ca="1">AVERAGE(OFFSET($EN$3,0,0,'Données projet'!$E$15+1,1))-AVERAGE(OFFSET($H$3,0,0,'Données projet'!$E$15+1,1))</f>
        <v>450.93388191845378</v>
      </c>
      <c r="EP80" s="62">
        <f t="shared" si="100"/>
        <v>483.33635017129325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5.6843418860808015E-14</v>
      </c>
      <c r="FF80" s="18">
        <f>FE80*VLOOKUP('Données projet'!$B$16,Paramètres!$A$1:$I$89,3,0)*VLOOKUP('Données projet'!$B$16,Paramètres!$A$1:$I$89,5,0)</f>
        <v>4.4337866711430253E-14</v>
      </c>
      <c r="FG80" s="14">
        <f t="shared" si="101"/>
        <v>7.3222115536967035E-13</v>
      </c>
      <c r="FH80" s="22">
        <f t="shared" si="76"/>
        <v>1.3525069634579169E-12</v>
      </c>
      <c r="FI80" s="62">
        <f t="shared" si="77"/>
        <v>269.51015922427365</v>
      </c>
      <c r="FJ80" s="62">
        <f ca="1">AVERAGE(OFFSET($FI$3,0,0,'Données projet'!$E$16+1,1))-AVERAGE(OFFSET($H$3,0,0,'Données projet'!$E$16+1,1))</f>
        <v>309.21625451786218</v>
      </c>
      <c r="FK80" s="62">
        <f t="shared" si="102"/>
        <v>302.59481222418219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3.6</v>
      </c>
      <c r="N81" s="14">
        <f>IF('Données projet'!$A$36&gt;35,N80+M81-V80,IF(A81&lt;'Données projet'!$A$36,$K$205^A81,IF(A81='Données projet'!$A$36,'Données projet'!$B$36,N80+M81-V80)))</f>
        <v>334.79999999999973</v>
      </c>
      <c r="O81" s="14">
        <f>N81*VLOOKUP('Données projet'!$B$9,Paramètres!$A$1:$I$89,3,0)*VLOOKUP('Données projet'!$B$9,Paramètres!$A$1:$I$89,5,0)</f>
        <v>266.36687999999981</v>
      </c>
      <c r="P81" s="14">
        <f t="shared" si="87"/>
        <v>64.077622653233107</v>
      </c>
      <c r="Q81" s="22">
        <f t="shared" si="54"/>
        <v>575.52417545438061</v>
      </c>
      <c r="R81" s="62">
        <f t="shared" si="55"/>
        <v>845.44761348880684</v>
      </c>
      <c r="S81" s="62">
        <f ca="1">AVERAGE(OFFSET($R$3,0,0,'Données projet'!$E$9+1,1))-AVERAGE(OFFSET($H$3,0,0,'Données projet'!$E$9+1,1))</f>
        <v>394.70330963327166</v>
      </c>
      <c r="T81" s="62">
        <f t="shared" si="88"/>
        <v>424.06445894109982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5.6843418860808015E-14</v>
      </c>
      <c r="AJ81" s="14">
        <f>AI81*VLOOKUP('Données projet'!$B$10,Paramètres!$A$1:$I$89,3,0)*VLOOKUP('Données projet'!$B$10,Paramètres!$A$1:$I$89,5,0)</f>
        <v>4.6111381379887463E-14</v>
      </c>
      <c r="AK81" s="14">
        <f t="shared" si="89"/>
        <v>7.5804141040779151E-13</v>
      </c>
      <c r="AL81" s="22">
        <f t="shared" si="58"/>
        <v>1.4005661123635408E-12</v>
      </c>
      <c r="AM81" s="62">
        <f t="shared" si="59"/>
        <v>269.92343803442765</v>
      </c>
      <c r="AN81" s="62">
        <f ca="1">AVERAGE(OFFSET($AM$3,0,0,'Données projet'!$E$10+1,1))-AVERAGE(OFFSET($H$3,0,0,'Données projet'!$E$10+1,1))</f>
        <v>319.39055628111151</v>
      </c>
      <c r="AO81" s="62">
        <f t="shared" si="90"/>
        <v>312.22190035638084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2.4</v>
      </c>
      <c r="BD81" s="13">
        <f>IF('Données projet'!$A$88&gt;35,BD80+BC81-BL80,IF(A81&lt;'Données projet'!$A$88,$BA$205^A81,IF(A81='Données projet'!$A$88,'Données projet'!$B$88,BD80+BC81-BL80)))</f>
        <v>221.19999999999987</v>
      </c>
      <c r="BE81" s="14">
        <f>BD81*VLOOKUP('Données projet'!$B$11,Paramètres!$A$1:$I$89,3,0)*VLOOKUP('Données projet'!$B$11,Paramètres!$A$1:$I$89,5,0)</f>
        <v>162.18383999999992</v>
      </c>
      <c r="BF81" s="14">
        <f t="shared" si="91"/>
        <v>41.33469730304472</v>
      </c>
      <c r="BG81" s="22">
        <f t="shared" si="61"/>
        <v>354.46145246946941</v>
      </c>
      <c r="BH81" s="62">
        <f t="shared" si="62"/>
        <v>624.38489050389558</v>
      </c>
      <c r="BI81" s="62">
        <f ca="1">AVERAGE(OFFSET($BH$3,0,0,'Données projet'!$E$11+1,1))-AVERAGE(OFFSET($H$3,0,0,'Données projet'!$E$11+1,1))</f>
        <v>257.906524944431</v>
      </c>
      <c r="BJ81" s="62">
        <f t="shared" si="92"/>
        <v>274.70390601173563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-1.1368683772161603E-13</v>
      </c>
      <c r="BZ81" s="14">
        <f>BY81*VLOOKUP('Données projet'!$B$12,Paramètres!$A$1:$I$89,3,0)*VLOOKUP('Données projet'!$B$12,Paramètres!$A$1:$I$89,5,0)</f>
        <v>-9.2222762759774927E-14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272.69564942740931</v>
      </c>
      <c r="CE81" s="62">
        <f t="shared" si="94"/>
        <v>316.57989180609252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4.7435897435897463</v>
      </c>
      <c r="CT81" s="13">
        <f>IF('Données projet'!$A$140&gt;35,CT80+CS81-DB80,IF(A81&lt;'Données projet'!$A$140,$CQ$205^A81,IF(A81='Données projet'!$A$140,'Données projet'!$B$140,CT80+CS81-DB80)))</f>
        <v>276.41025641025641</v>
      </c>
      <c r="CU81" s="18">
        <f>CT81*VLOOKUP('Données projet'!$B$13,Paramètres!$A$1:$I$89,3,0)*VLOOKUP('Données projet'!$B$13,Paramètres!$A$1:$I$89,5,0)</f>
        <v>263.03199999999998</v>
      </c>
      <c r="CV81" s="14">
        <f t="shared" si="95"/>
        <v>63.368241077451948</v>
      </c>
      <c r="CW81" s="22">
        <f t="shared" si="67"/>
        <v>568.480419876562</v>
      </c>
      <c r="CX81" s="62">
        <f t="shared" si="68"/>
        <v>838.40385791098822</v>
      </c>
      <c r="CY81" s="62">
        <f ca="1">AVERAGE(OFFSET($CX$3,0,0,'Données projet'!$E$13+1,1))-AVERAGE(OFFSET($H$3,0,0,'Données projet'!$E$13+1,1))</f>
        <v>491.87038198656927</v>
      </c>
      <c r="CZ81" s="62">
        <f t="shared" si="96"/>
        <v>406.49261644949559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7.2</v>
      </c>
      <c r="DO81" s="13">
        <f>IF('Données projet'!$A$166&gt;35,DO80+DN81-DW80,IF(A81&lt;'Données projet'!$A$166,$DL$205^A81,IF(A81='Données projet'!$A$166,'Données projet'!$B$166,DO80+DN81-DW80)))</f>
        <v>305.60000000000002</v>
      </c>
      <c r="DP81" s="18">
        <f>DO81*VLOOKUP('Données projet'!$B$14,Paramètres!$A$1:$I$89,3,0)*VLOOKUP('Données projet'!$B$14,Paramètres!$A$1:$I$89,5,0)</f>
        <v>295.57632000000001</v>
      </c>
      <c r="DQ81" s="14">
        <f t="shared" si="97"/>
        <v>70.24828996461811</v>
      </c>
      <c r="DR81" s="22">
        <f t="shared" si="70"/>
        <v>637.1445290217099</v>
      </c>
      <c r="DS81" s="62">
        <f t="shared" si="71"/>
        <v>907.06796705613613</v>
      </c>
      <c r="DT81" s="62">
        <f ca="1">AVERAGE(OFFSET($DS$3,0,0,'Données projet'!$E$14+1,1))-AVERAGE(OFFSET($H$3,0,0,'Données projet'!$E$14+1,1))</f>
        <v>603.52431522262032</v>
      </c>
      <c r="DU81" s="62">
        <f t="shared" si="98"/>
        <v>313.56299786481338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4.2</v>
      </c>
      <c r="EJ81" s="13">
        <f>IF('Données projet'!$A$192&gt;35,EJ80+EI81-ER80,IF(A81&lt;'Données projet'!$A$192,$EG$205^A81,IF(A81='Données projet'!$A$192,'Données projet'!$B$192,EJ80+EI81-ER80)))</f>
        <v>387.59999999999968</v>
      </c>
      <c r="EK81" s="18">
        <f>EJ81*VLOOKUP('Données projet'!$B$15,Paramètres!$A$1:$I$89,3,0)*VLOOKUP('Données projet'!$B$15,Paramètres!$A$1:$I$89,5,0)</f>
        <v>308.37455999999975</v>
      </c>
      <c r="EL81" s="14">
        <f t="shared" si="99"/>
        <v>72.929269813127945</v>
      </c>
      <c r="EM81" s="22">
        <f t="shared" si="73"/>
        <v>664.10417025786398</v>
      </c>
      <c r="EN81" s="62">
        <f t="shared" si="74"/>
        <v>934.02760829229021</v>
      </c>
      <c r="EO81" s="62">
        <f ca="1">AVERAGE(OFFSET($EN$3,0,0,'Données projet'!$E$15+1,1))-AVERAGE(OFFSET($H$3,0,0,'Données projet'!$E$15+1,1))</f>
        <v>450.93388191845378</v>
      </c>
      <c r="EP81" s="62">
        <f t="shared" si="100"/>
        <v>483.33635017129325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5.6843418860808015E-14</v>
      </c>
      <c r="FF81" s="18">
        <f>FE81*VLOOKUP('Données projet'!$B$16,Paramètres!$A$1:$I$89,3,0)*VLOOKUP('Données projet'!$B$16,Paramètres!$A$1:$I$89,5,0)</f>
        <v>4.4337866711430253E-14</v>
      </c>
      <c r="FG81" s="14">
        <f t="shared" si="101"/>
        <v>7.3222115536967035E-13</v>
      </c>
      <c r="FH81" s="22">
        <f t="shared" si="76"/>
        <v>1.3525069634579169E-12</v>
      </c>
      <c r="FI81" s="62">
        <f t="shared" si="77"/>
        <v>269.92343803442759</v>
      </c>
      <c r="FJ81" s="62">
        <f ca="1">AVERAGE(OFFSET($FI$3,0,0,'Données projet'!$E$16+1,1))-AVERAGE(OFFSET($H$3,0,0,'Données projet'!$E$16+1,1))</f>
        <v>309.21625451786218</v>
      </c>
      <c r="FK81" s="62">
        <f t="shared" si="102"/>
        <v>302.59481222418219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3.6</v>
      </c>
      <c r="N82" s="14">
        <f>IF('Données projet'!$A$36&gt;35,N81+M82-V81,IF(A82&lt;'Données projet'!$A$36,$K$205^A82,IF(A82='Données projet'!$A$36,'Données projet'!$B$36,N81+M82-V81)))</f>
        <v>338.39999999999975</v>
      </c>
      <c r="O82" s="14">
        <f>N82*VLOOKUP('Données projet'!$B$9,Paramètres!$A$1:$I$89,3,0)*VLOOKUP('Données projet'!$B$9,Paramètres!$A$1:$I$89,5,0)</f>
        <v>269.23103999999984</v>
      </c>
      <c r="P82" s="14">
        <f t="shared" si="87"/>
        <v>64.686049490098227</v>
      </c>
      <c r="Q82" s="22">
        <f t="shared" si="54"/>
        <v>581.57226419525409</v>
      </c>
      <c r="R82" s="62">
        <f t="shared" si="55"/>
        <v>851.9018115764311</v>
      </c>
      <c r="S82" s="62">
        <f ca="1">AVERAGE(OFFSET($R$3,0,0,'Données projet'!$E$9+1,1))-AVERAGE(OFFSET($H$3,0,0,'Données projet'!$E$9+1,1))</f>
        <v>394.70330963327166</v>
      </c>
      <c r="T82" s="62">
        <f t="shared" si="88"/>
        <v>424.06445894109982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5.6843418860808015E-14</v>
      </c>
      <c r="AJ82" s="14">
        <f>AI82*VLOOKUP('Données projet'!$B$10,Paramètres!$A$1:$I$89,3,0)*VLOOKUP('Données projet'!$B$10,Paramètres!$A$1:$I$89,5,0)</f>
        <v>4.6111381379887463E-14</v>
      </c>
      <c r="AK82" s="14">
        <f t="shared" si="89"/>
        <v>7.5804141040779151E-13</v>
      </c>
      <c r="AL82" s="22">
        <f t="shared" si="58"/>
        <v>1.4005661123635408E-12</v>
      </c>
      <c r="AM82" s="62">
        <f t="shared" si="59"/>
        <v>270.32954738117837</v>
      </c>
      <c r="AN82" s="62">
        <f ca="1">AVERAGE(OFFSET($AM$3,0,0,'Données projet'!$E$10+1,1))-AVERAGE(OFFSET($H$3,0,0,'Données projet'!$E$10+1,1))</f>
        <v>319.39055628111151</v>
      </c>
      <c r="AO82" s="62">
        <f t="shared" si="90"/>
        <v>312.22190035638084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2.4</v>
      </c>
      <c r="BD82" s="13">
        <f>IF('Données projet'!$A$88&gt;35,BD81+BC82-BL81,IF(A82&lt;'Données projet'!$A$88,$BA$205^A82,IF(A82='Données projet'!$A$88,'Données projet'!$B$88,BD81+BC82-BL81)))</f>
        <v>223.59999999999988</v>
      </c>
      <c r="BE82" s="14">
        <f>BD82*VLOOKUP('Données projet'!$B$11,Paramètres!$A$1:$I$89,3,0)*VLOOKUP('Données projet'!$B$11,Paramètres!$A$1:$I$89,5,0)</f>
        <v>163.94351999999992</v>
      </c>
      <c r="BF82" s="14">
        <f t="shared" si="91"/>
        <v>41.730722994826344</v>
      </c>
      <c r="BG82" s="22">
        <f t="shared" si="61"/>
        <v>358.2159732159891</v>
      </c>
      <c r="BH82" s="62">
        <f t="shared" si="62"/>
        <v>628.54552059716605</v>
      </c>
      <c r="BI82" s="62">
        <f ca="1">AVERAGE(OFFSET($BH$3,0,0,'Données projet'!$E$11+1,1))-AVERAGE(OFFSET($H$3,0,0,'Données projet'!$E$11+1,1))</f>
        <v>257.906524944431</v>
      </c>
      <c r="BJ82" s="62">
        <f t="shared" si="92"/>
        <v>274.70390601173563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-1.1368683772161603E-13</v>
      </c>
      <c r="BZ82" s="14">
        <f>BY82*VLOOKUP('Données projet'!$B$12,Paramètres!$A$1:$I$89,3,0)*VLOOKUP('Données projet'!$B$12,Paramètres!$A$1:$I$89,5,0)</f>
        <v>-9.2222762759774927E-14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272.69564942740931</v>
      </c>
      <c r="CE82" s="62">
        <f t="shared" si="94"/>
        <v>316.57989180609252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4.7435897435897463</v>
      </c>
      <c r="CT82" s="13">
        <f>IF('Données projet'!$A$140&gt;35,CT81+CS82-DB81,IF(A82&lt;'Données projet'!$A$140,$CQ$205^A82,IF(A82='Données projet'!$A$140,'Données projet'!$B$140,CT81+CS82-DB81)))</f>
        <v>281.15384615384613</v>
      </c>
      <c r="CU82" s="18">
        <f>CT82*VLOOKUP('Données projet'!$B$13,Paramètres!$A$1:$I$89,3,0)*VLOOKUP('Données projet'!$B$13,Paramètres!$A$1:$I$89,5,0)</f>
        <v>267.54599999999999</v>
      </c>
      <c r="CV82" s="14">
        <f t="shared" si="95"/>
        <v>64.328192127044773</v>
      </c>
      <c r="CW82" s="22">
        <f t="shared" si="67"/>
        <v>578.01421795460294</v>
      </c>
      <c r="CX82" s="62">
        <f t="shared" si="68"/>
        <v>848.34376533577984</v>
      </c>
      <c r="CY82" s="62">
        <f ca="1">AVERAGE(OFFSET($CX$3,0,0,'Données projet'!$E$13+1,1))-AVERAGE(OFFSET($H$3,0,0,'Données projet'!$E$13+1,1))</f>
        <v>491.87038198656927</v>
      </c>
      <c r="CZ82" s="62">
        <f t="shared" si="96"/>
        <v>406.49261644949559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7.2</v>
      </c>
      <c r="DO82" s="13">
        <f>IF('Données projet'!$A$166&gt;35,DO81+DN82-DW81,IF(A82&lt;'Données projet'!$A$166,$DL$205^A82,IF(A82='Données projet'!$A$166,'Données projet'!$B$166,DO81+DN82-DW81)))</f>
        <v>312.8</v>
      </c>
      <c r="DP82" s="18">
        <f>DO82*VLOOKUP('Données projet'!$B$14,Paramètres!$A$1:$I$89,3,0)*VLOOKUP('Données projet'!$B$14,Paramètres!$A$1:$I$89,5,0)</f>
        <v>302.54016000000001</v>
      </c>
      <c r="DQ82" s="14">
        <f t="shared" si="97"/>
        <v>71.708716984815311</v>
      </c>
      <c r="DR82" s="22">
        <f t="shared" si="70"/>
        <v>651.81679408188654</v>
      </c>
      <c r="DS82" s="62">
        <f t="shared" si="71"/>
        <v>922.14634146306344</v>
      </c>
      <c r="DT82" s="62">
        <f ca="1">AVERAGE(OFFSET($DS$3,0,0,'Données projet'!$E$14+1,1))-AVERAGE(OFFSET($H$3,0,0,'Données projet'!$E$14+1,1))</f>
        <v>603.52431522262032</v>
      </c>
      <c r="DU82" s="62">
        <f t="shared" si="98"/>
        <v>313.56299786481338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4.2</v>
      </c>
      <c r="EJ82" s="13">
        <f>IF('Données projet'!$A$192&gt;35,EJ81+EI82-ER81,IF(A82&lt;'Données projet'!$A$192,$EG$205^A82,IF(A82='Données projet'!$A$192,'Données projet'!$B$192,EJ81+EI82-ER81)))</f>
        <v>391.79999999999967</v>
      </c>
      <c r="EK82" s="18">
        <f>EJ82*VLOOKUP('Données projet'!$B$15,Paramètres!$A$1:$I$89,3,0)*VLOOKUP('Données projet'!$B$15,Paramètres!$A$1:$I$89,5,0)</f>
        <v>311.71607999999975</v>
      </c>
      <c r="EL82" s="14">
        <f t="shared" si="99"/>
        <v>73.627100750009134</v>
      </c>
      <c r="EM82" s="22">
        <f t="shared" si="73"/>
        <v>671.13937313959877</v>
      </c>
      <c r="EN82" s="62">
        <f t="shared" si="74"/>
        <v>941.46892052077578</v>
      </c>
      <c r="EO82" s="62">
        <f ca="1">AVERAGE(OFFSET($EN$3,0,0,'Données projet'!$E$15+1,1))-AVERAGE(OFFSET($H$3,0,0,'Données projet'!$E$15+1,1))</f>
        <v>450.93388191845378</v>
      </c>
      <c r="EP82" s="62">
        <f t="shared" si="100"/>
        <v>483.33635017129325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5.6843418860808015E-14</v>
      </c>
      <c r="FF82" s="18">
        <f>FE82*VLOOKUP('Données projet'!$B$16,Paramètres!$A$1:$I$89,3,0)*VLOOKUP('Données projet'!$B$16,Paramètres!$A$1:$I$89,5,0)</f>
        <v>4.4337866711430253E-14</v>
      </c>
      <c r="FG82" s="14">
        <f t="shared" si="101"/>
        <v>7.3222115536967035E-13</v>
      </c>
      <c r="FH82" s="22">
        <f t="shared" si="76"/>
        <v>1.3525069634579169E-12</v>
      </c>
      <c r="FI82" s="62">
        <f t="shared" si="77"/>
        <v>270.32954738117832</v>
      </c>
      <c r="FJ82" s="62">
        <f ca="1">AVERAGE(OFFSET($FI$3,0,0,'Données projet'!$E$16+1,1))-AVERAGE(OFFSET($H$3,0,0,'Données projet'!$E$16+1,1))</f>
        <v>309.21625451786218</v>
      </c>
      <c r="FK82" s="62">
        <f t="shared" si="102"/>
        <v>302.59481222418219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342</v>
      </c>
      <c r="L83" s="13">
        <f>VLOOKUP(A83,'Données projet'!$A$35:$I$55,9,0)</f>
        <v>3.6</v>
      </c>
      <c r="M83" s="13">
        <f t="array" ref="M83">INDEX(L:L,MIN(IF(ISNUMBER(L83:L279),ROW(L83:L279),"")))</f>
        <v>3.6</v>
      </c>
      <c r="N83" s="14">
        <f>IF('Données projet'!$A$36&gt;35,N82+M83-V82,IF(A83&lt;'Données projet'!$A$36,$K$205^A83,IF(A83='Données projet'!$A$36,'Données projet'!$B$36,N82+M83-V82)))</f>
        <v>341.99999999999977</v>
      </c>
      <c r="O83" s="14">
        <f>N83*VLOOKUP('Données projet'!$B$9,Paramètres!$A$1:$I$89,3,0)*VLOOKUP('Données projet'!$B$9,Paramètres!$A$1:$I$89,5,0)</f>
        <v>272.09519999999981</v>
      </c>
      <c r="P83" s="14">
        <f t="shared" si="87"/>
        <v>65.293723364568379</v>
      </c>
      <c r="Q83" s="22">
        <f t="shared" si="54"/>
        <v>587.61904152662294</v>
      </c>
      <c r="R83" s="62">
        <f t="shared" si="55"/>
        <v>858.34765316530911</v>
      </c>
      <c r="S83" s="62">
        <f ca="1">AVERAGE(OFFSET($R$3,0,0,'Données projet'!$E$9+1,1))-AVERAGE(OFFSET($H$3,0,0,'Données projet'!$E$9+1,1))</f>
        <v>394.70330963327166</v>
      </c>
      <c r="T83" s="62">
        <f t="shared" si="88"/>
        <v>424.06445894109982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342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5.6843418860808015E-14</v>
      </c>
      <c r="AJ83" s="14">
        <f>AI83*VLOOKUP('Données projet'!$B$10,Paramètres!$A$1:$I$89,3,0)*VLOOKUP('Données projet'!$B$10,Paramètres!$A$1:$I$89,5,0)</f>
        <v>4.6111381379887463E-14</v>
      </c>
      <c r="AK83" s="14">
        <f t="shared" si="89"/>
        <v>7.5804141040779151E-13</v>
      </c>
      <c r="AL83" s="22">
        <f t="shared" si="58"/>
        <v>1.4005661123635408E-12</v>
      </c>
      <c r="AM83" s="62">
        <f t="shared" si="59"/>
        <v>270.72861163868754</v>
      </c>
      <c r="AN83" s="62">
        <f ca="1">AVERAGE(OFFSET($AM$3,0,0,'Données projet'!$E$10+1,1))-AVERAGE(OFFSET($H$3,0,0,'Données projet'!$E$10+1,1))</f>
        <v>319.39055628111151</v>
      </c>
      <c r="AO83" s="62">
        <f t="shared" si="90"/>
        <v>312.22190035638084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226</v>
      </c>
      <c r="BB83" s="13">
        <f>VLOOKUP(A83,'Données projet'!$A$87:$I$107,9,0)</f>
        <v>2.4</v>
      </c>
      <c r="BC83" s="13">
        <f t="array" ref="BC83">INDEX(BB:BB,MIN(IF(ISNUMBER(BB83:BB279),ROW(BB83:BB279),"")))</f>
        <v>2.4</v>
      </c>
      <c r="BD83" s="13">
        <f>IF('Données projet'!$A$88&gt;35,BD82+BC83-BL82,IF(A83&lt;'Données projet'!$A$88,$BA$205^A83,IF(A83='Données projet'!$A$88,'Données projet'!$B$88,BD82+BC83-BL82)))</f>
        <v>225.99999999999989</v>
      </c>
      <c r="BE83" s="14">
        <f>BD83*VLOOKUP('Données projet'!$B$11,Paramètres!$A$1:$I$89,3,0)*VLOOKUP('Données projet'!$B$11,Paramètres!$A$1:$I$89,5,0)</f>
        <v>165.70319999999992</v>
      </c>
      <c r="BF83" s="14">
        <f t="shared" si="91"/>
        <v>42.126254201367267</v>
      </c>
      <c r="BG83" s="22">
        <f t="shared" si="61"/>
        <v>361.96963273404782</v>
      </c>
      <c r="BH83" s="62">
        <f t="shared" si="62"/>
        <v>632.69824437273394</v>
      </c>
      <c r="BI83" s="62">
        <f ca="1">AVERAGE(OFFSET($BH$3,0,0,'Données projet'!$E$11+1,1))-AVERAGE(OFFSET($H$3,0,0,'Données projet'!$E$11+1,1))</f>
        <v>257.906524944431</v>
      </c>
      <c r="BJ83" s="62">
        <f t="shared" si="92"/>
        <v>274.70390601173563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226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-1.1368683772161603E-13</v>
      </c>
      <c r="BZ83" s="14">
        <f>BY83*VLOOKUP('Données projet'!$B$12,Paramètres!$A$1:$I$89,3,0)*VLOOKUP('Données projet'!$B$12,Paramètres!$A$1:$I$89,5,0)</f>
        <v>-9.2222762759774927E-14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272.69564942740931</v>
      </c>
      <c r="CE83" s="62">
        <f t="shared" si="94"/>
        <v>316.57989180609252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285.89743589743591</v>
      </c>
      <c r="CR83" s="13">
        <f>VLOOKUP(A83,'Données projet'!$A$139:$I$159,9,0)</f>
        <v>4.7435897435897463</v>
      </c>
      <c r="CS83" s="13">
        <f t="array" ref="CS83">INDEX(CR:CR,MIN(IF(ISNUMBER(CR83:CR279),ROW(CR83:CR279),"")))</f>
        <v>4.7435897435897463</v>
      </c>
      <c r="CT83" s="13">
        <f>IF('Données projet'!$A$140&gt;35,CT82+CS83-DB82,IF(A83&lt;'Données projet'!$A$140,$CQ$205^A83,IF(A83='Données projet'!$A$140,'Données projet'!$B$140,CT82+CS83-DB82)))</f>
        <v>285.89743589743586</v>
      </c>
      <c r="CU83" s="18">
        <f>CT83*VLOOKUP('Données projet'!$B$13,Paramètres!$A$1:$I$89,3,0)*VLOOKUP('Données projet'!$B$13,Paramètres!$A$1:$I$89,5,0)</f>
        <v>272.05999999999995</v>
      </c>
      <c r="CV83" s="14">
        <f t="shared" si="95"/>
        <v>65.286259698592175</v>
      </c>
      <c r="CW83" s="22">
        <f t="shared" si="67"/>
        <v>587.54473564171451</v>
      </c>
      <c r="CX83" s="62">
        <f t="shared" si="68"/>
        <v>858.27334728040069</v>
      </c>
      <c r="CY83" s="62">
        <f ca="1">AVERAGE(OFFSET($CX$3,0,0,'Données projet'!$E$13+1,1))-AVERAGE(OFFSET($H$3,0,0,'Données projet'!$E$13+1,1))</f>
        <v>491.87038198656927</v>
      </c>
      <c r="CZ83" s="62">
        <f t="shared" si="96"/>
        <v>406.49261644949559</v>
      </c>
      <c r="DA83" s="16">
        <f>IF(ISNA(VLOOKUP(A83,'Données projet'!$A$139:$I$159,3,0)),0,VLOOKUP(A83,'Données projet'!$A$139:$I$159,3,0))</f>
        <v>7</v>
      </c>
      <c r="DB83" s="16">
        <f>IF(ISNA(VLOOKUP(A83,'Données projet'!$A$139:$I$159,4,0)),0,VLOOKUP(A83,'Données projet'!$A$139:$I$159,4,0))</f>
        <v>33.974358974358971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320</v>
      </c>
      <c r="DM83" s="13">
        <f>VLOOKUP(A83,'Données projet'!$A$165:$I$185,9,0)</f>
        <v>7.2</v>
      </c>
      <c r="DN83" s="13">
        <f t="array" ref="DN83">INDEX(DM:DM,MIN(IF(ISNUMBER(DM83:DM279),ROW(DM83:DM279),"")))</f>
        <v>7.2</v>
      </c>
      <c r="DO83" s="13">
        <f>IF('Données projet'!$A$166&gt;35,DO82+DN83-DW82,IF(A83&lt;'Données projet'!$A$166,$DL$205^A83,IF(A83='Données projet'!$A$166,'Données projet'!$B$166,DO82+DN83-DW82)))</f>
        <v>320</v>
      </c>
      <c r="DP83" s="18">
        <f>DO83*VLOOKUP('Données projet'!$B$14,Paramètres!$A$1:$I$89,3,0)*VLOOKUP('Données projet'!$B$14,Paramètres!$A$1:$I$89,5,0)</f>
        <v>309.50400000000002</v>
      </c>
      <c r="DQ83" s="14">
        <f t="shared" si="97"/>
        <v>73.165235978896504</v>
      </c>
      <c r="DR83" s="22">
        <f t="shared" si="70"/>
        <v>666.48225266324471</v>
      </c>
      <c r="DS83" s="62">
        <f t="shared" si="71"/>
        <v>937.21086430193077</v>
      </c>
      <c r="DT83" s="62">
        <f ca="1">AVERAGE(OFFSET($DS$3,0,0,'Données projet'!$E$14+1,1))-AVERAGE(OFFSET($H$3,0,0,'Données projet'!$E$14+1,1))</f>
        <v>603.52431522262032</v>
      </c>
      <c r="DU83" s="62">
        <f t="shared" si="98"/>
        <v>313.56299786481338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396</v>
      </c>
      <c r="EH83" s="13">
        <f>VLOOKUP(A83,'Données projet'!$A$191:$I$211,9,0)</f>
        <v>4.2</v>
      </c>
      <c r="EI83" s="13">
        <f t="array" ref="EI83">INDEX(EH:EH,MIN(IF(ISNUMBER(EH83:EH279),ROW(EH83:EH279),"")))</f>
        <v>4.2</v>
      </c>
      <c r="EJ83" s="13">
        <f>IF('Données projet'!$A$192&gt;35,EJ82+EI83-ER82,IF(A83&lt;'Données projet'!$A$192,$EG$205^A83,IF(A83='Données projet'!$A$192,'Données projet'!$B$192,EJ82+EI83-ER82)))</f>
        <v>395.99999999999966</v>
      </c>
      <c r="EK83" s="18">
        <f>EJ83*VLOOKUP('Données projet'!$B$15,Paramètres!$A$1:$I$89,3,0)*VLOOKUP('Données projet'!$B$15,Paramètres!$A$1:$I$89,5,0)</f>
        <v>315.05759999999975</v>
      </c>
      <c r="EL83" s="14">
        <f t="shared" si="99"/>
        <v>74.324061473160583</v>
      </c>
      <c r="EM83" s="22">
        <f t="shared" si="73"/>
        <v>678.17306039908749</v>
      </c>
      <c r="EN83" s="62">
        <f t="shared" si="74"/>
        <v>948.90167203777355</v>
      </c>
      <c r="EO83" s="62">
        <f ca="1">AVERAGE(OFFSET($EN$3,0,0,'Données projet'!$E$15+1,1))-AVERAGE(OFFSET($H$3,0,0,'Données projet'!$E$15+1,1))</f>
        <v>450.93388191845378</v>
      </c>
      <c r="EP83" s="62">
        <f t="shared" si="100"/>
        <v>483.33635017129325</v>
      </c>
      <c r="EQ83" s="16">
        <f>IF(ISNA(VLOOKUP(A83,'Données projet'!$A$191:$I$211,3,0)),0,VLOOKUP(A83,'Données projet'!$A$191:$I$211,3,0))</f>
        <v>7</v>
      </c>
      <c r="ER83" s="16">
        <f>IF(ISNA(VLOOKUP(A83,'Données projet'!$A$191:$I$211,4,0)),0,VLOOKUP(A83,'Données projet'!$A$191:$I$211,4,0))</f>
        <v>396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5.6843418860808015E-14</v>
      </c>
      <c r="FF83" s="18">
        <f>FE83*VLOOKUP('Données projet'!$B$16,Paramètres!$A$1:$I$89,3,0)*VLOOKUP('Données projet'!$B$16,Paramètres!$A$1:$I$89,5,0)</f>
        <v>4.4337866711430253E-14</v>
      </c>
      <c r="FG83" s="14">
        <f t="shared" si="101"/>
        <v>7.3222115536967035E-13</v>
      </c>
      <c r="FH83" s="22">
        <f t="shared" si="76"/>
        <v>1.3525069634579169E-12</v>
      </c>
      <c r="FI83" s="62">
        <f t="shared" si="77"/>
        <v>270.72861163868748</v>
      </c>
      <c r="FJ83" s="62">
        <f ca="1">AVERAGE(OFFSET($FI$3,0,0,'Données projet'!$E$16+1,1))-AVERAGE(OFFSET($H$3,0,0,'Données projet'!$E$16+1,1))</f>
        <v>309.21625451786218</v>
      </c>
      <c r="FK83" s="62">
        <f t="shared" si="102"/>
        <v>302.59481222418219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-2.2737367544323206E-13</v>
      </c>
      <c r="O84" s="14">
        <f>N84*VLOOKUP('Données projet'!$B$9,Paramètres!$A$1:$I$89,3,0)*VLOOKUP('Données projet'!$B$9,Paramètres!$A$1:$I$89,5,0)</f>
        <v>-1.8089849618263545E-13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394.70330963327166</v>
      </c>
      <c r="T84" s="62">
        <f t="shared" si="88"/>
        <v>424.06445894109982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projet'!$B$10,Paramètres!$A$1:$I$89,3,0)*VLOOKUP('Données projet'!$B$10,Paramètres!$A$1:$I$89,5,0)</f>
        <v>4.6111381379887463E-14</v>
      </c>
      <c r="AK84" s="14">
        <f t="shared" si="89"/>
        <v>7.5804141040779151E-13</v>
      </c>
      <c r="AL84" s="22">
        <f t="shared" si="58"/>
        <v>1.4005661123635408E-12</v>
      </c>
      <c r="AM84" s="62">
        <f t="shared" si="59"/>
        <v>271.12075302350286</v>
      </c>
      <c r="AN84" s="62">
        <f ca="1">AVERAGE(OFFSET($AM$3,0,0,'Données projet'!$E$10+1,1))-AVERAGE(OFFSET($H$3,0,0,'Données projet'!$E$10+1,1))</f>
        <v>319.39055628111151</v>
      </c>
      <c r="AO84" s="62">
        <f t="shared" si="90"/>
        <v>312.22190035638084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-1.1368683772161603E-13</v>
      </c>
      <c r="BE84" s="14">
        <f>BD84*VLOOKUP('Données projet'!$B$11,Paramètres!$A$1:$I$89,3,0)*VLOOKUP('Données projet'!$B$11,Paramètres!$A$1:$I$89,5,0)</f>
        <v>-8.3355189417488869E-14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257.906524944431</v>
      </c>
      <c r="BJ84" s="62">
        <f t="shared" si="92"/>
        <v>274.70390601173563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-1.1368683772161603E-13</v>
      </c>
      <c r="BZ84" s="14">
        <f>BY84*VLOOKUP('Données projet'!$B$12,Paramètres!$A$1:$I$89,3,0)*VLOOKUP('Données projet'!$B$12,Paramètres!$A$1:$I$89,5,0)</f>
        <v>-9.2222762759774927E-14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272.69564942740931</v>
      </c>
      <c r="CE84" s="62">
        <f t="shared" si="94"/>
        <v>316.57989180609252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4.6153846153846132</v>
      </c>
      <c r="CT84" s="13">
        <f>IF('Données projet'!$A$140&gt;35,CT83+CS84-DB83,IF(A84&lt;'Données projet'!$A$140,$CQ$205^A84,IF(A84='Données projet'!$A$140,'Données projet'!$B$140,CT83+CS84-DB83)))</f>
        <v>256.53846153846149</v>
      </c>
      <c r="CU84" s="18">
        <f>CT84*VLOOKUP('Données projet'!$B$13,Paramètres!$A$1:$I$89,3,0)*VLOOKUP('Données projet'!$B$13,Paramètres!$A$1:$I$89,5,0)</f>
        <v>244.12199999999996</v>
      </c>
      <c r="CV84" s="14">
        <f t="shared" si="95"/>
        <v>59.32551797678866</v>
      </c>
      <c r="CW84" s="22">
        <f t="shared" si="67"/>
        <v>528.50442714290682</v>
      </c>
      <c r="CX84" s="62">
        <f t="shared" si="68"/>
        <v>799.6251801664082</v>
      </c>
      <c r="CY84" s="62">
        <f ca="1">AVERAGE(OFFSET($CX$3,0,0,'Données projet'!$E$13+1,1))-AVERAGE(OFFSET($H$3,0,0,'Données projet'!$E$13+1,1))</f>
        <v>491.87038198656927</v>
      </c>
      <c r="CZ84" s="62">
        <f t="shared" si="96"/>
        <v>406.49261644949559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6.6</v>
      </c>
      <c r="DO84" s="13">
        <f>IF('Données projet'!$A$166&gt;35,DO83+DN84-DW83,IF(A84&lt;'Données projet'!$A$166,$DL$205^A84,IF(A84='Données projet'!$A$166,'Données projet'!$B$166,DO83+DN84-DW83)))</f>
        <v>326.60000000000002</v>
      </c>
      <c r="DP84" s="18">
        <f>DO84*VLOOKUP('Données projet'!$B$14,Paramètres!$A$1:$I$89,3,0)*VLOOKUP('Données projet'!$B$14,Paramètres!$A$1:$I$89,5,0)</f>
        <v>315.88752000000005</v>
      </c>
      <c r="DQ84" s="14">
        <f t="shared" si="97"/>
        <v>74.497029125126971</v>
      </c>
      <c r="DR84" s="22">
        <f t="shared" si="70"/>
        <v>679.91975639292957</v>
      </c>
      <c r="DS84" s="62">
        <f t="shared" si="71"/>
        <v>951.04050941643095</v>
      </c>
      <c r="DT84" s="62">
        <f ca="1">AVERAGE(OFFSET($DS$3,0,0,'Données projet'!$E$14+1,1))-AVERAGE(OFFSET($H$3,0,0,'Données projet'!$E$14+1,1))</f>
        <v>603.52431522262032</v>
      </c>
      <c r="DU84" s="62">
        <f t="shared" si="98"/>
        <v>313.56299786481338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-3.4106051316484809E-13</v>
      </c>
      <c r="EK84" s="18">
        <f>EJ84*VLOOKUP('Données projet'!$B$15,Paramètres!$A$1:$I$89,3,0)*VLOOKUP('Données projet'!$B$15,Paramètres!$A$1:$I$89,5,0)</f>
        <v>-2.7134774427395314E-13</v>
      </c>
      <c r="EL84" s="14" t="e">
        <f t="shared" si="99"/>
        <v>#NUM!</v>
      </c>
      <c r="EM84" s="22" t="e">
        <f t="shared" si="73"/>
        <v>#NUM!</v>
      </c>
      <c r="EN84" s="62" t="e">
        <f t="shared" si="74"/>
        <v>#NUM!</v>
      </c>
      <c r="EO84" s="62">
        <f ca="1">AVERAGE(OFFSET($EN$3,0,0,'Données projet'!$E$15+1,1))-AVERAGE(OFFSET($H$3,0,0,'Données projet'!$E$15+1,1))</f>
        <v>450.93388191845378</v>
      </c>
      <c r="EP84" s="62">
        <f t="shared" si="100"/>
        <v>483.33635017129325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5.6843418860808015E-14</v>
      </c>
      <c r="FF84" s="18">
        <f>FE84*VLOOKUP('Données projet'!$B$16,Paramètres!$A$1:$I$89,3,0)*VLOOKUP('Données projet'!$B$16,Paramètres!$A$1:$I$89,5,0)</f>
        <v>4.4337866711430253E-14</v>
      </c>
      <c r="FG84" s="14">
        <f t="shared" si="101"/>
        <v>7.3222115536967035E-13</v>
      </c>
      <c r="FH84" s="22">
        <f t="shared" si="76"/>
        <v>1.3525069634579169E-12</v>
      </c>
      <c r="FI84" s="62">
        <f t="shared" si="77"/>
        <v>271.1207530235028</v>
      </c>
      <c r="FJ84" s="62">
        <f ca="1">AVERAGE(OFFSET($FI$3,0,0,'Données projet'!$E$16+1,1))-AVERAGE(OFFSET($H$3,0,0,'Données projet'!$E$16+1,1))</f>
        <v>309.21625451786218</v>
      </c>
      <c r="FK84" s="62">
        <f t="shared" si="102"/>
        <v>302.59481222418219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-2.2737367544323206E-13</v>
      </c>
      <c r="O85" s="14">
        <f>N85*VLOOKUP('Données projet'!$B$9,Paramètres!$A$1:$I$89,3,0)*VLOOKUP('Données projet'!$B$9,Paramètres!$A$1:$I$89,5,0)</f>
        <v>-1.8089849618263545E-13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394.70330963327166</v>
      </c>
      <c r="T85" s="62">
        <f t="shared" si="88"/>
        <v>424.06445894109982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projet'!$B$10,Paramètres!$A$1:$I$89,3,0)*VLOOKUP('Données projet'!$B$10,Paramètres!$A$1:$I$89,5,0)</f>
        <v>4.6111381379887463E-14</v>
      </c>
      <c r="AK85" s="14">
        <f t="shared" si="89"/>
        <v>7.5804141040779151E-13</v>
      </c>
      <c r="AL85" s="22">
        <f t="shared" si="58"/>
        <v>1.4005661123635408E-12</v>
      </c>
      <c r="AM85" s="62">
        <f t="shared" si="59"/>
        <v>271.50609163198845</v>
      </c>
      <c r="AN85" s="62">
        <f ca="1">AVERAGE(OFFSET($AM$3,0,0,'Données projet'!$E$10+1,1))-AVERAGE(OFFSET($H$3,0,0,'Données projet'!$E$10+1,1))</f>
        <v>319.39055628111151</v>
      </c>
      <c r="AO85" s="62">
        <f t="shared" si="90"/>
        <v>312.22190035638084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-1.1368683772161603E-13</v>
      </c>
      <c r="BE85" s="14">
        <f>BD85*VLOOKUP('Données projet'!$B$11,Paramètres!$A$1:$I$89,3,0)*VLOOKUP('Données projet'!$B$11,Paramètres!$A$1:$I$89,5,0)</f>
        <v>-8.3355189417488869E-14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257.906524944431</v>
      </c>
      <c r="BJ85" s="62">
        <f t="shared" si="92"/>
        <v>274.70390601173563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-1.1368683772161603E-13</v>
      </c>
      <c r="BZ85" s="14">
        <f>BY85*VLOOKUP('Données projet'!$B$12,Paramètres!$A$1:$I$89,3,0)*VLOOKUP('Données projet'!$B$12,Paramètres!$A$1:$I$89,5,0)</f>
        <v>-9.2222762759774927E-14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272.69564942740931</v>
      </c>
      <c r="CE85" s="62">
        <f t="shared" si="94"/>
        <v>316.57989180609252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4.6153846153846132</v>
      </c>
      <c r="CT85" s="13">
        <f>IF('Données projet'!$A$140&gt;35,CT84+CS85-DB84,IF(A85&lt;'Données projet'!$A$140,$CQ$205^A85,IF(A85='Données projet'!$A$140,'Données projet'!$B$140,CT84+CS85-DB84)))</f>
        <v>261.15384615384608</v>
      </c>
      <c r="CU85" s="18">
        <f>CT85*VLOOKUP('Données projet'!$B$13,Paramètres!$A$1:$I$89,3,0)*VLOOKUP('Données projet'!$B$13,Paramètres!$A$1:$I$89,5,0)</f>
        <v>248.51399999999992</v>
      </c>
      <c r="CV85" s="14">
        <f t="shared" si="95"/>
        <v>60.267625993420467</v>
      </c>
      <c r="CW85" s="22">
        <f t="shared" si="67"/>
        <v>537.79466527187378</v>
      </c>
      <c r="CX85" s="62">
        <f t="shared" si="68"/>
        <v>809.30075690386082</v>
      </c>
      <c r="CY85" s="62">
        <f ca="1">AVERAGE(OFFSET($CX$3,0,0,'Données projet'!$E$13+1,1))-AVERAGE(OFFSET($H$3,0,0,'Données projet'!$E$13+1,1))</f>
        <v>491.87038198656927</v>
      </c>
      <c r="CZ85" s="62">
        <f t="shared" si="96"/>
        <v>406.49261644949559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6.6</v>
      </c>
      <c r="DO85" s="13">
        <f>IF('Données projet'!$A$166&gt;35,DO84+DN85-DW84,IF(A85&lt;'Données projet'!$A$166,$DL$205^A85,IF(A85='Données projet'!$A$166,'Données projet'!$B$166,DO84+DN85-DW84)))</f>
        <v>333.20000000000005</v>
      </c>
      <c r="DP85" s="18">
        <f>DO85*VLOOKUP('Données projet'!$B$14,Paramètres!$A$1:$I$89,3,0)*VLOOKUP('Données projet'!$B$14,Paramètres!$A$1:$I$89,5,0)</f>
        <v>322.27104000000008</v>
      </c>
      <c r="DQ85" s="14">
        <f t="shared" si="97"/>
        <v>75.825693037097167</v>
      </c>
      <c r="DR85" s="22">
        <f t="shared" si="70"/>
        <v>693.35181003961088</v>
      </c>
      <c r="DS85" s="62">
        <f t="shared" si="71"/>
        <v>964.85790167159792</v>
      </c>
      <c r="DT85" s="62">
        <f ca="1">AVERAGE(OFFSET($DS$3,0,0,'Données projet'!$E$14+1,1))-AVERAGE(OFFSET($H$3,0,0,'Données projet'!$E$14+1,1))</f>
        <v>603.52431522262032</v>
      </c>
      <c r="DU85" s="62">
        <f t="shared" si="98"/>
        <v>313.56299786481338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-3.4106051316484809E-13</v>
      </c>
      <c r="EK85" s="18">
        <f>EJ85*VLOOKUP('Données projet'!$B$15,Paramètres!$A$1:$I$89,3,0)*VLOOKUP('Données projet'!$B$15,Paramètres!$A$1:$I$89,5,0)</f>
        <v>-2.7134774427395314E-13</v>
      </c>
      <c r="EL85" s="14" t="e">
        <f t="shared" si="99"/>
        <v>#NUM!</v>
      </c>
      <c r="EM85" s="22" t="e">
        <f t="shared" si="73"/>
        <v>#NUM!</v>
      </c>
      <c r="EN85" s="62" t="e">
        <f t="shared" si="74"/>
        <v>#NUM!</v>
      </c>
      <c r="EO85" s="62">
        <f ca="1">AVERAGE(OFFSET($EN$3,0,0,'Données projet'!$E$15+1,1))-AVERAGE(OFFSET($H$3,0,0,'Données projet'!$E$15+1,1))</f>
        <v>450.93388191845378</v>
      </c>
      <c r="EP85" s="62">
        <f t="shared" si="100"/>
        <v>483.33635017129325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5.6843418860808015E-14</v>
      </c>
      <c r="FF85" s="18">
        <f>FE85*VLOOKUP('Données projet'!$B$16,Paramètres!$A$1:$I$89,3,0)*VLOOKUP('Données projet'!$B$16,Paramètres!$A$1:$I$89,5,0)</f>
        <v>4.4337866711430253E-14</v>
      </c>
      <c r="FG85" s="14">
        <f t="shared" si="101"/>
        <v>7.3222115536967035E-13</v>
      </c>
      <c r="FH85" s="22">
        <f t="shared" si="76"/>
        <v>1.3525069634579169E-12</v>
      </c>
      <c r="FI85" s="62">
        <f t="shared" si="77"/>
        <v>271.5060916319884</v>
      </c>
      <c r="FJ85" s="62">
        <f ca="1">AVERAGE(OFFSET($FI$3,0,0,'Données projet'!$E$16+1,1))-AVERAGE(OFFSET($H$3,0,0,'Données projet'!$E$16+1,1))</f>
        <v>309.21625451786218</v>
      </c>
      <c r="FK85" s="62">
        <f t="shared" si="102"/>
        <v>302.59481222418219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-2.2737367544323206E-13</v>
      </c>
      <c r="O86" s="14">
        <f>N86*VLOOKUP('Données projet'!$B$9,Paramètres!$A$1:$I$89,3,0)*VLOOKUP('Données projet'!$B$9,Paramètres!$A$1:$I$89,5,0)</f>
        <v>-1.8089849618263545E-13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394.70330963327166</v>
      </c>
      <c r="T86" s="62">
        <f t="shared" si="88"/>
        <v>424.06445894109982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projet'!$B$10,Paramètres!$A$1:$I$89,3,0)*VLOOKUP('Données projet'!$B$10,Paramètres!$A$1:$I$89,5,0)</f>
        <v>4.6111381379887463E-14</v>
      </c>
      <c r="AK86" s="14">
        <f t="shared" si="89"/>
        <v>7.5804141040779151E-13</v>
      </c>
      <c r="AL86" s="22">
        <f t="shared" si="58"/>
        <v>1.4005661123635408E-12</v>
      </c>
      <c r="AM86" s="62">
        <f t="shared" si="59"/>
        <v>271.8847454771049</v>
      </c>
      <c r="AN86" s="62">
        <f ca="1">AVERAGE(OFFSET($AM$3,0,0,'Données projet'!$E$10+1,1))-AVERAGE(OFFSET($H$3,0,0,'Données projet'!$E$10+1,1))</f>
        <v>319.39055628111151</v>
      </c>
      <c r="AO86" s="62">
        <f t="shared" si="90"/>
        <v>312.22190035638084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-1.1368683772161603E-13</v>
      </c>
      <c r="BE86" s="14">
        <f>BD86*VLOOKUP('Données projet'!$B$11,Paramètres!$A$1:$I$89,3,0)*VLOOKUP('Données projet'!$B$11,Paramètres!$A$1:$I$89,5,0)</f>
        <v>-8.3355189417488869E-14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257.906524944431</v>
      </c>
      <c r="BJ86" s="62">
        <f t="shared" si="92"/>
        <v>274.70390601173563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-1.1368683772161603E-13</v>
      </c>
      <c r="BZ86" s="14">
        <f>BY86*VLOOKUP('Données projet'!$B$12,Paramètres!$A$1:$I$89,3,0)*VLOOKUP('Données projet'!$B$12,Paramètres!$A$1:$I$89,5,0)</f>
        <v>-9.2222762759774927E-14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272.69564942740931</v>
      </c>
      <c r="CE86" s="62">
        <f t="shared" si="94"/>
        <v>316.57989180609252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4.6153846153846132</v>
      </c>
      <c r="CT86" s="13">
        <f>IF('Données projet'!$A$140&gt;35,CT85+CS86-DB85,IF(A86&lt;'Données projet'!$A$140,$CQ$205^A86,IF(A86='Données projet'!$A$140,'Données projet'!$B$140,CT85+CS86-DB85)))</f>
        <v>265.76923076923072</v>
      </c>
      <c r="CU86" s="18">
        <f>CT86*VLOOKUP('Données projet'!$B$13,Paramètres!$A$1:$I$89,3,0)*VLOOKUP('Données projet'!$B$13,Paramètres!$A$1:$I$89,5,0)</f>
        <v>252.90599999999995</v>
      </c>
      <c r="CV86" s="14">
        <f t="shared" si="95"/>
        <v>61.207797844779009</v>
      </c>
      <c r="CW86" s="22">
        <f t="shared" si="67"/>
        <v>547.08153124632327</v>
      </c>
      <c r="CX86" s="62">
        <f t="shared" si="68"/>
        <v>818.96627672342674</v>
      </c>
      <c r="CY86" s="62">
        <f ca="1">AVERAGE(OFFSET($CX$3,0,0,'Données projet'!$E$13+1,1))-AVERAGE(OFFSET($H$3,0,0,'Données projet'!$E$13+1,1))</f>
        <v>491.87038198656927</v>
      </c>
      <c r="CZ86" s="62">
        <f t="shared" si="96"/>
        <v>406.49261644949559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6.6</v>
      </c>
      <c r="DO86" s="13">
        <f>IF('Données projet'!$A$166&gt;35,DO85+DN86-DW85,IF(A86&lt;'Données projet'!$A$166,$DL$205^A86,IF(A86='Données projet'!$A$166,'Données projet'!$B$166,DO85+DN86-DW85)))</f>
        <v>339.80000000000007</v>
      </c>
      <c r="DP86" s="18">
        <f>DO86*VLOOKUP('Données projet'!$B$14,Paramètres!$A$1:$I$89,3,0)*VLOOKUP('Données projet'!$B$14,Paramètres!$A$1:$I$89,5,0)</f>
        <v>328.65456000000006</v>
      </c>
      <c r="DQ86" s="14">
        <f t="shared" si="97"/>
        <v>77.151296842743776</v>
      </c>
      <c r="DR86" s="22">
        <f t="shared" si="70"/>
        <v>706.77853400111223</v>
      </c>
      <c r="DS86" s="62">
        <f t="shared" si="71"/>
        <v>978.66327947821571</v>
      </c>
      <c r="DT86" s="62">
        <f ca="1">AVERAGE(OFFSET($DS$3,0,0,'Données projet'!$E$14+1,1))-AVERAGE(OFFSET($H$3,0,0,'Données projet'!$E$14+1,1))</f>
        <v>603.52431522262032</v>
      </c>
      <c r="DU86" s="62">
        <f t="shared" si="98"/>
        <v>313.56299786481338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-3.4106051316484809E-13</v>
      </c>
      <c r="EK86" s="18">
        <f>EJ86*VLOOKUP('Données projet'!$B$15,Paramètres!$A$1:$I$89,3,0)*VLOOKUP('Données projet'!$B$15,Paramètres!$A$1:$I$89,5,0)</f>
        <v>-2.7134774427395314E-13</v>
      </c>
      <c r="EL86" s="14" t="e">
        <f t="shared" si="99"/>
        <v>#NUM!</v>
      </c>
      <c r="EM86" s="22" t="e">
        <f t="shared" si="73"/>
        <v>#NUM!</v>
      </c>
      <c r="EN86" s="62" t="e">
        <f t="shared" si="74"/>
        <v>#NUM!</v>
      </c>
      <c r="EO86" s="62">
        <f ca="1">AVERAGE(OFFSET($EN$3,0,0,'Données projet'!$E$15+1,1))-AVERAGE(OFFSET($H$3,0,0,'Données projet'!$E$15+1,1))</f>
        <v>450.93388191845378</v>
      </c>
      <c r="EP86" s="62">
        <f t="shared" si="100"/>
        <v>483.33635017129325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5.6843418860808015E-14</v>
      </c>
      <c r="FF86" s="18">
        <f>FE86*VLOOKUP('Données projet'!$B$16,Paramètres!$A$1:$I$89,3,0)*VLOOKUP('Données projet'!$B$16,Paramètres!$A$1:$I$89,5,0)</f>
        <v>4.4337866711430253E-14</v>
      </c>
      <c r="FG86" s="14">
        <f t="shared" si="101"/>
        <v>7.3222115536967035E-13</v>
      </c>
      <c r="FH86" s="22">
        <f t="shared" si="76"/>
        <v>1.3525069634579169E-12</v>
      </c>
      <c r="FI86" s="62">
        <f t="shared" si="77"/>
        <v>271.88474547710484</v>
      </c>
      <c r="FJ86" s="62">
        <f ca="1">AVERAGE(OFFSET($FI$3,0,0,'Données projet'!$E$16+1,1))-AVERAGE(OFFSET($H$3,0,0,'Données projet'!$E$16+1,1))</f>
        <v>309.21625451786218</v>
      </c>
      <c r="FK86" s="62">
        <f t="shared" si="102"/>
        <v>302.59481222418219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-2.2737367544323206E-13</v>
      </c>
      <c r="O87" s="14">
        <f>N87*VLOOKUP('Données projet'!$B$9,Paramètres!$A$1:$I$89,3,0)*VLOOKUP('Données projet'!$B$9,Paramètres!$A$1:$I$89,5,0)</f>
        <v>-1.8089849618263545E-13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394.70330963327166</v>
      </c>
      <c r="T87" s="62">
        <f t="shared" si="88"/>
        <v>424.06445894109982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projet'!$B$10,Paramètres!$A$1:$I$89,3,0)*VLOOKUP('Données projet'!$B$10,Paramètres!$A$1:$I$89,5,0)</f>
        <v>4.6111381379887463E-14</v>
      </c>
      <c r="AK87" s="14">
        <f t="shared" si="89"/>
        <v>7.5804141040779151E-13</v>
      </c>
      <c r="AL87" s="22">
        <f t="shared" si="58"/>
        <v>1.4005661123635408E-12</v>
      </c>
      <c r="AM87" s="62">
        <f t="shared" si="59"/>
        <v>272.25683052455173</v>
      </c>
      <c r="AN87" s="62">
        <f ca="1">AVERAGE(OFFSET($AM$3,0,0,'Données projet'!$E$10+1,1))-AVERAGE(OFFSET($H$3,0,0,'Données projet'!$E$10+1,1))</f>
        <v>319.39055628111151</v>
      </c>
      <c r="AO87" s="62">
        <f t="shared" si="90"/>
        <v>312.22190035638084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-1.1368683772161603E-13</v>
      </c>
      <c r="BE87" s="14">
        <f>BD87*VLOOKUP('Données projet'!$B$11,Paramètres!$A$1:$I$89,3,0)*VLOOKUP('Données projet'!$B$11,Paramètres!$A$1:$I$89,5,0)</f>
        <v>-8.3355189417488869E-14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257.906524944431</v>
      </c>
      <c r="BJ87" s="62">
        <f t="shared" si="92"/>
        <v>274.70390601173563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-1.1368683772161603E-13</v>
      </c>
      <c r="BZ87" s="14">
        <f>BY87*VLOOKUP('Données projet'!$B$12,Paramètres!$A$1:$I$89,3,0)*VLOOKUP('Données projet'!$B$12,Paramètres!$A$1:$I$89,5,0)</f>
        <v>-9.2222762759774927E-14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272.69564942740931</v>
      </c>
      <c r="CE87" s="62">
        <f t="shared" si="94"/>
        <v>316.57989180609252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4.6153846153846132</v>
      </c>
      <c r="CT87" s="13">
        <f>IF('Données projet'!$A$140&gt;35,CT86+CS87-DB86,IF(A87&lt;'Données projet'!$A$140,$CQ$205^A87,IF(A87='Données projet'!$A$140,'Données projet'!$B$140,CT86+CS87-DB86)))</f>
        <v>270.38461538461536</v>
      </c>
      <c r="CU87" s="18">
        <f>CT87*VLOOKUP('Données projet'!$B$13,Paramètres!$A$1:$I$89,3,0)*VLOOKUP('Données projet'!$B$13,Paramètres!$A$1:$I$89,5,0)</f>
        <v>257.298</v>
      </c>
      <c r="CV87" s="14">
        <f t="shared" si="95"/>
        <v>62.146071034259549</v>
      </c>
      <c r="CW87" s="22">
        <f t="shared" si="67"/>
        <v>556.36509038466863</v>
      </c>
      <c r="CX87" s="62">
        <f t="shared" si="68"/>
        <v>828.62192090921894</v>
      </c>
      <c r="CY87" s="62">
        <f ca="1">AVERAGE(OFFSET($CX$3,0,0,'Données projet'!$E$13+1,1))-AVERAGE(OFFSET($H$3,0,0,'Données projet'!$E$13+1,1))</f>
        <v>491.87038198656927</v>
      </c>
      <c r="CZ87" s="62">
        <f t="shared" si="96"/>
        <v>406.49261644949559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6.6</v>
      </c>
      <c r="DO87" s="13">
        <f>IF('Données projet'!$A$166&gt;35,DO86+DN87-DW86,IF(A87&lt;'Données projet'!$A$166,$DL$205^A87,IF(A87='Données projet'!$A$166,'Données projet'!$B$166,DO86+DN87-DW86)))</f>
        <v>346.40000000000009</v>
      </c>
      <c r="DP87" s="18">
        <f>DO87*VLOOKUP('Données projet'!$B$14,Paramètres!$A$1:$I$89,3,0)*VLOOKUP('Données projet'!$B$14,Paramètres!$A$1:$I$89,5,0)</f>
        <v>335.03808000000009</v>
      </c>
      <c r="DQ87" s="14">
        <f t="shared" si="97"/>
        <v>78.473906831019789</v>
      </c>
      <c r="DR87" s="22">
        <f t="shared" si="70"/>
        <v>720.20004373069298</v>
      </c>
      <c r="DS87" s="62">
        <f t="shared" si="71"/>
        <v>992.45687425524329</v>
      </c>
      <c r="DT87" s="62">
        <f ca="1">AVERAGE(OFFSET($DS$3,0,0,'Données projet'!$E$14+1,1))-AVERAGE(OFFSET($H$3,0,0,'Données projet'!$E$14+1,1))</f>
        <v>603.52431522262032</v>
      </c>
      <c r="DU87" s="62">
        <f t="shared" si="98"/>
        <v>313.56299786481338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-3.4106051316484809E-13</v>
      </c>
      <c r="EK87" s="18">
        <f>EJ87*VLOOKUP('Données projet'!$B$15,Paramètres!$A$1:$I$89,3,0)*VLOOKUP('Données projet'!$B$15,Paramètres!$A$1:$I$89,5,0)</f>
        <v>-2.7134774427395314E-13</v>
      </c>
      <c r="EL87" s="14" t="e">
        <f t="shared" si="99"/>
        <v>#NUM!</v>
      </c>
      <c r="EM87" s="22" t="e">
        <f t="shared" si="73"/>
        <v>#NUM!</v>
      </c>
      <c r="EN87" s="62" t="e">
        <f t="shared" si="74"/>
        <v>#NUM!</v>
      </c>
      <c r="EO87" s="62">
        <f ca="1">AVERAGE(OFFSET($EN$3,0,0,'Données projet'!$E$15+1,1))-AVERAGE(OFFSET($H$3,0,0,'Données projet'!$E$15+1,1))</f>
        <v>450.93388191845378</v>
      </c>
      <c r="EP87" s="62">
        <f t="shared" si="100"/>
        <v>483.33635017129325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5.6843418860808015E-14</v>
      </c>
      <c r="FF87" s="18">
        <f>FE87*VLOOKUP('Données projet'!$B$16,Paramètres!$A$1:$I$89,3,0)*VLOOKUP('Données projet'!$B$16,Paramètres!$A$1:$I$89,5,0)</f>
        <v>4.4337866711430253E-14</v>
      </c>
      <c r="FG87" s="14">
        <f t="shared" si="101"/>
        <v>7.3222115536967035E-13</v>
      </c>
      <c r="FH87" s="22">
        <f t="shared" si="76"/>
        <v>1.3525069634579169E-12</v>
      </c>
      <c r="FI87" s="62">
        <f t="shared" si="77"/>
        <v>272.25683052455167</v>
      </c>
      <c r="FJ87" s="62">
        <f ca="1">AVERAGE(OFFSET($FI$3,0,0,'Données projet'!$E$16+1,1))-AVERAGE(OFFSET($H$3,0,0,'Données projet'!$E$16+1,1))</f>
        <v>309.21625451786218</v>
      </c>
      <c r="FK87" s="62">
        <f t="shared" si="102"/>
        <v>302.59481222418219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-2.2737367544323206E-13</v>
      </c>
      <c r="O88" s="14">
        <f>N88*VLOOKUP('Données projet'!$B$9,Paramètres!$A$1:$I$89,3,0)*VLOOKUP('Données projet'!$B$9,Paramètres!$A$1:$I$89,5,0)</f>
        <v>-1.8089849618263545E-13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394.70330963327166</v>
      </c>
      <c r="T88" s="62">
        <f t="shared" si="88"/>
        <v>424.06445894109982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projet'!$B$10,Paramètres!$A$1:$I$89,3,0)*VLOOKUP('Données projet'!$B$10,Paramètres!$A$1:$I$89,5,0)</f>
        <v>4.6111381379887463E-14</v>
      </c>
      <c r="AK88" s="14">
        <f t="shared" si="89"/>
        <v>7.5804141040779151E-13</v>
      </c>
      <c r="AL88" s="22">
        <f t="shared" si="58"/>
        <v>1.4005661123635408E-12</v>
      </c>
      <c r="AM88" s="62">
        <f t="shared" si="59"/>
        <v>272.62246072828293</v>
      </c>
      <c r="AN88" s="62">
        <f ca="1">AVERAGE(OFFSET($AM$3,0,0,'Données projet'!$E$10+1,1))-AVERAGE(OFFSET($H$3,0,0,'Données projet'!$E$10+1,1))</f>
        <v>319.39055628111151</v>
      </c>
      <c r="AO88" s="62">
        <f t="shared" si="90"/>
        <v>312.22190035638084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-1.1368683772161603E-13</v>
      </c>
      <c r="BE88" s="14">
        <f>BD88*VLOOKUP('Données projet'!$B$11,Paramètres!$A$1:$I$89,3,0)*VLOOKUP('Données projet'!$B$11,Paramètres!$A$1:$I$89,5,0)</f>
        <v>-8.3355189417488869E-14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257.906524944431</v>
      </c>
      <c r="BJ88" s="62">
        <f t="shared" si="92"/>
        <v>274.70390601173563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-1.1368683772161603E-13</v>
      </c>
      <c r="BZ88" s="14">
        <f>BY88*VLOOKUP('Données projet'!$B$12,Paramètres!$A$1:$I$89,3,0)*VLOOKUP('Données projet'!$B$12,Paramètres!$A$1:$I$89,5,0)</f>
        <v>-9.2222762759774927E-14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272.69564942740931</v>
      </c>
      <c r="CE88" s="62">
        <f t="shared" si="94"/>
        <v>316.57989180609252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275</v>
      </c>
      <c r="CR88" s="13">
        <f>VLOOKUP(A88,'Données projet'!$A$139:$I$159,9,0)</f>
        <v>4.6153846153846132</v>
      </c>
      <c r="CS88" s="13">
        <f t="array" ref="CS88">INDEX(CR:CR,MIN(IF(ISNUMBER(CR88:CR284),ROW(CR88:CR284),"")))</f>
        <v>4.6153846153846132</v>
      </c>
      <c r="CT88" s="13">
        <f>IF('Données projet'!$A$140&gt;35,CT87+CS88-DB87,IF(A88&lt;'Données projet'!$A$140,$CQ$205^A88,IF(A88='Données projet'!$A$140,'Données projet'!$B$140,CT87+CS88-DB87)))</f>
        <v>275</v>
      </c>
      <c r="CU88" s="18">
        <f>CT88*VLOOKUP('Données projet'!$B$13,Paramètres!$A$1:$I$89,3,0)*VLOOKUP('Données projet'!$B$13,Paramètres!$A$1:$I$89,5,0)</f>
        <v>261.69</v>
      </c>
      <c r="CV88" s="14">
        <f t="shared" si="95"/>
        <v>63.082481711546343</v>
      </c>
      <c r="CW88" s="22">
        <f t="shared" si="67"/>
        <v>565.64540564760989</v>
      </c>
      <c r="CX88" s="62">
        <f t="shared" si="68"/>
        <v>838.26786637589134</v>
      </c>
      <c r="CY88" s="62">
        <f ca="1">AVERAGE(OFFSET($CX$3,0,0,'Données projet'!$E$13+1,1))-AVERAGE(OFFSET($H$3,0,0,'Données projet'!$E$13+1,1))</f>
        <v>491.87038198656927</v>
      </c>
      <c r="CZ88" s="62">
        <f t="shared" si="96"/>
        <v>406.49261644949559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6.6</v>
      </c>
      <c r="DO88" s="13">
        <f>IF('Données projet'!$A$166&gt;35,DO87+DN88-DW87,IF(A88&lt;'Données projet'!$A$166,$DL$205^A88,IF(A88='Données projet'!$A$166,'Données projet'!$B$166,DO87+DN88-DW87)))</f>
        <v>353.00000000000011</v>
      </c>
      <c r="DP88" s="18">
        <f>DO88*VLOOKUP('Données projet'!$B$14,Paramètres!$A$1:$I$89,3,0)*VLOOKUP('Données projet'!$B$14,Paramètres!$A$1:$I$89,5,0)</f>
        <v>341.42160000000013</v>
      </c>
      <c r="DQ88" s="14">
        <f t="shared" si="97"/>
        <v>79.793586620318962</v>
      </c>
      <c r="DR88" s="22">
        <f t="shared" si="70"/>
        <v>733.61645003038905</v>
      </c>
      <c r="DS88" s="62">
        <f t="shared" si="71"/>
        <v>1006.2389107586705</v>
      </c>
      <c r="DT88" s="62">
        <f ca="1">AVERAGE(OFFSET($DS$3,0,0,'Données projet'!$E$14+1,1))-AVERAGE(OFFSET($H$3,0,0,'Données projet'!$E$14+1,1))</f>
        <v>603.52431522262032</v>
      </c>
      <c r="DU88" s="62">
        <f t="shared" si="98"/>
        <v>313.56299786481338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-3.4106051316484809E-13</v>
      </c>
      <c r="EK88" s="18">
        <f>EJ88*VLOOKUP('Données projet'!$B$15,Paramètres!$A$1:$I$89,3,0)*VLOOKUP('Données projet'!$B$15,Paramètres!$A$1:$I$89,5,0)</f>
        <v>-2.7134774427395314E-13</v>
      </c>
      <c r="EL88" s="14" t="e">
        <f t="shared" si="99"/>
        <v>#NUM!</v>
      </c>
      <c r="EM88" s="22" t="e">
        <f t="shared" si="73"/>
        <v>#NUM!</v>
      </c>
      <c r="EN88" s="62" t="e">
        <f t="shared" si="74"/>
        <v>#NUM!</v>
      </c>
      <c r="EO88" s="62">
        <f ca="1">AVERAGE(OFFSET($EN$3,0,0,'Données projet'!$E$15+1,1))-AVERAGE(OFFSET($H$3,0,0,'Données projet'!$E$15+1,1))</f>
        <v>450.93388191845378</v>
      </c>
      <c r="EP88" s="62">
        <f t="shared" si="100"/>
        <v>483.33635017129325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5.6843418860808015E-14</v>
      </c>
      <c r="FF88" s="18">
        <f>FE88*VLOOKUP('Données projet'!$B$16,Paramètres!$A$1:$I$89,3,0)*VLOOKUP('Données projet'!$B$16,Paramètres!$A$1:$I$89,5,0)</f>
        <v>4.4337866711430253E-14</v>
      </c>
      <c r="FG88" s="14">
        <f t="shared" si="101"/>
        <v>7.3222115536967035E-13</v>
      </c>
      <c r="FH88" s="22">
        <f t="shared" si="76"/>
        <v>1.3525069634579169E-12</v>
      </c>
      <c r="FI88" s="62">
        <f t="shared" si="77"/>
        <v>272.62246072828287</v>
      </c>
      <c r="FJ88" s="62">
        <f ca="1">AVERAGE(OFFSET($FI$3,0,0,'Données projet'!$E$16+1,1))-AVERAGE(OFFSET($H$3,0,0,'Données projet'!$E$16+1,1))</f>
        <v>309.21625451786218</v>
      </c>
      <c r="FK88" s="62">
        <f t="shared" si="102"/>
        <v>302.59481222418219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-2.2737367544323206E-13</v>
      </c>
      <c r="O89" s="14">
        <f>N89*VLOOKUP('Données projet'!$B$9,Paramètres!$A$1:$I$89,3,0)*VLOOKUP('Données projet'!$B$9,Paramètres!$A$1:$I$89,5,0)</f>
        <v>-1.8089849618263545E-13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394.70330963327166</v>
      </c>
      <c r="T89" s="62">
        <f t="shared" si="88"/>
        <v>424.06445894109982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projet'!$B$10,Paramètres!$A$1:$I$89,3,0)*VLOOKUP('Données projet'!$B$10,Paramètres!$A$1:$I$89,5,0)</f>
        <v>4.6111381379887463E-14</v>
      </c>
      <c r="AK89" s="14">
        <f t="shared" si="89"/>
        <v>7.5804141040779151E-13</v>
      </c>
      <c r="AL89" s="22">
        <f t="shared" si="58"/>
        <v>1.4005661123635408E-12</v>
      </c>
      <c r="AM89" s="62">
        <f t="shared" si="59"/>
        <v>272.98174806540612</v>
      </c>
      <c r="AN89" s="62">
        <f ca="1">AVERAGE(OFFSET($AM$3,0,0,'Données projet'!$E$10+1,1))-AVERAGE(OFFSET($H$3,0,0,'Données projet'!$E$10+1,1))</f>
        <v>319.39055628111151</v>
      </c>
      <c r="AO89" s="62">
        <f t="shared" si="90"/>
        <v>312.22190035638084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-1.1368683772161603E-13</v>
      </c>
      <c r="BE89" s="14">
        <f>BD89*VLOOKUP('Données projet'!$B$11,Paramètres!$A$1:$I$89,3,0)*VLOOKUP('Données projet'!$B$11,Paramètres!$A$1:$I$89,5,0)</f>
        <v>-8.3355189417488869E-14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257.906524944431</v>
      </c>
      <c r="BJ89" s="62">
        <f t="shared" si="92"/>
        <v>274.70390601173563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-1.1368683772161603E-13</v>
      </c>
      <c r="BZ89" s="14">
        <f>BY89*VLOOKUP('Données projet'!$B$12,Paramètres!$A$1:$I$89,3,0)*VLOOKUP('Données projet'!$B$12,Paramètres!$A$1:$I$89,5,0)</f>
        <v>-9.2222762759774927E-14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272.69564942740931</v>
      </c>
      <c r="CE89" s="62">
        <f t="shared" si="94"/>
        <v>316.57989180609252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4.3589743589743533</v>
      </c>
      <c r="CT89" s="13">
        <f>IF('Données projet'!$A$140&gt;35,CT88+CS89-DB88,IF(A89&lt;'Données projet'!$A$140,$CQ$205^A89,IF(A89='Données projet'!$A$140,'Données projet'!$B$140,CT88+CS89-DB88)))</f>
        <v>279.35897435897436</v>
      </c>
      <c r="CU89" s="18">
        <f>CT89*VLOOKUP('Données projet'!$B$13,Paramètres!$A$1:$I$89,3,0)*VLOOKUP('Données projet'!$B$13,Paramètres!$A$1:$I$89,5,0)</f>
        <v>265.83799999999997</v>
      </c>
      <c r="CV89" s="14">
        <f t="shared" si="95"/>
        <v>63.965190833833894</v>
      </c>
      <c r="CW89" s="22">
        <f t="shared" si="67"/>
        <v>574.40722403559391</v>
      </c>
      <c r="CX89" s="62">
        <f t="shared" si="68"/>
        <v>847.38897210099867</v>
      </c>
      <c r="CY89" s="62">
        <f ca="1">AVERAGE(OFFSET($CX$3,0,0,'Données projet'!$E$13+1,1))-AVERAGE(OFFSET($H$3,0,0,'Données projet'!$E$13+1,1))</f>
        <v>491.87038198656927</v>
      </c>
      <c r="CZ89" s="62">
        <f t="shared" si="96"/>
        <v>406.49261644949559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6.6</v>
      </c>
      <c r="DO89" s="13">
        <f>IF('Données projet'!$A$166&gt;35,DO88+DN89-DW88,IF(A89&lt;'Données projet'!$A$166,$DL$205^A89,IF(A89='Données projet'!$A$166,'Données projet'!$B$166,DO88+DN89-DW88)))</f>
        <v>359.60000000000014</v>
      </c>
      <c r="DP89" s="18">
        <f>DO89*VLOOKUP('Données projet'!$B$14,Paramètres!$A$1:$I$89,3,0)*VLOOKUP('Données projet'!$B$14,Paramètres!$A$1:$I$89,5,0)</f>
        <v>347.80512000000016</v>
      </c>
      <c r="DQ89" s="14">
        <f t="shared" si="97"/>
        <v>81.110397313948141</v>
      </c>
      <c r="DR89" s="22">
        <f t="shared" si="70"/>
        <v>747.02785932179313</v>
      </c>
      <c r="DS89" s="62">
        <f t="shared" si="71"/>
        <v>1020.0096073871978</v>
      </c>
      <c r="DT89" s="62">
        <f ca="1">AVERAGE(OFFSET($DS$3,0,0,'Données projet'!$E$14+1,1))-AVERAGE(OFFSET($H$3,0,0,'Données projet'!$E$14+1,1))</f>
        <v>603.52431522262032</v>
      </c>
      <c r="DU89" s="62">
        <f t="shared" si="98"/>
        <v>313.56299786481338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-3.4106051316484809E-13</v>
      </c>
      <c r="EK89" s="18">
        <f>EJ89*VLOOKUP('Données projet'!$B$15,Paramètres!$A$1:$I$89,3,0)*VLOOKUP('Données projet'!$B$15,Paramètres!$A$1:$I$89,5,0)</f>
        <v>-2.7134774427395314E-13</v>
      </c>
      <c r="EL89" s="14" t="e">
        <f t="shared" si="99"/>
        <v>#NUM!</v>
      </c>
      <c r="EM89" s="22" t="e">
        <f t="shared" si="73"/>
        <v>#NUM!</v>
      </c>
      <c r="EN89" s="62" t="e">
        <f t="shared" si="74"/>
        <v>#NUM!</v>
      </c>
      <c r="EO89" s="62">
        <f ca="1">AVERAGE(OFFSET($EN$3,0,0,'Données projet'!$E$15+1,1))-AVERAGE(OFFSET($H$3,0,0,'Données projet'!$E$15+1,1))</f>
        <v>450.93388191845378</v>
      </c>
      <c r="EP89" s="62">
        <f t="shared" si="100"/>
        <v>483.33635017129325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5.6843418860808015E-14</v>
      </c>
      <c r="FF89" s="18">
        <f>FE89*VLOOKUP('Données projet'!$B$16,Paramètres!$A$1:$I$89,3,0)*VLOOKUP('Données projet'!$B$16,Paramètres!$A$1:$I$89,5,0)</f>
        <v>4.4337866711430253E-14</v>
      </c>
      <c r="FG89" s="14">
        <f t="shared" si="101"/>
        <v>7.3222115536967035E-13</v>
      </c>
      <c r="FH89" s="22">
        <f t="shared" si="76"/>
        <v>1.3525069634579169E-12</v>
      </c>
      <c r="FI89" s="62">
        <f t="shared" si="77"/>
        <v>272.98174806540607</v>
      </c>
      <c r="FJ89" s="62">
        <f ca="1">AVERAGE(OFFSET($FI$3,0,0,'Données projet'!$E$16+1,1))-AVERAGE(OFFSET($H$3,0,0,'Données projet'!$E$16+1,1))</f>
        <v>309.21625451786218</v>
      </c>
      <c r="FK89" s="62">
        <f t="shared" si="102"/>
        <v>302.59481222418219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-2.2737367544323206E-13</v>
      </c>
      <c r="O90" s="14">
        <f>N90*VLOOKUP('Données projet'!$B$9,Paramètres!$A$1:$I$89,3,0)*VLOOKUP('Données projet'!$B$9,Paramètres!$A$1:$I$89,5,0)</f>
        <v>-1.8089849618263545E-13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394.70330963327166</v>
      </c>
      <c r="T90" s="62">
        <f t="shared" si="88"/>
        <v>424.06445894109982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projet'!$B$10,Paramètres!$A$1:$I$89,3,0)*VLOOKUP('Données projet'!$B$10,Paramètres!$A$1:$I$89,5,0)</f>
        <v>4.6111381379887463E-14</v>
      </c>
      <c r="AK90" s="14">
        <f t="shared" si="89"/>
        <v>7.5804141040779151E-13</v>
      </c>
      <c r="AL90" s="22">
        <f t="shared" si="58"/>
        <v>1.4005661123635408E-12</v>
      </c>
      <c r="AM90" s="62">
        <f t="shared" si="59"/>
        <v>273.33480257047626</v>
      </c>
      <c r="AN90" s="62">
        <f ca="1">AVERAGE(OFFSET($AM$3,0,0,'Données projet'!$E$10+1,1))-AVERAGE(OFFSET($H$3,0,0,'Données projet'!$E$10+1,1))</f>
        <v>319.39055628111151</v>
      </c>
      <c r="AO90" s="62">
        <f t="shared" si="90"/>
        <v>312.22190035638084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-1.1368683772161603E-13</v>
      </c>
      <c r="BE90" s="14">
        <f>BD90*VLOOKUP('Données projet'!$B$11,Paramètres!$A$1:$I$89,3,0)*VLOOKUP('Données projet'!$B$11,Paramètres!$A$1:$I$89,5,0)</f>
        <v>-8.3355189417488869E-14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257.906524944431</v>
      </c>
      <c r="BJ90" s="62">
        <f t="shared" si="92"/>
        <v>274.70390601173563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-1.1368683772161603E-13</v>
      </c>
      <c r="BZ90" s="14">
        <f>BY90*VLOOKUP('Données projet'!$B$12,Paramètres!$A$1:$I$89,3,0)*VLOOKUP('Données projet'!$B$12,Paramètres!$A$1:$I$89,5,0)</f>
        <v>-9.2222762759774927E-14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272.69564942740931</v>
      </c>
      <c r="CE90" s="62">
        <f t="shared" si="94"/>
        <v>316.57989180609252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4.3589743589743533</v>
      </c>
      <c r="CT90" s="13">
        <f>IF('Données projet'!$A$140&gt;35,CT89+CS90-DB89,IF(A90&lt;'Données projet'!$A$140,$CQ$205^A90,IF(A90='Données projet'!$A$140,'Données projet'!$B$140,CT89+CS90-DB89)))</f>
        <v>283.71794871794873</v>
      </c>
      <c r="CU90" s="18">
        <f>CT90*VLOOKUP('Données projet'!$B$13,Paramètres!$A$1:$I$89,3,0)*VLOOKUP('Données projet'!$B$13,Paramètres!$A$1:$I$89,5,0)</f>
        <v>269.98600000000005</v>
      </c>
      <c r="CV90" s="14">
        <f t="shared" si="95"/>
        <v>64.846298125536023</v>
      </c>
      <c r="CW90" s="22">
        <f t="shared" si="67"/>
        <v>583.16625256864188</v>
      </c>
      <c r="CX90" s="62">
        <f t="shared" si="68"/>
        <v>856.50105513911672</v>
      </c>
      <c r="CY90" s="62">
        <f ca="1">AVERAGE(OFFSET($CX$3,0,0,'Données projet'!$E$13+1,1))-AVERAGE(OFFSET($H$3,0,0,'Données projet'!$E$13+1,1))</f>
        <v>491.87038198656927</v>
      </c>
      <c r="CZ90" s="62">
        <f t="shared" si="96"/>
        <v>406.49261644949559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6.6</v>
      </c>
      <c r="DO90" s="13">
        <f>IF('Données projet'!$A$166&gt;35,DO89+DN90-DW89,IF(A90&lt;'Données projet'!$A$166,$DL$205^A90,IF(A90='Données projet'!$A$166,'Données projet'!$B$166,DO89+DN90-DW89)))</f>
        <v>366.20000000000016</v>
      </c>
      <c r="DP90" s="18">
        <f>DO90*VLOOKUP('Données projet'!$B$14,Paramètres!$A$1:$I$89,3,0)*VLOOKUP('Données projet'!$B$14,Paramètres!$A$1:$I$89,5,0)</f>
        <v>354.18864000000013</v>
      </c>
      <c r="DQ90" s="14">
        <f t="shared" si="97"/>
        <v>82.424397643862704</v>
      </c>
      <c r="DR90" s="22">
        <f t="shared" si="70"/>
        <v>760.4343738963945</v>
      </c>
      <c r="DS90" s="62">
        <f t="shared" si="71"/>
        <v>1033.7691764668693</v>
      </c>
      <c r="DT90" s="62">
        <f ca="1">AVERAGE(OFFSET($DS$3,0,0,'Données projet'!$E$14+1,1))-AVERAGE(OFFSET($H$3,0,0,'Données projet'!$E$14+1,1))</f>
        <v>603.52431522262032</v>
      </c>
      <c r="DU90" s="62">
        <f t="shared" si="98"/>
        <v>313.56299786481338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-3.4106051316484809E-13</v>
      </c>
      <c r="EK90" s="18">
        <f>EJ90*VLOOKUP('Données projet'!$B$15,Paramètres!$A$1:$I$89,3,0)*VLOOKUP('Données projet'!$B$15,Paramètres!$A$1:$I$89,5,0)</f>
        <v>-2.7134774427395314E-13</v>
      </c>
      <c r="EL90" s="14" t="e">
        <f t="shared" si="99"/>
        <v>#NUM!</v>
      </c>
      <c r="EM90" s="22" t="e">
        <f t="shared" si="73"/>
        <v>#NUM!</v>
      </c>
      <c r="EN90" s="62" t="e">
        <f t="shared" si="74"/>
        <v>#NUM!</v>
      </c>
      <c r="EO90" s="62">
        <f ca="1">AVERAGE(OFFSET($EN$3,0,0,'Données projet'!$E$15+1,1))-AVERAGE(OFFSET($H$3,0,0,'Données projet'!$E$15+1,1))</f>
        <v>450.93388191845378</v>
      </c>
      <c r="EP90" s="62">
        <f t="shared" si="100"/>
        <v>483.33635017129325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5.6843418860808015E-14</v>
      </c>
      <c r="FF90" s="18">
        <f>FE90*VLOOKUP('Données projet'!$B$16,Paramètres!$A$1:$I$89,3,0)*VLOOKUP('Données projet'!$B$16,Paramètres!$A$1:$I$89,5,0)</f>
        <v>4.4337866711430253E-14</v>
      </c>
      <c r="FG90" s="14">
        <f t="shared" si="101"/>
        <v>7.3222115536967035E-13</v>
      </c>
      <c r="FH90" s="22">
        <f t="shared" si="76"/>
        <v>1.3525069634579169E-12</v>
      </c>
      <c r="FI90" s="62">
        <f t="shared" si="77"/>
        <v>273.3348025704762</v>
      </c>
      <c r="FJ90" s="62">
        <f ca="1">AVERAGE(OFFSET($FI$3,0,0,'Données projet'!$E$16+1,1))-AVERAGE(OFFSET($H$3,0,0,'Données projet'!$E$16+1,1))</f>
        <v>309.21625451786218</v>
      </c>
      <c r="FK90" s="62">
        <f t="shared" si="102"/>
        <v>302.59481222418219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-2.2737367544323206E-13</v>
      </c>
      <c r="O91" s="14">
        <f>N91*VLOOKUP('Données projet'!$B$9,Paramètres!$A$1:$I$89,3,0)*VLOOKUP('Données projet'!$B$9,Paramètres!$A$1:$I$89,5,0)</f>
        <v>-1.8089849618263545E-13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394.70330963327166</v>
      </c>
      <c r="T91" s="62">
        <f t="shared" si="88"/>
        <v>424.06445894109982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projet'!$B$10,Paramètres!$A$1:$I$89,3,0)*VLOOKUP('Données projet'!$B$10,Paramètres!$A$1:$I$89,5,0)</f>
        <v>4.6111381379887463E-14</v>
      </c>
      <c r="AK91" s="14">
        <f t="shared" si="89"/>
        <v>7.5804141040779151E-13</v>
      </c>
      <c r="AL91" s="22">
        <f t="shared" si="58"/>
        <v>1.4005661123635408E-12</v>
      </c>
      <c r="AM91" s="62">
        <f t="shared" si="59"/>
        <v>273.68173236919512</v>
      </c>
      <c r="AN91" s="62">
        <f ca="1">AVERAGE(OFFSET($AM$3,0,0,'Données projet'!$E$10+1,1))-AVERAGE(OFFSET($H$3,0,0,'Données projet'!$E$10+1,1))</f>
        <v>319.39055628111151</v>
      </c>
      <c r="AO91" s="62">
        <f t="shared" si="90"/>
        <v>312.22190035638084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-1.1368683772161603E-13</v>
      </c>
      <c r="BE91" s="14">
        <f>BD91*VLOOKUP('Données projet'!$B$11,Paramètres!$A$1:$I$89,3,0)*VLOOKUP('Données projet'!$B$11,Paramètres!$A$1:$I$89,5,0)</f>
        <v>-8.3355189417488869E-14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257.906524944431</v>
      </c>
      <c r="BJ91" s="62">
        <f t="shared" si="92"/>
        <v>274.70390601173563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-1.1368683772161603E-13</v>
      </c>
      <c r="BZ91" s="14">
        <f>BY91*VLOOKUP('Données projet'!$B$12,Paramètres!$A$1:$I$89,3,0)*VLOOKUP('Données projet'!$B$12,Paramètres!$A$1:$I$89,5,0)</f>
        <v>-9.2222762759774927E-14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272.69564942740931</v>
      </c>
      <c r="CE91" s="62">
        <f t="shared" si="94"/>
        <v>316.57989180609252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4.3589743589743533</v>
      </c>
      <c r="CT91" s="13">
        <f>IF('Données projet'!$A$140&gt;35,CT90+CS91-DB90,IF(A91&lt;'Données projet'!$A$140,$CQ$205^A91,IF(A91='Données projet'!$A$140,'Données projet'!$B$140,CT90+CS91-DB90)))</f>
        <v>288.07692307692309</v>
      </c>
      <c r="CU91" s="18">
        <f>CT91*VLOOKUP('Données projet'!$B$13,Paramètres!$A$1:$I$89,3,0)*VLOOKUP('Données projet'!$B$13,Paramètres!$A$1:$I$89,5,0)</f>
        <v>274.13400000000001</v>
      </c>
      <c r="CV91" s="14">
        <f t="shared" si="95"/>
        <v>65.725831039035398</v>
      </c>
      <c r="CW91" s="22">
        <f t="shared" si="67"/>
        <v>591.92253905965333</v>
      </c>
      <c r="CX91" s="62">
        <f t="shared" si="68"/>
        <v>865.60427142884703</v>
      </c>
      <c r="CY91" s="62">
        <f ca="1">AVERAGE(OFFSET($CX$3,0,0,'Données projet'!$E$13+1,1))-AVERAGE(OFFSET($H$3,0,0,'Données projet'!$E$13+1,1))</f>
        <v>491.87038198656927</v>
      </c>
      <c r="CZ91" s="62">
        <f t="shared" si="96"/>
        <v>406.49261644949559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6.6</v>
      </c>
      <c r="DO91" s="13">
        <f>IF('Données projet'!$A$166&gt;35,DO90+DN91-DW90,IF(A91&lt;'Données projet'!$A$166,$DL$205^A91,IF(A91='Données projet'!$A$166,'Données projet'!$B$166,DO90+DN91-DW90)))</f>
        <v>372.80000000000018</v>
      </c>
      <c r="DP91" s="18">
        <f>DO91*VLOOKUP('Données projet'!$B$14,Paramètres!$A$1:$I$89,3,0)*VLOOKUP('Données projet'!$B$14,Paramètres!$A$1:$I$89,5,0)</f>
        <v>360.57216000000017</v>
      </c>
      <c r="DQ91" s="14">
        <f t="shared" si="97"/>
        <v>83.735644103746736</v>
      </c>
      <c r="DR91" s="22">
        <f t="shared" si="70"/>
        <v>773.83609214735907</v>
      </c>
      <c r="DS91" s="62">
        <f t="shared" si="71"/>
        <v>1047.5178245165528</v>
      </c>
      <c r="DT91" s="62">
        <f ca="1">AVERAGE(OFFSET($DS$3,0,0,'Données projet'!$E$14+1,1))-AVERAGE(OFFSET($H$3,0,0,'Données projet'!$E$14+1,1))</f>
        <v>603.52431522262032</v>
      </c>
      <c r="DU91" s="62">
        <f t="shared" si="98"/>
        <v>313.56299786481338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-3.4106051316484809E-13</v>
      </c>
      <c r="EK91" s="18">
        <f>EJ91*VLOOKUP('Données projet'!$B$15,Paramètres!$A$1:$I$89,3,0)*VLOOKUP('Données projet'!$B$15,Paramètres!$A$1:$I$89,5,0)</f>
        <v>-2.7134774427395314E-13</v>
      </c>
      <c r="EL91" s="14" t="e">
        <f t="shared" si="99"/>
        <v>#NUM!</v>
      </c>
      <c r="EM91" s="22" t="e">
        <f t="shared" si="73"/>
        <v>#NUM!</v>
      </c>
      <c r="EN91" s="62" t="e">
        <f t="shared" si="74"/>
        <v>#NUM!</v>
      </c>
      <c r="EO91" s="62">
        <f ca="1">AVERAGE(OFFSET($EN$3,0,0,'Données projet'!$E$15+1,1))-AVERAGE(OFFSET($H$3,0,0,'Données projet'!$E$15+1,1))</f>
        <v>450.93388191845378</v>
      </c>
      <c r="EP91" s="62">
        <f t="shared" si="100"/>
        <v>483.33635017129325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5.6843418860808015E-14</v>
      </c>
      <c r="FF91" s="18">
        <f>FE91*VLOOKUP('Données projet'!$B$16,Paramètres!$A$1:$I$89,3,0)*VLOOKUP('Données projet'!$B$16,Paramètres!$A$1:$I$89,5,0)</f>
        <v>4.4337866711430253E-14</v>
      </c>
      <c r="FG91" s="14">
        <f t="shared" si="101"/>
        <v>7.3222115536967035E-13</v>
      </c>
      <c r="FH91" s="22">
        <f t="shared" si="76"/>
        <v>1.3525069634579169E-12</v>
      </c>
      <c r="FI91" s="62">
        <f t="shared" si="77"/>
        <v>273.68173236919506</v>
      </c>
      <c r="FJ91" s="62">
        <f ca="1">AVERAGE(OFFSET($FI$3,0,0,'Données projet'!$E$16+1,1))-AVERAGE(OFFSET($H$3,0,0,'Données projet'!$E$16+1,1))</f>
        <v>309.21625451786218</v>
      </c>
      <c r="FK91" s="62">
        <f t="shared" si="102"/>
        <v>302.59481222418219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-2.2737367544323206E-13</v>
      </c>
      <c r="O92" s="14">
        <f>N92*VLOOKUP('Données projet'!$B$9,Paramètres!$A$1:$I$89,3,0)*VLOOKUP('Données projet'!$B$9,Paramètres!$A$1:$I$89,5,0)</f>
        <v>-1.8089849618263545E-13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394.70330963327166</v>
      </c>
      <c r="T92" s="62">
        <f t="shared" si="88"/>
        <v>424.06445894109982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projet'!$B$10,Paramètres!$A$1:$I$89,3,0)*VLOOKUP('Données projet'!$B$10,Paramètres!$A$1:$I$89,5,0)</f>
        <v>4.6111381379887463E-14</v>
      </c>
      <c r="AK92" s="14">
        <f t="shared" si="89"/>
        <v>7.5804141040779151E-13</v>
      </c>
      <c r="AL92" s="22">
        <f t="shared" si="58"/>
        <v>1.4005661123635408E-12</v>
      </c>
      <c r="AM92" s="62">
        <f t="shared" si="59"/>
        <v>274.02264371152501</v>
      </c>
      <c r="AN92" s="62">
        <f ca="1">AVERAGE(OFFSET($AM$3,0,0,'Données projet'!$E$10+1,1))-AVERAGE(OFFSET($H$3,0,0,'Données projet'!$E$10+1,1))</f>
        <v>319.39055628111151</v>
      </c>
      <c r="AO92" s="62">
        <f t="shared" si="90"/>
        <v>312.22190035638084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-1.1368683772161603E-13</v>
      </c>
      <c r="BE92" s="14">
        <f>BD92*VLOOKUP('Données projet'!$B$11,Paramètres!$A$1:$I$89,3,0)*VLOOKUP('Données projet'!$B$11,Paramètres!$A$1:$I$89,5,0)</f>
        <v>-8.3355189417488869E-14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257.906524944431</v>
      </c>
      <c r="BJ92" s="62">
        <f t="shared" si="92"/>
        <v>274.70390601173563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-1.1368683772161603E-13</v>
      </c>
      <c r="BZ92" s="14">
        <f>BY92*VLOOKUP('Données projet'!$B$12,Paramètres!$A$1:$I$89,3,0)*VLOOKUP('Données projet'!$B$12,Paramètres!$A$1:$I$89,5,0)</f>
        <v>-9.2222762759774927E-14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272.69564942740931</v>
      </c>
      <c r="CE92" s="62">
        <f t="shared" si="94"/>
        <v>316.57989180609252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4.3589743589743533</v>
      </c>
      <c r="CT92" s="13">
        <f>IF('Données projet'!$A$140&gt;35,CT91+CS92-DB91,IF(A92&lt;'Données projet'!$A$140,$CQ$205^A92,IF(A92='Données projet'!$A$140,'Données projet'!$B$140,CT91+CS92-DB91)))</f>
        <v>292.43589743589746</v>
      </c>
      <c r="CU92" s="18">
        <f>CT92*VLOOKUP('Données projet'!$B$13,Paramètres!$A$1:$I$89,3,0)*VLOOKUP('Données projet'!$B$13,Paramètres!$A$1:$I$89,5,0)</f>
        <v>278.28200000000004</v>
      </c>
      <c r="CV92" s="14">
        <f t="shared" si="95"/>
        <v>66.603816148257522</v>
      </c>
      <c r="CW92" s="22">
        <f t="shared" si="67"/>
        <v>600.67612979154853</v>
      </c>
      <c r="CX92" s="62">
        <f t="shared" si="68"/>
        <v>874.69877350307206</v>
      </c>
      <c r="CY92" s="62">
        <f ca="1">AVERAGE(OFFSET($CX$3,0,0,'Données projet'!$E$13+1,1))-AVERAGE(OFFSET($H$3,0,0,'Données projet'!$E$13+1,1))</f>
        <v>491.87038198656927</v>
      </c>
      <c r="CZ92" s="62">
        <f t="shared" si="96"/>
        <v>406.49261644949559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6.6</v>
      </c>
      <c r="DO92" s="13">
        <f>IF('Données projet'!$A$166&gt;35,DO91+DN92-DW91,IF(A92&lt;'Données projet'!$A$166,$DL$205^A92,IF(A92='Données projet'!$A$166,'Données projet'!$B$166,DO91+DN92-DW91)))</f>
        <v>379.4000000000002</v>
      </c>
      <c r="DP92" s="18">
        <f>DO92*VLOOKUP('Données projet'!$B$14,Paramètres!$A$1:$I$89,3,0)*VLOOKUP('Données projet'!$B$14,Paramètres!$A$1:$I$89,5,0)</f>
        <v>366.9556800000002</v>
      </c>
      <c r="DQ92" s="14">
        <f t="shared" si="97"/>
        <v>85.044191072402157</v>
      </c>
      <c r="DR92" s="22">
        <f t="shared" si="70"/>
        <v>787.23310878443408</v>
      </c>
      <c r="DS92" s="62">
        <f t="shared" si="71"/>
        <v>1061.2557524959577</v>
      </c>
      <c r="DT92" s="62">
        <f ca="1">AVERAGE(OFFSET($DS$3,0,0,'Données projet'!$E$14+1,1))-AVERAGE(OFFSET($H$3,0,0,'Données projet'!$E$14+1,1))</f>
        <v>603.52431522262032</v>
      </c>
      <c r="DU92" s="62">
        <f t="shared" si="98"/>
        <v>313.56299786481338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-3.4106051316484809E-13</v>
      </c>
      <c r="EK92" s="18">
        <f>EJ92*VLOOKUP('Données projet'!$B$15,Paramètres!$A$1:$I$89,3,0)*VLOOKUP('Données projet'!$B$15,Paramètres!$A$1:$I$89,5,0)</f>
        <v>-2.7134774427395314E-13</v>
      </c>
      <c r="EL92" s="14" t="e">
        <f t="shared" si="99"/>
        <v>#NUM!</v>
      </c>
      <c r="EM92" s="22" t="e">
        <f t="shared" si="73"/>
        <v>#NUM!</v>
      </c>
      <c r="EN92" s="62" t="e">
        <f t="shared" si="74"/>
        <v>#NUM!</v>
      </c>
      <c r="EO92" s="62">
        <f ca="1">AVERAGE(OFFSET($EN$3,0,0,'Données projet'!$E$15+1,1))-AVERAGE(OFFSET($H$3,0,0,'Données projet'!$E$15+1,1))</f>
        <v>450.93388191845378</v>
      </c>
      <c r="EP92" s="62">
        <f t="shared" si="100"/>
        <v>483.33635017129325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5.6843418860808015E-14</v>
      </c>
      <c r="FF92" s="18">
        <f>FE92*VLOOKUP('Données projet'!$B$16,Paramètres!$A$1:$I$89,3,0)*VLOOKUP('Données projet'!$B$16,Paramètres!$A$1:$I$89,5,0)</f>
        <v>4.4337866711430253E-14</v>
      </c>
      <c r="FG92" s="14">
        <f t="shared" si="101"/>
        <v>7.3222115536967035E-13</v>
      </c>
      <c r="FH92" s="22">
        <f t="shared" si="76"/>
        <v>1.3525069634579169E-12</v>
      </c>
      <c r="FI92" s="62">
        <f t="shared" si="77"/>
        <v>274.02264371152495</v>
      </c>
      <c r="FJ92" s="62">
        <f ca="1">AVERAGE(OFFSET($FI$3,0,0,'Données projet'!$E$16+1,1))-AVERAGE(OFFSET($H$3,0,0,'Données projet'!$E$16+1,1))</f>
        <v>309.21625451786218</v>
      </c>
      <c r="FK92" s="62">
        <f t="shared" si="102"/>
        <v>302.59481222418219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-2.2737367544323206E-13</v>
      </c>
      <c r="O93" s="14">
        <f>N93*VLOOKUP('Données projet'!$B$9,Paramètres!$A$1:$I$89,3,0)*VLOOKUP('Données projet'!$B$9,Paramètres!$A$1:$I$89,5,0)</f>
        <v>-1.8089849618263545E-13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394.70330963327166</v>
      </c>
      <c r="T93" s="62">
        <f t="shared" si="88"/>
        <v>424.06445894109982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projet'!$B$10,Paramètres!$A$1:$I$89,3,0)*VLOOKUP('Données projet'!$B$10,Paramètres!$A$1:$I$89,5,0)</f>
        <v>4.6111381379887463E-14</v>
      </c>
      <c r="AK93" s="14">
        <f t="shared" si="89"/>
        <v>7.5804141040779151E-13</v>
      </c>
      <c r="AL93" s="22">
        <f t="shared" si="58"/>
        <v>1.4005661123635408E-12</v>
      </c>
      <c r="AM93" s="62">
        <f t="shared" si="59"/>
        <v>274.35764100422909</v>
      </c>
      <c r="AN93" s="62">
        <f ca="1">AVERAGE(OFFSET($AM$3,0,0,'Données projet'!$E$10+1,1))-AVERAGE(OFFSET($H$3,0,0,'Données projet'!$E$10+1,1))</f>
        <v>319.39055628111151</v>
      </c>
      <c r="AO93" s="62">
        <f t="shared" si="90"/>
        <v>312.22190035638084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-1.1368683772161603E-13</v>
      </c>
      <c r="BE93" s="14">
        <f>BD93*VLOOKUP('Données projet'!$B$11,Paramètres!$A$1:$I$89,3,0)*VLOOKUP('Données projet'!$B$11,Paramètres!$A$1:$I$89,5,0)</f>
        <v>-8.3355189417488869E-14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257.906524944431</v>
      </c>
      <c r="BJ93" s="62">
        <f t="shared" si="92"/>
        <v>274.70390601173563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-1.1368683772161603E-13</v>
      </c>
      <c r="BZ93" s="14">
        <f>BY93*VLOOKUP('Données projet'!$B$12,Paramètres!$A$1:$I$89,3,0)*VLOOKUP('Données projet'!$B$12,Paramètres!$A$1:$I$89,5,0)</f>
        <v>-9.2222762759774927E-14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272.69564942740931</v>
      </c>
      <c r="CE93" s="62">
        <f t="shared" si="94"/>
        <v>316.57989180609252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296.79487179487177</v>
      </c>
      <c r="CR93" s="13">
        <f>VLOOKUP(A93,'Données projet'!$A$139:$I$159,9,0)</f>
        <v>4.3589743589743533</v>
      </c>
      <c r="CS93" s="13">
        <f t="array" ref="CS93">INDEX(CR:CR,MIN(IF(ISNUMBER(CR93:CR289),ROW(CR93:CR289),"")))</f>
        <v>4.3589743589743533</v>
      </c>
      <c r="CT93" s="13">
        <f>IF('Données projet'!$A$140&gt;35,CT92+CS93-DB92,IF(A93&lt;'Données projet'!$A$140,$CQ$205^A93,IF(A93='Données projet'!$A$140,'Données projet'!$B$140,CT92+CS93-DB92)))</f>
        <v>296.79487179487182</v>
      </c>
      <c r="CU93" s="18">
        <f>CT93*VLOOKUP('Données projet'!$B$13,Paramètres!$A$1:$I$89,3,0)*VLOOKUP('Données projet'!$B$13,Paramètres!$A$1:$I$89,5,0)</f>
        <v>282.43</v>
      </c>
      <c r="CV93" s="14">
        <f t="shared" si="95"/>
        <v>67.480279189447444</v>
      </c>
      <c r="CW93" s="22">
        <f t="shared" si="67"/>
        <v>609.42706958828774</v>
      </c>
      <c r="CX93" s="62">
        <f t="shared" si="68"/>
        <v>883.78471059251547</v>
      </c>
      <c r="CY93" s="62">
        <f ca="1">AVERAGE(OFFSET($CX$3,0,0,'Données projet'!$E$13+1,1))-AVERAGE(OFFSET($H$3,0,0,'Données projet'!$E$13+1,1))</f>
        <v>491.87038198656927</v>
      </c>
      <c r="CZ93" s="62">
        <f t="shared" si="96"/>
        <v>406.49261644949559</v>
      </c>
      <c r="DA93" s="16">
        <f>IF(ISNA(VLOOKUP(A93,'Données projet'!$A$139:$I$159,3,0)),0,VLOOKUP(A93,'Données projet'!$A$139:$I$159,3,0))</f>
        <v>8</v>
      </c>
      <c r="DB93" s="16">
        <f>IF(ISNA(VLOOKUP(A93,'Données projet'!$A$139:$I$159,4,0)),0,VLOOKUP(A93,'Données projet'!$A$139:$I$159,4,0))</f>
        <v>32.051282051282051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386</v>
      </c>
      <c r="DM93" s="13">
        <f>VLOOKUP(A93,'Données projet'!$A$165:$I$185,9,0)</f>
        <v>6.6</v>
      </c>
      <c r="DN93" s="13">
        <f t="array" ref="DN93">INDEX(DM:DM,MIN(IF(ISNUMBER(DM93:DM289),ROW(DM93:DM289),"")))</f>
        <v>6.6</v>
      </c>
      <c r="DO93" s="13">
        <f>IF('Données projet'!$A$166&gt;35,DO92+DN93-DW92,IF(A93&lt;'Données projet'!$A$166,$DL$205^A93,IF(A93='Données projet'!$A$166,'Données projet'!$B$166,DO92+DN93-DW92)))</f>
        <v>386.00000000000023</v>
      </c>
      <c r="DP93" s="18">
        <f>DO93*VLOOKUP('Données projet'!$B$14,Paramètres!$A$1:$I$89,3,0)*VLOOKUP('Données projet'!$B$14,Paramètres!$A$1:$I$89,5,0)</f>
        <v>373.33920000000023</v>
      </c>
      <c r="DQ93" s="14">
        <f t="shared" si="97"/>
        <v>86.350090928308958</v>
      </c>
      <c r="DR93" s="22">
        <f t="shared" si="70"/>
        <v>800.62551503347186</v>
      </c>
      <c r="DS93" s="62">
        <f t="shared" si="71"/>
        <v>1074.9831560376995</v>
      </c>
      <c r="DT93" s="62">
        <f ca="1">AVERAGE(OFFSET($DS$3,0,0,'Données projet'!$E$14+1,1))-AVERAGE(OFFSET($H$3,0,0,'Données projet'!$E$14+1,1))</f>
        <v>603.52431522262032</v>
      </c>
      <c r="DU93" s="62">
        <f t="shared" si="98"/>
        <v>313.56299786481338</v>
      </c>
      <c r="DV93" s="16">
        <f>IF(ISNA(VLOOKUP(A93,'Données projet'!$A$165:$I$185,3,0)),0,VLOOKUP(A93,'Données projet'!$A$165:$I$185,3,0))</f>
        <v>7</v>
      </c>
      <c r="DW93" s="16">
        <f>IF(ISNA(VLOOKUP(A93,'Données projet'!$A$165:$I$185,4,0)),0,VLOOKUP(A93,'Données projet'!$A$165:$I$185,4,0))</f>
        <v>84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-3.4106051316484809E-13</v>
      </c>
      <c r="EK93" s="18">
        <f>EJ93*VLOOKUP('Données projet'!$B$15,Paramètres!$A$1:$I$89,3,0)*VLOOKUP('Données projet'!$B$15,Paramètres!$A$1:$I$89,5,0)</f>
        <v>-2.7134774427395314E-13</v>
      </c>
      <c r="EL93" s="14" t="e">
        <f t="shared" si="99"/>
        <v>#NUM!</v>
      </c>
      <c r="EM93" s="22" t="e">
        <f t="shared" si="73"/>
        <v>#NUM!</v>
      </c>
      <c r="EN93" s="62" t="e">
        <f t="shared" si="74"/>
        <v>#NUM!</v>
      </c>
      <c r="EO93" s="62">
        <f ca="1">AVERAGE(OFFSET($EN$3,0,0,'Données projet'!$E$15+1,1))-AVERAGE(OFFSET($H$3,0,0,'Données projet'!$E$15+1,1))</f>
        <v>450.93388191845378</v>
      </c>
      <c r="EP93" s="62">
        <f t="shared" si="100"/>
        <v>483.33635017129325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5.6843418860808015E-14</v>
      </c>
      <c r="FF93" s="18">
        <f>FE93*VLOOKUP('Données projet'!$B$16,Paramètres!$A$1:$I$89,3,0)*VLOOKUP('Données projet'!$B$16,Paramètres!$A$1:$I$89,5,0)</f>
        <v>4.4337866711430253E-14</v>
      </c>
      <c r="FG93" s="14">
        <f t="shared" si="101"/>
        <v>7.3222115536967035E-13</v>
      </c>
      <c r="FH93" s="22">
        <f t="shared" si="76"/>
        <v>1.3525069634579169E-12</v>
      </c>
      <c r="FI93" s="62">
        <f t="shared" si="77"/>
        <v>274.35764100422904</v>
      </c>
      <c r="FJ93" s="62">
        <f ca="1">AVERAGE(OFFSET($FI$3,0,0,'Données projet'!$E$16+1,1))-AVERAGE(OFFSET($H$3,0,0,'Données projet'!$E$16+1,1))</f>
        <v>309.21625451786218</v>
      </c>
      <c r="FK93" s="62">
        <f t="shared" si="102"/>
        <v>302.59481222418219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-2.2737367544323206E-13</v>
      </c>
      <c r="O94" s="14">
        <f>N94*VLOOKUP('Données projet'!$B$9,Paramètres!$A$1:$I$89,3,0)*VLOOKUP('Données projet'!$B$9,Paramètres!$A$1:$I$89,5,0)</f>
        <v>-1.8089849618263545E-13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394.70330963327166</v>
      </c>
      <c r="T94" s="62">
        <f t="shared" si="88"/>
        <v>424.06445894109982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projet'!$B$10,Paramètres!$A$1:$I$89,3,0)*VLOOKUP('Données projet'!$B$10,Paramètres!$A$1:$I$89,5,0)</f>
        <v>4.6111381379887463E-14</v>
      </c>
      <c r="AK94" s="14">
        <f t="shared" si="89"/>
        <v>7.5804141040779151E-13</v>
      </c>
      <c r="AL94" s="22">
        <f t="shared" si="58"/>
        <v>1.4005661123635408E-12</v>
      </c>
      <c r="AM94" s="62">
        <f t="shared" si="59"/>
        <v>274.68682684284647</v>
      </c>
      <c r="AN94" s="62">
        <f ca="1">AVERAGE(OFFSET($AM$3,0,0,'Données projet'!$E$10+1,1))-AVERAGE(OFFSET($H$3,0,0,'Données projet'!$E$10+1,1))</f>
        <v>319.39055628111151</v>
      </c>
      <c r="AO94" s="62">
        <f t="shared" si="90"/>
        <v>312.22190035638084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-1.1368683772161603E-13</v>
      </c>
      <c r="BE94" s="14">
        <f>BD94*VLOOKUP('Données projet'!$B$11,Paramètres!$A$1:$I$89,3,0)*VLOOKUP('Données projet'!$B$11,Paramètres!$A$1:$I$89,5,0)</f>
        <v>-8.3355189417488869E-14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257.906524944431</v>
      </c>
      <c r="BJ94" s="62">
        <f t="shared" si="92"/>
        <v>274.70390601173563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-1.1368683772161603E-13</v>
      </c>
      <c r="BZ94" s="14">
        <f>BY94*VLOOKUP('Données projet'!$B$12,Paramètres!$A$1:$I$89,3,0)*VLOOKUP('Données projet'!$B$12,Paramètres!$A$1:$I$89,5,0)</f>
        <v>-9.2222762759774927E-14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272.69564942740931</v>
      </c>
      <c r="CE94" s="62">
        <f t="shared" si="94"/>
        <v>316.57989180609252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4.1025641025640995</v>
      </c>
      <c r="CT94" s="13">
        <f>IF('Données projet'!$A$140&gt;35,CT93+CS94-DB93,IF(A94&lt;'Données projet'!$A$140,$CQ$205^A94,IF(A94='Données projet'!$A$140,'Données projet'!$B$140,CT93+CS94-DB93)))</f>
        <v>268.84615384615387</v>
      </c>
      <c r="CU94" s="18">
        <f>CT94*VLOOKUP('Données projet'!$B$13,Paramètres!$A$1:$I$89,3,0)*VLOOKUP('Données projet'!$B$13,Paramètres!$A$1:$I$89,5,0)</f>
        <v>255.834</v>
      </c>
      <c r="CV94" s="14">
        <f t="shared" si="95"/>
        <v>61.833522008345177</v>
      </c>
      <c r="CW94" s="22">
        <f t="shared" si="67"/>
        <v>553.27093416453454</v>
      </c>
      <c r="CX94" s="62">
        <f t="shared" si="68"/>
        <v>827.95776100737953</v>
      </c>
      <c r="CY94" s="62">
        <f ca="1">AVERAGE(OFFSET($CX$3,0,0,'Données projet'!$E$13+1,1))-AVERAGE(OFFSET($H$3,0,0,'Données projet'!$E$13+1,1))</f>
        <v>491.87038198656927</v>
      </c>
      <c r="CZ94" s="62">
        <f t="shared" si="96"/>
        <v>406.49261644949559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5.9</v>
      </c>
      <c r="DO94" s="13">
        <f>IF('Données projet'!$A$166&gt;35,DO93+DN94-DW93,IF(A94&lt;'Données projet'!$A$166,$DL$205^A94,IF(A94='Données projet'!$A$166,'Données projet'!$B$166,DO93+DN94-DW93)))</f>
        <v>307.9000000000002</v>
      </c>
      <c r="DP94" s="18">
        <f>DO94*VLOOKUP('Données projet'!$B$14,Paramètres!$A$1:$I$89,3,0)*VLOOKUP('Données projet'!$B$14,Paramètres!$A$1:$I$89,5,0)</f>
        <v>297.80088000000023</v>
      </c>
      <c r="DQ94" s="14">
        <f t="shared" si="97"/>
        <v>70.715246231293804</v>
      </c>
      <c r="DR94" s="22">
        <f t="shared" si="70"/>
        <v>641.83225318617042</v>
      </c>
      <c r="DS94" s="62">
        <f t="shared" si="71"/>
        <v>916.51908002901541</v>
      </c>
      <c r="DT94" s="62">
        <f ca="1">AVERAGE(OFFSET($DS$3,0,0,'Données projet'!$E$14+1,1))-AVERAGE(OFFSET($H$3,0,0,'Données projet'!$E$14+1,1))</f>
        <v>603.52431522262032</v>
      </c>
      <c r="DU94" s="62">
        <f t="shared" si="98"/>
        <v>313.56299786481338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-3.4106051316484809E-13</v>
      </c>
      <c r="EK94" s="18">
        <f>EJ94*VLOOKUP('Données projet'!$B$15,Paramètres!$A$1:$I$89,3,0)*VLOOKUP('Données projet'!$B$15,Paramètres!$A$1:$I$89,5,0)</f>
        <v>-2.7134774427395314E-13</v>
      </c>
      <c r="EL94" s="14" t="e">
        <f t="shared" si="99"/>
        <v>#NUM!</v>
      </c>
      <c r="EM94" s="22" t="e">
        <f t="shared" si="73"/>
        <v>#NUM!</v>
      </c>
      <c r="EN94" s="62" t="e">
        <f t="shared" si="74"/>
        <v>#NUM!</v>
      </c>
      <c r="EO94" s="62">
        <f ca="1">AVERAGE(OFFSET($EN$3,0,0,'Données projet'!$E$15+1,1))-AVERAGE(OFFSET($H$3,0,0,'Données projet'!$E$15+1,1))</f>
        <v>450.93388191845378</v>
      </c>
      <c r="EP94" s="62">
        <f t="shared" si="100"/>
        <v>483.33635017129325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5.6843418860808015E-14</v>
      </c>
      <c r="FF94" s="18">
        <f>FE94*VLOOKUP('Données projet'!$B$16,Paramètres!$A$1:$I$89,3,0)*VLOOKUP('Données projet'!$B$16,Paramètres!$A$1:$I$89,5,0)</f>
        <v>4.4337866711430253E-14</v>
      </c>
      <c r="FG94" s="14">
        <f t="shared" si="101"/>
        <v>7.3222115536967035E-13</v>
      </c>
      <c r="FH94" s="22">
        <f t="shared" si="76"/>
        <v>1.3525069634579169E-12</v>
      </c>
      <c r="FI94" s="62">
        <f t="shared" si="77"/>
        <v>274.68682684284641</v>
      </c>
      <c r="FJ94" s="62">
        <f ca="1">AVERAGE(OFFSET($FI$3,0,0,'Données projet'!$E$16+1,1))-AVERAGE(OFFSET($H$3,0,0,'Données projet'!$E$16+1,1))</f>
        <v>309.21625451786218</v>
      </c>
      <c r="FK94" s="62">
        <f t="shared" si="102"/>
        <v>302.59481222418219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-2.2737367544323206E-13</v>
      </c>
      <c r="O95" s="14">
        <f>N95*VLOOKUP('Données projet'!$B$9,Paramètres!$A$1:$I$89,3,0)*VLOOKUP('Données projet'!$B$9,Paramètres!$A$1:$I$89,5,0)</f>
        <v>-1.8089849618263545E-13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394.70330963327166</v>
      </c>
      <c r="T95" s="62">
        <f t="shared" si="88"/>
        <v>424.06445894109982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projet'!$B$10,Paramètres!$A$1:$I$89,3,0)*VLOOKUP('Données projet'!$B$10,Paramètres!$A$1:$I$89,5,0)</f>
        <v>4.6111381379887463E-14</v>
      </c>
      <c r="AK95" s="14">
        <f t="shared" si="89"/>
        <v>7.5804141040779151E-13</v>
      </c>
      <c r="AL95" s="22">
        <f t="shared" si="58"/>
        <v>1.4005661123635408E-12</v>
      </c>
      <c r="AM95" s="62">
        <f t="shared" si="59"/>
        <v>275.01030204311314</v>
      </c>
      <c r="AN95" s="62">
        <f ca="1">AVERAGE(OFFSET($AM$3,0,0,'Données projet'!$E$10+1,1))-AVERAGE(OFFSET($H$3,0,0,'Données projet'!$E$10+1,1))</f>
        <v>319.39055628111151</v>
      </c>
      <c r="AO95" s="62">
        <f t="shared" si="90"/>
        <v>312.22190035638084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-1.1368683772161603E-13</v>
      </c>
      <c r="BE95" s="14">
        <f>BD95*VLOOKUP('Données projet'!$B$11,Paramètres!$A$1:$I$89,3,0)*VLOOKUP('Données projet'!$B$11,Paramètres!$A$1:$I$89,5,0)</f>
        <v>-8.3355189417488869E-14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257.906524944431</v>
      </c>
      <c r="BJ95" s="62">
        <f t="shared" si="92"/>
        <v>274.70390601173563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-1.1368683772161603E-13</v>
      </c>
      <c r="BZ95" s="14">
        <f>BY95*VLOOKUP('Données projet'!$B$12,Paramètres!$A$1:$I$89,3,0)*VLOOKUP('Données projet'!$B$12,Paramètres!$A$1:$I$89,5,0)</f>
        <v>-9.2222762759774927E-14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272.69564942740931</v>
      </c>
      <c r="CE95" s="62">
        <f t="shared" si="94"/>
        <v>316.57989180609252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4.1025641025640995</v>
      </c>
      <c r="CT95" s="13">
        <f>IF('Données projet'!$A$140&gt;35,CT94+CS95-DB94,IF(A95&lt;'Données projet'!$A$140,$CQ$205^A95,IF(A95='Données projet'!$A$140,'Données projet'!$B$140,CT94+CS95-DB94)))</f>
        <v>272.94871794871796</v>
      </c>
      <c r="CU95" s="18">
        <f>CT95*VLOOKUP('Données projet'!$B$13,Paramètres!$A$1:$I$89,3,0)*VLOOKUP('Données projet'!$B$13,Paramètres!$A$1:$I$89,5,0)</f>
        <v>259.738</v>
      </c>
      <c r="CV95" s="14">
        <f t="shared" si="95"/>
        <v>62.666526867248265</v>
      </c>
      <c r="CW95" s="22">
        <f t="shared" si="67"/>
        <v>561.52121762712397</v>
      </c>
      <c r="CX95" s="62">
        <f t="shared" si="68"/>
        <v>836.53151967023564</v>
      </c>
      <c r="CY95" s="62">
        <f ca="1">AVERAGE(OFFSET($CX$3,0,0,'Données projet'!$E$13+1,1))-AVERAGE(OFFSET($H$3,0,0,'Données projet'!$E$13+1,1))</f>
        <v>491.87038198656927</v>
      </c>
      <c r="CZ95" s="62">
        <f t="shared" si="96"/>
        <v>406.49261644949559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5.9</v>
      </c>
      <c r="DO95" s="13">
        <f>IF('Données projet'!$A$166&gt;35,DO94+DN95-DW94,IF(A95&lt;'Données projet'!$A$166,$DL$205^A95,IF(A95='Données projet'!$A$166,'Données projet'!$B$166,DO94+DN95-DW94)))</f>
        <v>313.80000000000018</v>
      </c>
      <c r="DP95" s="18">
        <f>DO95*VLOOKUP('Données projet'!$B$14,Paramètres!$A$1:$I$89,3,0)*VLOOKUP('Données projet'!$B$14,Paramètres!$A$1:$I$89,5,0)</f>
        <v>303.50736000000023</v>
      </c>
      <c r="DQ95" s="14">
        <f t="shared" si="97"/>
        <v>71.911242710970541</v>
      </c>
      <c r="DR95" s="22">
        <f t="shared" si="70"/>
        <v>653.85406638827408</v>
      </c>
      <c r="DS95" s="62">
        <f t="shared" si="71"/>
        <v>928.86436843138586</v>
      </c>
      <c r="DT95" s="62">
        <f ca="1">AVERAGE(OFFSET($DS$3,0,0,'Données projet'!$E$14+1,1))-AVERAGE(OFFSET($H$3,0,0,'Données projet'!$E$14+1,1))</f>
        <v>603.52431522262032</v>
      </c>
      <c r="DU95" s="62">
        <f t="shared" si="98"/>
        <v>313.56299786481338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-3.4106051316484809E-13</v>
      </c>
      <c r="EK95" s="18">
        <f>EJ95*VLOOKUP('Données projet'!$B$15,Paramètres!$A$1:$I$89,3,0)*VLOOKUP('Données projet'!$B$15,Paramètres!$A$1:$I$89,5,0)</f>
        <v>-2.7134774427395314E-13</v>
      </c>
      <c r="EL95" s="14" t="e">
        <f t="shared" si="99"/>
        <v>#NUM!</v>
      </c>
      <c r="EM95" s="22" t="e">
        <f t="shared" si="73"/>
        <v>#NUM!</v>
      </c>
      <c r="EN95" s="62" t="e">
        <f t="shared" si="74"/>
        <v>#NUM!</v>
      </c>
      <c r="EO95" s="62">
        <f ca="1">AVERAGE(OFFSET($EN$3,0,0,'Données projet'!$E$15+1,1))-AVERAGE(OFFSET($H$3,0,0,'Données projet'!$E$15+1,1))</f>
        <v>450.93388191845378</v>
      </c>
      <c r="EP95" s="62">
        <f t="shared" si="100"/>
        <v>483.33635017129325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5.6843418860808015E-14</v>
      </c>
      <c r="FF95" s="18">
        <f>FE95*VLOOKUP('Données projet'!$B$16,Paramètres!$A$1:$I$89,3,0)*VLOOKUP('Données projet'!$B$16,Paramètres!$A$1:$I$89,5,0)</f>
        <v>4.4337866711430253E-14</v>
      </c>
      <c r="FG95" s="14">
        <f t="shared" si="101"/>
        <v>7.3222115536967035E-13</v>
      </c>
      <c r="FH95" s="22">
        <f t="shared" si="76"/>
        <v>1.3525069634579169E-12</v>
      </c>
      <c r="FI95" s="62">
        <f t="shared" si="77"/>
        <v>275.01030204311309</v>
      </c>
      <c r="FJ95" s="62">
        <f ca="1">AVERAGE(OFFSET($FI$3,0,0,'Données projet'!$E$16+1,1))-AVERAGE(OFFSET($H$3,0,0,'Données projet'!$E$16+1,1))</f>
        <v>309.21625451786218</v>
      </c>
      <c r="FK95" s="62">
        <f t="shared" si="102"/>
        <v>302.59481222418219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-2.2737367544323206E-13</v>
      </c>
      <c r="O96" s="14">
        <f>N96*VLOOKUP('Données projet'!$B$9,Paramètres!$A$1:$I$89,3,0)*VLOOKUP('Données projet'!$B$9,Paramètres!$A$1:$I$89,5,0)</f>
        <v>-1.8089849618263545E-13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394.70330963327166</v>
      </c>
      <c r="T96" s="62">
        <f t="shared" si="88"/>
        <v>424.06445894109982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projet'!$B$10,Paramètres!$A$1:$I$89,3,0)*VLOOKUP('Données projet'!$B$10,Paramètres!$A$1:$I$89,5,0)</f>
        <v>4.6111381379887463E-14</v>
      </c>
      <c r="AK96" s="14">
        <f t="shared" si="89"/>
        <v>7.5804141040779151E-13</v>
      </c>
      <c r="AL96" s="22">
        <f t="shared" si="58"/>
        <v>1.4005661123635408E-12</v>
      </c>
      <c r="AM96" s="62">
        <f t="shared" si="59"/>
        <v>275.32816567183738</v>
      </c>
      <c r="AN96" s="62">
        <f ca="1">AVERAGE(OFFSET($AM$3,0,0,'Données projet'!$E$10+1,1))-AVERAGE(OFFSET($H$3,0,0,'Données projet'!$E$10+1,1))</f>
        <v>319.39055628111151</v>
      </c>
      <c r="AO96" s="62">
        <f t="shared" si="90"/>
        <v>312.22190035638084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-1.1368683772161603E-13</v>
      </c>
      <c r="BE96" s="14">
        <f>BD96*VLOOKUP('Données projet'!$B$11,Paramètres!$A$1:$I$89,3,0)*VLOOKUP('Données projet'!$B$11,Paramètres!$A$1:$I$89,5,0)</f>
        <v>-8.3355189417488869E-14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257.906524944431</v>
      </c>
      <c r="BJ96" s="62">
        <f t="shared" si="92"/>
        <v>274.70390601173563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-1.1368683772161603E-13</v>
      </c>
      <c r="BZ96" s="14">
        <f>BY96*VLOOKUP('Données projet'!$B$12,Paramètres!$A$1:$I$89,3,0)*VLOOKUP('Données projet'!$B$12,Paramètres!$A$1:$I$89,5,0)</f>
        <v>-9.2222762759774927E-14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272.69564942740931</v>
      </c>
      <c r="CE96" s="62">
        <f t="shared" si="94"/>
        <v>316.57989180609252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4.1025641025640995</v>
      </c>
      <c r="CT96" s="13">
        <f>IF('Données projet'!$A$140&gt;35,CT95+CS96-DB95,IF(A96&lt;'Données projet'!$A$140,$CQ$205^A96,IF(A96='Données projet'!$A$140,'Données projet'!$B$140,CT95+CS96-DB95)))</f>
        <v>277.05128205128204</v>
      </c>
      <c r="CU96" s="18">
        <f>CT96*VLOOKUP('Données projet'!$B$13,Paramètres!$A$1:$I$89,3,0)*VLOOKUP('Données projet'!$B$13,Paramètres!$A$1:$I$89,5,0)</f>
        <v>263.642</v>
      </c>
      <c r="CV96" s="14">
        <f t="shared" si="95"/>
        <v>63.498075555523421</v>
      </c>
      <c r="CW96" s="22">
        <f t="shared" si="67"/>
        <v>569.76896492586991</v>
      </c>
      <c r="CX96" s="62">
        <f t="shared" si="68"/>
        <v>845.09713059770593</v>
      </c>
      <c r="CY96" s="62">
        <f ca="1">AVERAGE(OFFSET($CX$3,0,0,'Données projet'!$E$13+1,1))-AVERAGE(OFFSET($H$3,0,0,'Données projet'!$E$13+1,1))</f>
        <v>491.87038198656927</v>
      </c>
      <c r="CZ96" s="62">
        <f t="shared" si="96"/>
        <v>406.49261644949559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5.9</v>
      </c>
      <c r="DO96" s="13">
        <f>IF('Données projet'!$A$166&gt;35,DO95+DN96-DW95,IF(A96&lt;'Données projet'!$A$166,$DL$205^A96,IF(A96='Données projet'!$A$166,'Données projet'!$B$166,DO95+DN96-DW95)))</f>
        <v>319.70000000000016</v>
      </c>
      <c r="DP96" s="18">
        <f>DO96*VLOOKUP('Données projet'!$B$14,Paramètres!$A$1:$I$89,3,0)*VLOOKUP('Données projet'!$B$14,Paramètres!$A$1:$I$89,5,0)</f>
        <v>309.21384000000012</v>
      </c>
      <c r="DQ96" s="14">
        <f t="shared" si="97"/>
        <v>73.104624418450499</v>
      </c>
      <c r="DR96" s="22">
        <f t="shared" si="70"/>
        <v>665.87132552880155</v>
      </c>
      <c r="DS96" s="62">
        <f t="shared" si="71"/>
        <v>941.19949120063757</v>
      </c>
      <c r="DT96" s="62">
        <f ca="1">AVERAGE(OFFSET($DS$3,0,0,'Données projet'!$E$14+1,1))-AVERAGE(OFFSET($H$3,0,0,'Données projet'!$E$14+1,1))</f>
        <v>603.52431522262032</v>
      </c>
      <c r="DU96" s="62">
        <f t="shared" si="98"/>
        <v>313.56299786481338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-3.4106051316484809E-13</v>
      </c>
      <c r="EK96" s="18">
        <f>EJ96*VLOOKUP('Données projet'!$B$15,Paramètres!$A$1:$I$89,3,0)*VLOOKUP('Données projet'!$B$15,Paramètres!$A$1:$I$89,5,0)</f>
        <v>-2.7134774427395314E-13</v>
      </c>
      <c r="EL96" s="14" t="e">
        <f t="shared" si="99"/>
        <v>#NUM!</v>
      </c>
      <c r="EM96" s="22" t="e">
        <f t="shared" si="73"/>
        <v>#NUM!</v>
      </c>
      <c r="EN96" s="62" t="e">
        <f t="shared" si="74"/>
        <v>#NUM!</v>
      </c>
      <c r="EO96" s="62">
        <f ca="1">AVERAGE(OFFSET($EN$3,0,0,'Données projet'!$E$15+1,1))-AVERAGE(OFFSET($H$3,0,0,'Données projet'!$E$15+1,1))</f>
        <v>450.93388191845378</v>
      </c>
      <c r="EP96" s="62">
        <f t="shared" si="100"/>
        <v>483.33635017129325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5.6843418860808015E-14</v>
      </c>
      <c r="FF96" s="18">
        <f>FE96*VLOOKUP('Données projet'!$B$16,Paramètres!$A$1:$I$89,3,0)*VLOOKUP('Données projet'!$B$16,Paramètres!$A$1:$I$89,5,0)</f>
        <v>4.4337866711430253E-14</v>
      </c>
      <c r="FG96" s="14">
        <f t="shared" si="101"/>
        <v>7.3222115536967035E-13</v>
      </c>
      <c r="FH96" s="22">
        <f t="shared" si="76"/>
        <v>1.3525069634579169E-12</v>
      </c>
      <c r="FI96" s="62">
        <f t="shared" si="77"/>
        <v>275.32816567183733</v>
      </c>
      <c r="FJ96" s="62">
        <f ca="1">AVERAGE(OFFSET($FI$3,0,0,'Données projet'!$E$16+1,1))-AVERAGE(OFFSET($H$3,0,0,'Données projet'!$E$16+1,1))</f>
        <v>309.21625451786218</v>
      </c>
      <c r="FK96" s="62">
        <f t="shared" si="102"/>
        <v>302.59481222418219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-2.2737367544323206E-13</v>
      </c>
      <c r="O97" s="14">
        <f>N97*VLOOKUP('Données projet'!$B$9,Paramètres!$A$1:$I$89,3,0)*VLOOKUP('Données projet'!$B$9,Paramètres!$A$1:$I$89,5,0)</f>
        <v>-1.8089849618263545E-13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394.70330963327166</v>
      </c>
      <c r="T97" s="62">
        <f t="shared" si="88"/>
        <v>424.06445894109982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projet'!$B$10,Paramètres!$A$1:$I$89,3,0)*VLOOKUP('Données projet'!$B$10,Paramètres!$A$1:$I$89,5,0)</f>
        <v>4.6111381379887463E-14</v>
      </c>
      <c r="AK97" s="14">
        <f t="shared" si="89"/>
        <v>7.5804141040779151E-13</v>
      </c>
      <c r="AL97" s="22">
        <f t="shared" si="58"/>
        <v>1.4005661123635408E-12</v>
      </c>
      <c r="AM97" s="62">
        <f t="shared" si="59"/>
        <v>275.64051507723991</v>
      </c>
      <c r="AN97" s="62">
        <f ca="1">AVERAGE(OFFSET($AM$3,0,0,'Données projet'!$E$10+1,1))-AVERAGE(OFFSET($H$3,0,0,'Données projet'!$E$10+1,1))</f>
        <v>319.39055628111151</v>
      </c>
      <c r="AO97" s="62">
        <f t="shared" si="90"/>
        <v>312.22190035638084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-1.1368683772161603E-13</v>
      </c>
      <c r="BE97" s="14">
        <f>BD97*VLOOKUP('Données projet'!$B$11,Paramètres!$A$1:$I$89,3,0)*VLOOKUP('Données projet'!$B$11,Paramètres!$A$1:$I$89,5,0)</f>
        <v>-8.3355189417488869E-14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257.906524944431</v>
      </c>
      <c r="BJ97" s="62">
        <f t="shared" si="92"/>
        <v>274.70390601173563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-1.1368683772161603E-13</v>
      </c>
      <c r="BZ97" s="14">
        <f>BY97*VLOOKUP('Données projet'!$B$12,Paramètres!$A$1:$I$89,3,0)*VLOOKUP('Données projet'!$B$12,Paramètres!$A$1:$I$89,5,0)</f>
        <v>-9.2222762759774927E-14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272.69564942740931</v>
      </c>
      <c r="CE97" s="62">
        <f t="shared" si="94"/>
        <v>316.57989180609252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4.1025641025640995</v>
      </c>
      <c r="CT97" s="13">
        <f>IF('Données projet'!$A$140&gt;35,CT96+CS97-DB96,IF(A97&lt;'Données projet'!$A$140,$CQ$205^A97,IF(A97='Données projet'!$A$140,'Données projet'!$B$140,CT96+CS97-DB96)))</f>
        <v>281.15384615384613</v>
      </c>
      <c r="CU97" s="18">
        <f>CT97*VLOOKUP('Données projet'!$B$13,Paramètres!$A$1:$I$89,3,0)*VLOOKUP('Données projet'!$B$13,Paramètres!$A$1:$I$89,5,0)</f>
        <v>267.54599999999999</v>
      </c>
      <c r="CV97" s="14">
        <f t="shared" si="95"/>
        <v>64.328192127044773</v>
      </c>
      <c r="CW97" s="22">
        <f t="shared" si="67"/>
        <v>578.01421795460294</v>
      </c>
      <c r="CX97" s="62">
        <f t="shared" si="68"/>
        <v>853.65473303184149</v>
      </c>
      <c r="CY97" s="62">
        <f ca="1">AVERAGE(OFFSET($CX$3,0,0,'Données projet'!$E$13+1,1))-AVERAGE(OFFSET($H$3,0,0,'Données projet'!$E$13+1,1))</f>
        <v>491.87038198656927</v>
      </c>
      <c r="CZ97" s="62">
        <f t="shared" si="96"/>
        <v>406.49261644949559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5.9</v>
      </c>
      <c r="DO97" s="13">
        <f>IF('Données projet'!$A$166&gt;35,DO96+DN97-DW96,IF(A97&lt;'Données projet'!$A$166,$DL$205^A97,IF(A97='Données projet'!$A$166,'Données projet'!$B$166,DO96+DN97-DW96)))</f>
        <v>325.60000000000014</v>
      </c>
      <c r="DP97" s="18">
        <f>DO97*VLOOKUP('Données projet'!$B$14,Paramètres!$A$1:$I$89,3,0)*VLOOKUP('Données projet'!$B$14,Paramètres!$A$1:$I$89,5,0)</f>
        <v>314.92032000000012</v>
      </c>
      <c r="DQ97" s="14">
        <f t="shared" si="97"/>
        <v>74.295445174069556</v>
      </c>
      <c r="DR97" s="22">
        <f t="shared" si="70"/>
        <v>677.88412434483791</v>
      </c>
      <c r="DS97" s="62">
        <f t="shared" si="71"/>
        <v>953.52463942207646</v>
      </c>
      <c r="DT97" s="62">
        <f ca="1">AVERAGE(OFFSET($DS$3,0,0,'Données projet'!$E$14+1,1))-AVERAGE(OFFSET($H$3,0,0,'Données projet'!$E$14+1,1))</f>
        <v>603.52431522262032</v>
      </c>
      <c r="DU97" s="62">
        <f t="shared" si="98"/>
        <v>313.56299786481338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-3.4106051316484809E-13</v>
      </c>
      <c r="EK97" s="18">
        <f>EJ97*VLOOKUP('Données projet'!$B$15,Paramètres!$A$1:$I$89,3,0)*VLOOKUP('Données projet'!$B$15,Paramètres!$A$1:$I$89,5,0)</f>
        <v>-2.7134774427395314E-13</v>
      </c>
      <c r="EL97" s="14" t="e">
        <f t="shared" si="99"/>
        <v>#NUM!</v>
      </c>
      <c r="EM97" s="22" t="e">
        <f t="shared" si="73"/>
        <v>#NUM!</v>
      </c>
      <c r="EN97" s="62" t="e">
        <f t="shared" si="74"/>
        <v>#NUM!</v>
      </c>
      <c r="EO97" s="62">
        <f ca="1">AVERAGE(OFFSET($EN$3,0,0,'Données projet'!$E$15+1,1))-AVERAGE(OFFSET($H$3,0,0,'Données projet'!$E$15+1,1))</f>
        <v>450.93388191845378</v>
      </c>
      <c r="EP97" s="62">
        <f t="shared" si="100"/>
        <v>483.33635017129325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5.6843418860808015E-14</v>
      </c>
      <c r="FF97" s="18">
        <f>FE97*VLOOKUP('Données projet'!$B$16,Paramètres!$A$1:$I$89,3,0)*VLOOKUP('Données projet'!$B$16,Paramètres!$A$1:$I$89,5,0)</f>
        <v>4.4337866711430253E-14</v>
      </c>
      <c r="FG97" s="14">
        <f t="shared" si="101"/>
        <v>7.3222115536967035E-13</v>
      </c>
      <c r="FH97" s="22">
        <f t="shared" si="76"/>
        <v>1.3525069634579169E-12</v>
      </c>
      <c r="FI97" s="62">
        <f t="shared" si="77"/>
        <v>275.64051507723985</v>
      </c>
      <c r="FJ97" s="62">
        <f ca="1">AVERAGE(OFFSET($FI$3,0,0,'Données projet'!$E$16+1,1))-AVERAGE(OFFSET($H$3,0,0,'Données projet'!$E$16+1,1))</f>
        <v>309.21625451786218</v>
      </c>
      <c r="FK97" s="62">
        <f t="shared" si="102"/>
        <v>302.59481222418219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-2.2737367544323206E-13</v>
      </c>
      <c r="O98" s="14">
        <f>N98*VLOOKUP('Données projet'!$B$9,Paramètres!$A$1:$I$89,3,0)*VLOOKUP('Données projet'!$B$9,Paramètres!$A$1:$I$89,5,0)</f>
        <v>-1.8089849618263545E-13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394.70330963327166</v>
      </c>
      <c r="T98" s="62">
        <f t="shared" si="88"/>
        <v>424.06445894109982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projet'!$B$10,Paramètres!$A$1:$I$89,3,0)*VLOOKUP('Données projet'!$B$10,Paramètres!$A$1:$I$89,5,0)</f>
        <v>4.6111381379887463E-14</v>
      </c>
      <c r="AK98" s="14">
        <f t="shared" si="89"/>
        <v>7.5804141040779151E-13</v>
      </c>
      <c r="AL98" s="22">
        <f t="shared" si="58"/>
        <v>1.4005661123635408E-12</v>
      </c>
      <c r="AM98" s="62">
        <f t="shared" si="59"/>
        <v>275.94744591876736</v>
      </c>
      <c r="AN98" s="62">
        <f ca="1">AVERAGE(OFFSET($AM$3,0,0,'Données projet'!$E$10+1,1))-AVERAGE(OFFSET($H$3,0,0,'Données projet'!$E$10+1,1))</f>
        <v>319.39055628111151</v>
      </c>
      <c r="AO98" s="62">
        <f t="shared" si="90"/>
        <v>312.22190035638084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-1.1368683772161603E-13</v>
      </c>
      <c r="BE98" s="14">
        <f>BD98*VLOOKUP('Données projet'!$B$11,Paramètres!$A$1:$I$89,3,0)*VLOOKUP('Données projet'!$B$11,Paramètres!$A$1:$I$89,5,0)</f>
        <v>-8.3355189417488869E-14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257.906524944431</v>
      </c>
      <c r="BJ98" s="62">
        <f t="shared" si="92"/>
        <v>274.70390601173563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-1.1368683772161603E-13</v>
      </c>
      <c r="BZ98" s="14">
        <f>BY98*VLOOKUP('Données projet'!$B$12,Paramètres!$A$1:$I$89,3,0)*VLOOKUP('Données projet'!$B$12,Paramètres!$A$1:$I$89,5,0)</f>
        <v>-9.2222762759774927E-14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272.69564942740931</v>
      </c>
      <c r="CE98" s="62">
        <f t="shared" si="94"/>
        <v>316.57989180609252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285.25641025641022</v>
      </c>
      <c r="CR98" s="13">
        <f>VLOOKUP(A98,'Données projet'!$A$139:$I$159,9,0)</f>
        <v>4.1025641025640995</v>
      </c>
      <c r="CS98" s="13">
        <f t="array" ref="CS98">INDEX(CR:CR,MIN(IF(ISNUMBER(CR98:CR294),ROW(CR98:CR294),"")))</f>
        <v>4.1025641025640995</v>
      </c>
      <c r="CT98" s="13">
        <f>IF('Données projet'!$A$140&gt;35,CT97+CS98-DB97,IF(A98&lt;'Données projet'!$A$140,$CQ$205^A98,IF(A98='Données projet'!$A$140,'Données projet'!$B$140,CT97+CS98-DB97)))</f>
        <v>285.25641025641022</v>
      </c>
      <c r="CU98" s="18">
        <f>CT98*VLOOKUP('Données projet'!$B$13,Paramètres!$A$1:$I$89,3,0)*VLOOKUP('Données projet'!$B$13,Paramètres!$A$1:$I$89,5,0)</f>
        <v>271.44999999999993</v>
      </c>
      <c r="CV98" s="14">
        <f t="shared" si="95"/>
        <v>65.15689989340008</v>
      </c>
      <c r="CW98" s="22">
        <f t="shared" si="67"/>
        <v>586.25701731433821</v>
      </c>
      <c r="CX98" s="62">
        <f t="shared" si="68"/>
        <v>862.20446323310421</v>
      </c>
      <c r="CY98" s="62">
        <f ca="1">AVERAGE(OFFSET($CX$3,0,0,'Données projet'!$E$13+1,1))-AVERAGE(OFFSET($H$3,0,0,'Données projet'!$E$13+1,1))</f>
        <v>491.87038198656927</v>
      </c>
      <c r="CZ98" s="62">
        <f t="shared" si="96"/>
        <v>406.49261644949559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5.9</v>
      </c>
      <c r="DO98" s="13">
        <f>IF('Données projet'!$A$166&gt;35,DO97+DN98-DW97,IF(A98&lt;'Données projet'!$A$166,$DL$205^A98,IF(A98='Données projet'!$A$166,'Données projet'!$B$166,DO97+DN98-DW97)))</f>
        <v>331.50000000000011</v>
      </c>
      <c r="DP98" s="18">
        <f>DO98*VLOOKUP('Données projet'!$B$14,Paramètres!$A$1:$I$89,3,0)*VLOOKUP('Données projet'!$B$14,Paramètres!$A$1:$I$89,5,0)</f>
        <v>320.62680000000012</v>
      </c>
      <c r="DQ98" s="14">
        <f t="shared" si="97"/>
        <v>75.483756735990909</v>
      </c>
      <c r="DR98" s="22">
        <f t="shared" si="70"/>
        <v>689.89255298185105</v>
      </c>
      <c r="DS98" s="62">
        <f t="shared" si="71"/>
        <v>965.83999890061705</v>
      </c>
      <c r="DT98" s="62">
        <f ca="1">AVERAGE(OFFSET($DS$3,0,0,'Données projet'!$E$14+1,1))-AVERAGE(OFFSET($H$3,0,0,'Données projet'!$E$14+1,1))</f>
        <v>603.52431522262032</v>
      </c>
      <c r="DU98" s="62">
        <f t="shared" si="98"/>
        <v>313.56299786481338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-3.4106051316484809E-13</v>
      </c>
      <c r="EK98" s="18">
        <f>EJ98*VLOOKUP('Données projet'!$B$15,Paramètres!$A$1:$I$89,3,0)*VLOOKUP('Données projet'!$B$15,Paramètres!$A$1:$I$89,5,0)</f>
        <v>-2.7134774427395314E-13</v>
      </c>
      <c r="EL98" s="14" t="e">
        <f t="shared" si="99"/>
        <v>#NUM!</v>
      </c>
      <c r="EM98" s="22" t="e">
        <f t="shared" si="73"/>
        <v>#NUM!</v>
      </c>
      <c r="EN98" s="62" t="e">
        <f t="shared" si="74"/>
        <v>#NUM!</v>
      </c>
      <c r="EO98" s="62">
        <f ca="1">AVERAGE(OFFSET($EN$3,0,0,'Données projet'!$E$15+1,1))-AVERAGE(OFFSET($H$3,0,0,'Données projet'!$E$15+1,1))</f>
        <v>450.93388191845378</v>
      </c>
      <c r="EP98" s="62">
        <f t="shared" si="100"/>
        <v>483.33635017129325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5.6843418860808015E-14</v>
      </c>
      <c r="FF98" s="18">
        <f>FE98*VLOOKUP('Données projet'!$B$16,Paramètres!$A$1:$I$89,3,0)*VLOOKUP('Données projet'!$B$16,Paramètres!$A$1:$I$89,5,0)</f>
        <v>4.4337866711430253E-14</v>
      </c>
      <c r="FG98" s="14">
        <f t="shared" si="101"/>
        <v>7.3222115536967035E-13</v>
      </c>
      <c r="FH98" s="22">
        <f t="shared" si="76"/>
        <v>1.3525069634579169E-12</v>
      </c>
      <c r="FI98" s="62">
        <f t="shared" si="77"/>
        <v>275.9474459187673</v>
      </c>
      <c r="FJ98" s="62">
        <f ca="1">AVERAGE(OFFSET($FI$3,0,0,'Données projet'!$E$16+1,1))-AVERAGE(OFFSET($H$3,0,0,'Données projet'!$E$16+1,1))</f>
        <v>309.21625451786218</v>
      </c>
      <c r="FK98" s="62">
        <f t="shared" si="102"/>
        <v>302.59481222418219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-2.2737367544323206E-13</v>
      </c>
      <c r="O99" s="14">
        <f>N99*VLOOKUP('Données projet'!$B$9,Paramètres!$A$1:$I$89,3,0)*VLOOKUP('Données projet'!$B$9,Paramètres!$A$1:$I$89,5,0)</f>
        <v>-1.8089849618263545E-13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394.70330963327166</v>
      </c>
      <c r="T99" s="62">
        <f t="shared" si="88"/>
        <v>424.06445894109982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projet'!$B$10,Paramètres!$A$1:$I$89,3,0)*VLOOKUP('Données projet'!$B$10,Paramètres!$A$1:$I$89,5,0)</f>
        <v>4.6111381379887463E-14</v>
      </c>
      <c r="AK99" s="14">
        <f t="shared" si="89"/>
        <v>7.5804141040779151E-13</v>
      </c>
      <c r="AL99" s="22">
        <f t="shared" si="58"/>
        <v>1.4005661123635408E-12</v>
      </c>
      <c r="AM99" s="62">
        <f t="shared" si="59"/>
        <v>276.24905219638885</v>
      </c>
      <c r="AN99" s="62">
        <f ca="1">AVERAGE(OFFSET($AM$3,0,0,'Données projet'!$E$10+1,1))-AVERAGE(OFFSET($H$3,0,0,'Données projet'!$E$10+1,1))</f>
        <v>319.39055628111151</v>
      </c>
      <c r="AO99" s="62">
        <f t="shared" si="90"/>
        <v>312.22190035638084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-1.1368683772161603E-13</v>
      </c>
      <c r="BE99" s="14">
        <f>BD99*VLOOKUP('Données projet'!$B$11,Paramètres!$A$1:$I$89,3,0)*VLOOKUP('Données projet'!$B$11,Paramètres!$A$1:$I$89,5,0)</f>
        <v>-8.3355189417488869E-14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257.906524944431</v>
      </c>
      <c r="BJ99" s="62">
        <f t="shared" si="92"/>
        <v>274.70390601173563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-1.1368683772161603E-13</v>
      </c>
      <c r="BZ99" s="14">
        <f>BY99*VLOOKUP('Données projet'!$B$12,Paramètres!$A$1:$I$89,3,0)*VLOOKUP('Données projet'!$B$12,Paramètres!$A$1:$I$89,5,0)</f>
        <v>-9.2222762759774927E-14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272.69564942740931</v>
      </c>
      <c r="CE99" s="62">
        <f t="shared" si="94"/>
        <v>316.57989180609252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4.1025641025641111</v>
      </c>
      <c r="CT99" s="13">
        <f>IF('Données projet'!$A$140&gt;35,CT98+CS99-DB98,IF(A99&lt;'Données projet'!$A$140,$CQ$205^A99,IF(A99='Données projet'!$A$140,'Données projet'!$B$140,CT98+CS99-DB98)))</f>
        <v>289.35897435897431</v>
      </c>
      <c r="CU99" s="18">
        <f>CT99*VLOOKUP('Données projet'!$B$13,Paramètres!$A$1:$I$89,3,0)*VLOOKUP('Données projet'!$B$13,Paramètres!$A$1:$I$89,5,0)</f>
        <v>275.35399999999993</v>
      </c>
      <c r="CV99" s="14">
        <f t="shared" si="95"/>
        <v>65.984221457137295</v>
      </c>
      <c r="CW99" s="22">
        <f t="shared" si="67"/>
        <v>594.49740237118067</v>
      </c>
      <c r="CX99" s="62">
        <f t="shared" si="68"/>
        <v>870.74645456756809</v>
      </c>
      <c r="CY99" s="62">
        <f ca="1">AVERAGE(OFFSET($CX$3,0,0,'Données projet'!$E$13+1,1))-AVERAGE(OFFSET($H$3,0,0,'Données projet'!$E$13+1,1))</f>
        <v>491.87038198656927</v>
      </c>
      <c r="CZ99" s="62">
        <f t="shared" si="96"/>
        <v>406.49261644949559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5.9</v>
      </c>
      <c r="DO99" s="13">
        <f>IF('Données projet'!$A$166&gt;35,DO98+DN99-DW98,IF(A99&lt;'Données projet'!$A$166,$DL$205^A99,IF(A99='Données projet'!$A$166,'Données projet'!$B$166,DO98+DN99-DW98)))</f>
        <v>337.40000000000009</v>
      </c>
      <c r="DP99" s="18">
        <f>DO99*VLOOKUP('Données projet'!$B$14,Paramètres!$A$1:$I$89,3,0)*VLOOKUP('Données projet'!$B$14,Paramètres!$A$1:$I$89,5,0)</f>
        <v>326.33328000000006</v>
      </c>
      <c r="DQ99" s="14">
        <f t="shared" si="97"/>
        <v>76.669608914490098</v>
      </c>
      <c r="DR99" s="22">
        <f t="shared" si="70"/>
        <v>701.89669819273695</v>
      </c>
      <c r="DS99" s="62">
        <f t="shared" si="71"/>
        <v>978.14575038912437</v>
      </c>
      <c r="DT99" s="62">
        <f ca="1">AVERAGE(OFFSET($DS$3,0,0,'Données projet'!$E$14+1,1))-AVERAGE(OFFSET($H$3,0,0,'Données projet'!$E$14+1,1))</f>
        <v>603.52431522262032</v>
      </c>
      <c r="DU99" s="62">
        <f t="shared" si="98"/>
        <v>313.56299786481338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-3.4106051316484809E-13</v>
      </c>
      <c r="EK99" s="18">
        <f>EJ99*VLOOKUP('Données projet'!$B$15,Paramètres!$A$1:$I$89,3,0)*VLOOKUP('Données projet'!$B$15,Paramètres!$A$1:$I$89,5,0)</f>
        <v>-2.7134774427395314E-13</v>
      </c>
      <c r="EL99" s="14" t="e">
        <f t="shared" si="99"/>
        <v>#NUM!</v>
      </c>
      <c r="EM99" s="22" t="e">
        <f t="shared" si="73"/>
        <v>#NUM!</v>
      </c>
      <c r="EN99" s="62" t="e">
        <f t="shared" si="74"/>
        <v>#NUM!</v>
      </c>
      <c r="EO99" s="62">
        <f ca="1">AVERAGE(OFFSET($EN$3,0,0,'Données projet'!$E$15+1,1))-AVERAGE(OFFSET($H$3,0,0,'Données projet'!$E$15+1,1))</f>
        <v>450.93388191845378</v>
      </c>
      <c r="EP99" s="62">
        <f t="shared" si="100"/>
        <v>483.33635017129325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5.6843418860808015E-14</v>
      </c>
      <c r="FF99" s="18">
        <f>FE99*VLOOKUP('Données projet'!$B$16,Paramètres!$A$1:$I$89,3,0)*VLOOKUP('Données projet'!$B$16,Paramètres!$A$1:$I$89,5,0)</f>
        <v>4.4337866711430253E-14</v>
      </c>
      <c r="FG99" s="14">
        <f t="shared" si="101"/>
        <v>7.3222115536967035E-13</v>
      </c>
      <c r="FH99" s="22">
        <f t="shared" si="76"/>
        <v>1.3525069634579169E-12</v>
      </c>
      <c r="FI99" s="62">
        <f t="shared" si="77"/>
        <v>276.24905219638879</v>
      </c>
      <c r="FJ99" s="62">
        <f ca="1">AVERAGE(OFFSET($FI$3,0,0,'Données projet'!$E$16+1,1))-AVERAGE(OFFSET($H$3,0,0,'Données projet'!$E$16+1,1))</f>
        <v>309.21625451786218</v>
      </c>
      <c r="FK99" s="62">
        <f t="shared" si="102"/>
        <v>302.59481222418219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-2.2737367544323206E-13</v>
      </c>
      <c r="O100" s="14">
        <f>N100*VLOOKUP('Données projet'!$B$9,Paramètres!$A$1:$I$89,3,0)*VLOOKUP('Données projet'!$B$9,Paramètres!$A$1:$I$89,5,0)</f>
        <v>-1.8089849618263545E-13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394.70330963327166</v>
      </c>
      <c r="T100" s="62">
        <f t="shared" si="88"/>
        <v>424.06445894109982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projet'!$B$10,Paramètres!$A$1:$I$89,3,0)*VLOOKUP('Données projet'!$B$10,Paramètres!$A$1:$I$89,5,0)</f>
        <v>4.6111381379887463E-14</v>
      </c>
      <c r="AK100" s="14">
        <f t="shared" si="89"/>
        <v>7.5804141040779151E-13</v>
      </c>
      <c r="AL100" s="22">
        <f t="shared" si="58"/>
        <v>1.4005661123635408E-12</v>
      </c>
      <c r="AM100" s="62">
        <f t="shared" si="59"/>
        <v>276.54542627938423</v>
      </c>
      <c r="AN100" s="62">
        <f ca="1">AVERAGE(OFFSET($AM$3,0,0,'Données projet'!$E$10+1,1))-AVERAGE(OFFSET($H$3,0,0,'Données projet'!$E$10+1,1))</f>
        <v>319.39055628111151</v>
      </c>
      <c r="AO100" s="62">
        <f t="shared" si="90"/>
        <v>312.22190035638084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-1.1368683772161603E-13</v>
      </c>
      <c r="BE100" s="14">
        <f>BD100*VLOOKUP('Données projet'!$B$11,Paramètres!$A$1:$I$89,3,0)*VLOOKUP('Données projet'!$B$11,Paramètres!$A$1:$I$89,5,0)</f>
        <v>-8.3355189417488869E-14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257.906524944431</v>
      </c>
      <c r="BJ100" s="62">
        <f t="shared" si="92"/>
        <v>274.70390601173563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-1.1368683772161603E-13</v>
      </c>
      <c r="BZ100" s="14">
        <f>BY100*VLOOKUP('Données projet'!$B$12,Paramètres!$A$1:$I$89,3,0)*VLOOKUP('Données projet'!$B$12,Paramètres!$A$1:$I$89,5,0)</f>
        <v>-9.2222762759774927E-14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272.69564942740931</v>
      </c>
      <c r="CE100" s="62">
        <f t="shared" si="94"/>
        <v>316.57989180609252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4.1025641025641111</v>
      </c>
      <c r="CT100" s="13">
        <f>IF('Données projet'!$A$140&gt;35,CT99+CS100-DB99,IF(A100&lt;'Données projet'!$A$140,$CQ$205^A100,IF(A100='Données projet'!$A$140,'Données projet'!$B$140,CT99+CS100-DB99)))</f>
        <v>293.4615384615384</v>
      </c>
      <c r="CU100" s="18">
        <f>CT100*VLOOKUP('Données projet'!$B$13,Paramètres!$A$1:$I$89,3,0)*VLOOKUP('Données projet'!$B$13,Paramètres!$A$1:$I$89,5,0)</f>
        <v>279.25799999999992</v>
      </c>
      <c r="CV100" s="14">
        <f t="shared" si="95"/>
        <v>66.810178743071162</v>
      </c>
      <c r="CW100" s="22">
        <f t="shared" si="67"/>
        <v>602.7354113108488</v>
      </c>
      <c r="CX100" s="62">
        <f t="shared" si="68"/>
        <v>879.28083759023161</v>
      </c>
      <c r="CY100" s="62">
        <f ca="1">AVERAGE(OFFSET($CX$3,0,0,'Données projet'!$E$13+1,1))-AVERAGE(OFFSET($H$3,0,0,'Données projet'!$E$13+1,1))</f>
        <v>491.87038198656927</v>
      </c>
      <c r="CZ100" s="62">
        <f t="shared" si="96"/>
        <v>406.49261644949559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5.9</v>
      </c>
      <c r="DO100" s="13">
        <f>IF('Données projet'!$A$166&gt;35,DO99+DN100-DW99,IF(A100&lt;'Données projet'!$A$166,$DL$205^A100,IF(A100='Données projet'!$A$166,'Données projet'!$B$166,DO99+DN100-DW99)))</f>
        <v>343.30000000000007</v>
      </c>
      <c r="DP100" s="18">
        <f>DO100*VLOOKUP('Données projet'!$B$14,Paramètres!$A$1:$I$89,3,0)*VLOOKUP('Données projet'!$B$14,Paramètres!$A$1:$I$89,5,0)</f>
        <v>332.03976000000006</v>
      </c>
      <c r="DQ100" s="14">
        <f t="shared" si="97"/>
        <v>77.853049678019573</v>
      </c>
      <c r="DR100" s="22">
        <f t="shared" si="70"/>
        <v>713.89664352255079</v>
      </c>
      <c r="DS100" s="62">
        <f t="shared" si="71"/>
        <v>990.4420698019336</v>
      </c>
      <c r="DT100" s="62">
        <f ca="1">AVERAGE(OFFSET($DS$3,0,0,'Données projet'!$E$14+1,1))-AVERAGE(OFFSET($H$3,0,0,'Données projet'!$E$14+1,1))</f>
        <v>603.52431522262032</v>
      </c>
      <c r="DU100" s="62">
        <f t="shared" si="98"/>
        <v>313.56299786481338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-3.4106051316484809E-13</v>
      </c>
      <c r="EK100" s="18">
        <f>EJ100*VLOOKUP('Données projet'!$B$15,Paramètres!$A$1:$I$89,3,0)*VLOOKUP('Données projet'!$B$15,Paramètres!$A$1:$I$89,5,0)</f>
        <v>-2.7134774427395314E-13</v>
      </c>
      <c r="EL100" s="14" t="e">
        <f t="shared" si="99"/>
        <v>#NUM!</v>
      </c>
      <c r="EM100" s="22" t="e">
        <f t="shared" si="73"/>
        <v>#NUM!</v>
      </c>
      <c r="EN100" s="62" t="e">
        <f t="shared" si="74"/>
        <v>#NUM!</v>
      </c>
      <c r="EO100" s="62">
        <f ca="1">AVERAGE(OFFSET($EN$3,0,0,'Données projet'!$E$15+1,1))-AVERAGE(OFFSET($H$3,0,0,'Données projet'!$E$15+1,1))</f>
        <v>450.93388191845378</v>
      </c>
      <c r="EP100" s="62">
        <f t="shared" si="100"/>
        <v>483.33635017129325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5.6843418860808015E-14</v>
      </c>
      <c r="FF100" s="18">
        <f>FE100*VLOOKUP('Données projet'!$B$16,Paramètres!$A$1:$I$89,3,0)*VLOOKUP('Données projet'!$B$16,Paramètres!$A$1:$I$89,5,0)</f>
        <v>4.4337866711430253E-14</v>
      </c>
      <c r="FG100" s="14">
        <f t="shared" si="101"/>
        <v>7.3222115536967035E-13</v>
      </c>
      <c r="FH100" s="22">
        <f t="shared" si="76"/>
        <v>1.3525069634579169E-12</v>
      </c>
      <c r="FI100" s="62">
        <f t="shared" si="77"/>
        <v>276.54542627938417</v>
      </c>
      <c r="FJ100" s="62">
        <f ca="1">AVERAGE(OFFSET($FI$3,0,0,'Données projet'!$E$16+1,1))-AVERAGE(OFFSET($H$3,0,0,'Données projet'!$E$16+1,1))</f>
        <v>309.21625451786218</v>
      </c>
      <c r="FK100" s="62">
        <f t="shared" si="102"/>
        <v>302.59481222418219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-2.2737367544323206E-13</v>
      </c>
      <c r="O101" s="14">
        <f>N101*VLOOKUP('Données projet'!$B$9,Paramètres!$A$1:$I$89,3,0)*VLOOKUP('Données projet'!$B$9,Paramètres!$A$1:$I$89,5,0)</f>
        <v>-1.8089849618263545E-13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394.70330963327166</v>
      </c>
      <c r="T101" s="62">
        <f t="shared" si="88"/>
        <v>424.06445894109982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projet'!$B$10,Paramètres!$A$1:$I$89,3,0)*VLOOKUP('Données projet'!$B$10,Paramètres!$A$1:$I$89,5,0)</f>
        <v>4.6111381379887463E-14</v>
      </c>
      <c r="AK101" s="14">
        <f t="shared" si="89"/>
        <v>7.5804141040779151E-13</v>
      </c>
      <c r="AL101" s="22">
        <f t="shared" si="58"/>
        <v>1.4005661123635408E-12</v>
      </c>
      <c r="AM101" s="62">
        <f t="shared" si="59"/>
        <v>276.83665893463279</v>
      </c>
      <c r="AN101" s="62">
        <f ca="1">AVERAGE(OFFSET($AM$3,0,0,'Données projet'!$E$10+1,1))-AVERAGE(OFFSET($H$3,0,0,'Données projet'!$E$10+1,1))</f>
        <v>319.39055628111151</v>
      </c>
      <c r="AO101" s="62">
        <f t="shared" si="90"/>
        <v>312.22190035638084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-1.1368683772161603E-13</v>
      </c>
      <c r="BE101" s="14">
        <f>BD101*VLOOKUP('Données projet'!$B$11,Paramètres!$A$1:$I$89,3,0)*VLOOKUP('Données projet'!$B$11,Paramètres!$A$1:$I$89,5,0)</f>
        <v>-8.3355189417488869E-14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257.906524944431</v>
      </c>
      <c r="BJ101" s="62">
        <f t="shared" si="92"/>
        <v>274.70390601173563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-1.1368683772161603E-13</v>
      </c>
      <c r="BZ101" s="14">
        <f>BY101*VLOOKUP('Données projet'!$B$12,Paramètres!$A$1:$I$89,3,0)*VLOOKUP('Données projet'!$B$12,Paramètres!$A$1:$I$89,5,0)</f>
        <v>-9.2222762759774927E-14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272.69564942740931</v>
      </c>
      <c r="CE101" s="62">
        <f t="shared" si="94"/>
        <v>316.57989180609252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4.1025641025641111</v>
      </c>
      <c r="CT101" s="13">
        <f>IF('Données projet'!$A$140&gt;35,CT100+CS101-DB100,IF(A101&lt;'Données projet'!$A$140,$CQ$205^A101,IF(A101='Données projet'!$A$140,'Données projet'!$B$140,CT100+CS101-DB100)))</f>
        <v>297.56410256410248</v>
      </c>
      <c r="CU101" s="18">
        <f>CT101*VLOOKUP('Données projet'!$B$13,Paramètres!$A$1:$I$89,3,0)*VLOOKUP('Données projet'!$B$13,Paramètres!$A$1:$I$89,5,0)</f>
        <v>283.16199999999992</v>
      </c>
      <c r="CV101" s="14">
        <f t="shared" si="95"/>
        <v>67.634793027790025</v>
      </c>
      <c r="CW101" s="22">
        <f t="shared" si="67"/>
        <v>610.97108119006737</v>
      </c>
      <c r="CX101" s="62">
        <f t="shared" si="68"/>
        <v>887.80774012469874</v>
      </c>
      <c r="CY101" s="62">
        <f ca="1">AVERAGE(OFFSET($CX$3,0,0,'Données projet'!$E$13+1,1))-AVERAGE(OFFSET($H$3,0,0,'Données projet'!$E$13+1,1))</f>
        <v>491.87038198656927</v>
      </c>
      <c r="CZ101" s="62">
        <f t="shared" si="96"/>
        <v>406.49261644949559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5.9</v>
      </c>
      <c r="DO101" s="13">
        <f>IF('Données projet'!$A$166&gt;35,DO100+DN101-DW100,IF(A101&lt;'Données projet'!$A$166,$DL$205^A101,IF(A101='Données projet'!$A$166,'Données projet'!$B$166,DO100+DN101-DW100)))</f>
        <v>349.20000000000005</v>
      </c>
      <c r="DP101" s="18">
        <f>DO101*VLOOKUP('Données projet'!$B$14,Paramètres!$A$1:$I$89,3,0)*VLOOKUP('Données projet'!$B$14,Paramètres!$A$1:$I$89,5,0)</f>
        <v>337.74624000000006</v>
      </c>
      <c r="DQ101" s="14">
        <f t="shared" si="97"/>
        <v>79.034125251774896</v>
      </c>
      <c r="DR101" s="22">
        <f t="shared" si="70"/>
        <v>725.89246948017455</v>
      </c>
      <c r="DS101" s="62">
        <f t="shared" si="71"/>
        <v>1002.7291284148059</v>
      </c>
      <c r="DT101" s="62">
        <f ca="1">AVERAGE(OFFSET($DS$3,0,0,'Données projet'!$E$14+1,1))-AVERAGE(OFFSET($H$3,0,0,'Données projet'!$E$14+1,1))</f>
        <v>603.52431522262032</v>
      </c>
      <c r="DU101" s="62">
        <f t="shared" si="98"/>
        <v>313.56299786481338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-3.4106051316484809E-13</v>
      </c>
      <c r="EK101" s="18">
        <f>EJ101*VLOOKUP('Données projet'!$B$15,Paramètres!$A$1:$I$89,3,0)*VLOOKUP('Données projet'!$B$15,Paramètres!$A$1:$I$89,5,0)</f>
        <v>-2.7134774427395314E-13</v>
      </c>
      <c r="EL101" s="14" t="e">
        <f t="shared" si="99"/>
        <v>#NUM!</v>
      </c>
      <c r="EM101" s="22" t="e">
        <f t="shared" si="73"/>
        <v>#NUM!</v>
      </c>
      <c r="EN101" s="62" t="e">
        <f t="shared" si="74"/>
        <v>#NUM!</v>
      </c>
      <c r="EO101" s="62">
        <f ca="1">AVERAGE(OFFSET($EN$3,0,0,'Données projet'!$E$15+1,1))-AVERAGE(OFFSET($H$3,0,0,'Données projet'!$E$15+1,1))</f>
        <v>450.93388191845378</v>
      </c>
      <c r="EP101" s="62">
        <f t="shared" si="100"/>
        <v>483.33635017129325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5.6843418860808015E-14</v>
      </c>
      <c r="FF101" s="18">
        <f>FE101*VLOOKUP('Données projet'!$B$16,Paramètres!$A$1:$I$89,3,0)*VLOOKUP('Données projet'!$B$16,Paramètres!$A$1:$I$89,5,0)</f>
        <v>4.4337866711430253E-14</v>
      </c>
      <c r="FG101" s="14">
        <f t="shared" si="101"/>
        <v>7.3222115536967035E-13</v>
      </c>
      <c r="FH101" s="22">
        <f t="shared" si="76"/>
        <v>1.3525069634579169E-12</v>
      </c>
      <c r="FI101" s="62">
        <f t="shared" si="77"/>
        <v>276.83665893463274</v>
      </c>
      <c r="FJ101" s="62">
        <f ca="1">AVERAGE(OFFSET($FI$3,0,0,'Données projet'!$E$16+1,1))-AVERAGE(OFFSET($H$3,0,0,'Données projet'!$E$16+1,1))</f>
        <v>309.21625451786218</v>
      </c>
      <c r="FK101" s="62">
        <f t="shared" si="102"/>
        <v>302.59481222418219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-2.2737367544323206E-13</v>
      </c>
      <c r="O102" s="14">
        <f>N102*VLOOKUP('Données projet'!$B$9,Paramètres!$A$1:$I$89,3,0)*VLOOKUP('Données projet'!$B$9,Paramètres!$A$1:$I$89,5,0)</f>
        <v>-1.8089849618263545E-13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394.70330963327166</v>
      </c>
      <c r="T102" s="62">
        <f t="shared" si="88"/>
        <v>424.06445894109982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projet'!$B$10,Paramètres!$A$1:$I$89,3,0)*VLOOKUP('Données projet'!$B$10,Paramètres!$A$1:$I$89,5,0)</f>
        <v>4.6111381379887463E-14</v>
      </c>
      <c r="AK102" s="14">
        <f t="shared" si="89"/>
        <v>7.5804141040779151E-13</v>
      </c>
      <c r="AL102" s="22">
        <f t="shared" si="58"/>
        <v>1.4005661123635408E-12</v>
      </c>
      <c r="AM102" s="62">
        <f t="shared" si="59"/>
        <v>277.12283935441155</v>
      </c>
      <c r="AN102" s="62">
        <f ca="1">AVERAGE(OFFSET($AM$3,0,0,'Données projet'!$E$10+1,1))-AVERAGE(OFFSET($H$3,0,0,'Données projet'!$E$10+1,1))</f>
        <v>319.39055628111151</v>
      </c>
      <c r="AO102" s="62">
        <f t="shared" si="90"/>
        <v>312.22190035638084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-1.1368683772161603E-13</v>
      </c>
      <c r="BE102" s="14">
        <f>BD102*VLOOKUP('Données projet'!$B$11,Paramètres!$A$1:$I$89,3,0)*VLOOKUP('Données projet'!$B$11,Paramètres!$A$1:$I$89,5,0)</f>
        <v>-8.3355189417488869E-14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257.906524944431</v>
      </c>
      <c r="BJ102" s="62">
        <f t="shared" si="92"/>
        <v>274.70390601173563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-1.1368683772161603E-13</v>
      </c>
      <c r="BZ102" s="14">
        <f>BY102*VLOOKUP('Données projet'!$B$12,Paramètres!$A$1:$I$89,3,0)*VLOOKUP('Données projet'!$B$12,Paramètres!$A$1:$I$89,5,0)</f>
        <v>-9.2222762759774927E-14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272.69564942740931</v>
      </c>
      <c r="CE102" s="62">
        <f t="shared" si="94"/>
        <v>316.57989180609252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4.1025641025641111</v>
      </c>
      <c r="CT102" s="13">
        <f>IF('Données projet'!$A$140&gt;35,CT101+CS102-DB101,IF(A102&lt;'Données projet'!$A$140,$CQ$205^A102,IF(A102='Données projet'!$A$140,'Données projet'!$B$140,CT101+CS102-DB101)))</f>
        <v>301.66666666666657</v>
      </c>
      <c r="CU102" s="18">
        <f>CT102*VLOOKUP('Données projet'!$B$13,Paramètres!$A$1:$I$89,3,0)*VLOOKUP('Données projet'!$B$13,Paramètres!$A$1:$I$89,5,0)</f>
        <v>287.06599999999992</v>
      </c>
      <c r="CV102" s="14">
        <f t="shared" si="95"/>
        <v>68.458084967488887</v>
      </c>
      <c r="CW102" s="22">
        <f t="shared" si="67"/>
        <v>619.20444798504298</v>
      </c>
      <c r="CX102" s="62">
        <f t="shared" si="68"/>
        <v>896.32728733945305</v>
      </c>
      <c r="CY102" s="62">
        <f ca="1">AVERAGE(OFFSET($CX$3,0,0,'Données projet'!$E$13+1,1))-AVERAGE(OFFSET($H$3,0,0,'Données projet'!$E$13+1,1))</f>
        <v>491.87038198656927</v>
      </c>
      <c r="CZ102" s="62">
        <f t="shared" si="96"/>
        <v>406.49261644949559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5.9</v>
      </c>
      <c r="DO102" s="13">
        <f>IF('Données projet'!$A$166&gt;35,DO101+DN102-DW101,IF(A102&lt;'Données projet'!$A$166,$DL$205^A102,IF(A102='Données projet'!$A$166,'Données projet'!$B$166,DO101+DN102-DW101)))</f>
        <v>355.1</v>
      </c>
      <c r="DP102" s="18">
        <f>DO102*VLOOKUP('Données projet'!$B$14,Paramètres!$A$1:$I$89,3,0)*VLOOKUP('Données projet'!$B$14,Paramètres!$A$1:$I$89,5,0)</f>
        <v>343.45272</v>
      </c>
      <c r="DQ102" s="14">
        <f t="shared" si="97"/>
        <v>80.212880209411935</v>
      </c>
      <c r="DR102" s="22">
        <f t="shared" si="70"/>
        <v>737.88425369805907</v>
      </c>
      <c r="DS102" s="62">
        <f t="shared" si="71"/>
        <v>1015.0070930524691</v>
      </c>
      <c r="DT102" s="62">
        <f ca="1">AVERAGE(OFFSET($DS$3,0,0,'Données projet'!$E$14+1,1))-AVERAGE(OFFSET($H$3,0,0,'Données projet'!$E$14+1,1))</f>
        <v>603.52431522262032</v>
      </c>
      <c r="DU102" s="62">
        <f t="shared" si="98"/>
        <v>313.56299786481338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-3.4106051316484809E-13</v>
      </c>
      <c r="EK102" s="18">
        <f>EJ102*VLOOKUP('Données projet'!$B$15,Paramètres!$A$1:$I$89,3,0)*VLOOKUP('Données projet'!$B$15,Paramètres!$A$1:$I$89,5,0)</f>
        <v>-2.7134774427395314E-13</v>
      </c>
      <c r="EL102" s="14" t="e">
        <f t="shared" si="99"/>
        <v>#NUM!</v>
      </c>
      <c r="EM102" s="22" t="e">
        <f t="shared" si="73"/>
        <v>#NUM!</v>
      </c>
      <c r="EN102" s="62" t="e">
        <f t="shared" si="74"/>
        <v>#NUM!</v>
      </c>
      <c r="EO102" s="62">
        <f ca="1">AVERAGE(OFFSET($EN$3,0,0,'Données projet'!$E$15+1,1))-AVERAGE(OFFSET($H$3,0,0,'Données projet'!$E$15+1,1))</f>
        <v>450.93388191845378</v>
      </c>
      <c r="EP102" s="62">
        <f t="shared" si="100"/>
        <v>483.33635017129325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5.6843418860808015E-14</v>
      </c>
      <c r="FF102" s="18">
        <f>FE102*VLOOKUP('Données projet'!$B$16,Paramètres!$A$1:$I$89,3,0)*VLOOKUP('Données projet'!$B$16,Paramètres!$A$1:$I$89,5,0)</f>
        <v>4.4337866711430253E-14</v>
      </c>
      <c r="FG102" s="14">
        <f t="shared" si="101"/>
        <v>7.3222115536967035E-13</v>
      </c>
      <c r="FH102" s="22">
        <f t="shared" si="76"/>
        <v>1.3525069634579169E-12</v>
      </c>
      <c r="FI102" s="62">
        <f t="shared" si="77"/>
        <v>277.1228393544115</v>
      </c>
      <c r="FJ102" s="62">
        <f ca="1">AVERAGE(OFFSET($FI$3,0,0,'Données projet'!$E$16+1,1))-AVERAGE(OFFSET($H$3,0,0,'Données projet'!$E$16+1,1))</f>
        <v>309.21625451786218</v>
      </c>
      <c r="FK102" s="62">
        <f t="shared" si="102"/>
        <v>302.59481222418219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-2.2737367544323206E-13</v>
      </c>
      <c r="O103" s="14">
        <f>N103*VLOOKUP('Données projet'!$B$9,Paramètres!$A$1:$I$89,3,0)*VLOOKUP('Données projet'!$B$9,Paramètres!$A$1:$I$89,5,0)</f>
        <v>-1.8089849618263545E-13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394.70330963327166</v>
      </c>
      <c r="T103" s="62">
        <f t="shared" si="88"/>
        <v>424.06445894109982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projet'!$B$10,Paramètres!$A$1:$I$89,3,0)*VLOOKUP('Données projet'!$B$10,Paramètres!$A$1:$I$89,5,0)</f>
        <v>4.6111381379887463E-14</v>
      </c>
      <c r="AK103" s="14">
        <f t="shared" si="89"/>
        <v>7.5804141040779151E-13</v>
      </c>
      <c r="AL103" s="22">
        <f t="shared" si="58"/>
        <v>1.4005661123635408E-12</v>
      </c>
      <c r="AM103" s="62">
        <f t="shared" si="59"/>
        <v>277.40405518371062</v>
      </c>
      <c r="AN103" s="62">
        <f ca="1">AVERAGE(OFFSET($AM$3,0,0,'Données projet'!$E$10+1,1))-AVERAGE(OFFSET($H$3,0,0,'Données projet'!$E$10+1,1))</f>
        <v>319.39055628111151</v>
      </c>
      <c r="AO103" s="62">
        <f t="shared" si="90"/>
        <v>312.22190035638084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-1.1368683772161603E-13</v>
      </c>
      <c r="BE103" s="14">
        <f>BD103*VLOOKUP('Données projet'!$B$11,Paramètres!$A$1:$I$89,3,0)*VLOOKUP('Données projet'!$B$11,Paramètres!$A$1:$I$89,5,0)</f>
        <v>-8.3355189417488869E-14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257.906524944431</v>
      </c>
      <c r="BJ103" s="62">
        <f t="shared" si="92"/>
        <v>274.70390601173563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-1.1368683772161603E-13</v>
      </c>
      <c r="BZ103" s="14">
        <f>BY103*VLOOKUP('Données projet'!$B$12,Paramètres!$A$1:$I$89,3,0)*VLOOKUP('Données projet'!$B$12,Paramètres!$A$1:$I$89,5,0)</f>
        <v>-9.2222762759774927E-14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272.69564942740931</v>
      </c>
      <c r="CE103" s="62">
        <f t="shared" si="94"/>
        <v>316.57989180609252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305.76923076923077</v>
      </c>
      <c r="CR103" s="13">
        <f>VLOOKUP(A103,'Données projet'!$A$139:$I$159,9,0)</f>
        <v>4.1025641025641111</v>
      </c>
      <c r="CS103" s="13">
        <f t="array" ref="CS103">INDEX(CR:CR,MIN(IF(ISNUMBER(CR103:CR299),ROW(CR103:CR299),"")))</f>
        <v>4.1025641025641111</v>
      </c>
      <c r="CT103" s="13">
        <f>IF('Données projet'!$A$140&gt;35,CT102+CS103-DB102,IF(A103&lt;'Données projet'!$A$140,$CQ$205^A103,IF(A103='Données projet'!$A$140,'Données projet'!$B$140,CT102+CS103-DB102)))</f>
        <v>305.76923076923066</v>
      </c>
      <c r="CU103" s="18">
        <f>CT103*VLOOKUP('Données projet'!$B$13,Paramètres!$A$1:$I$89,3,0)*VLOOKUP('Données projet'!$B$13,Paramètres!$A$1:$I$89,5,0)</f>
        <v>290.96999999999986</v>
      </c>
      <c r="CV103" s="14">
        <f t="shared" si="95"/>
        <v>69.280074624245245</v>
      </c>
      <c r="CW103" s="22">
        <f t="shared" si="67"/>
        <v>627.43554663722682</v>
      </c>
      <c r="CX103" s="62">
        <f t="shared" si="68"/>
        <v>904.83960182093597</v>
      </c>
      <c r="CY103" s="62">
        <f ca="1">AVERAGE(OFFSET($CX$3,0,0,'Données projet'!$E$13+1,1))-AVERAGE(OFFSET($H$3,0,0,'Données projet'!$E$13+1,1))</f>
        <v>491.87038198656927</v>
      </c>
      <c r="CZ103" s="62">
        <f t="shared" si="96"/>
        <v>406.49261644949559</v>
      </c>
      <c r="DA103" s="16">
        <f>IF(ISNA(VLOOKUP(A103,'Données projet'!$A$139:$I$159,3,0)),0,VLOOKUP(A103,'Données projet'!$A$139:$I$159,3,0))</f>
        <v>9</v>
      </c>
      <c r="DB103" s="16">
        <f>IF(ISNA(VLOOKUP(A103,'Données projet'!$A$139:$I$159,4,0)),0,VLOOKUP(A103,'Données projet'!$A$139:$I$159,4,0))</f>
        <v>30.128205128205128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361</v>
      </c>
      <c r="DM103" s="13">
        <f>VLOOKUP(A103,'Données projet'!$A$165:$I$185,9,0)</f>
        <v>5.9</v>
      </c>
      <c r="DN103" s="13">
        <f t="array" ref="DN103">INDEX(DM:DM,MIN(IF(ISNUMBER(DM103:DM299),ROW(DM103:DM299),"")))</f>
        <v>5.9</v>
      </c>
      <c r="DO103" s="13">
        <f>IF('Données projet'!$A$166&gt;35,DO102+DN103-DW102,IF(A103&lt;'Données projet'!$A$166,$DL$205^A103,IF(A103='Données projet'!$A$166,'Données projet'!$B$166,DO102+DN103-DW102)))</f>
        <v>361</v>
      </c>
      <c r="DP103" s="18">
        <f>DO103*VLOOKUP('Données projet'!$B$14,Paramètres!$A$1:$I$89,3,0)*VLOOKUP('Données projet'!$B$14,Paramètres!$A$1:$I$89,5,0)</f>
        <v>349.1592</v>
      </c>
      <c r="DQ103" s="14">
        <f t="shared" si="97"/>
        <v>81.389357558494837</v>
      </c>
      <c r="DR103" s="22">
        <f t="shared" si="70"/>
        <v>749.87207108104519</v>
      </c>
      <c r="DS103" s="62">
        <f t="shared" si="71"/>
        <v>1027.2761262647543</v>
      </c>
      <c r="DT103" s="62">
        <f ca="1">AVERAGE(OFFSET($DS$3,0,0,'Données projet'!$E$14+1,1))-AVERAGE(OFFSET($H$3,0,0,'Données projet'!$E$14+1,1))</f>
        <v>603.52431522262032</v>
      </c>
      <c r="DU103" s="62">
        <f t="shared" si="98"/>
        <v>313.56299786481338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-3.4106051316484809E-13</v>
      </c>
      <c r="EK103" s="18">
        <f>EJ103*VLOOKUP('Données projet'!$B$15,Paramètres!$A$1:$I$89,3,0)*VLOOKUP('Données projet'!$B$15,Paramètres!$A$1:$I$89,5,0)</f>
        <v>-2.7134774427395314E-13</v>
      </c>
      <c r="EL103" s="14" t="e">
        <f t="shared" si="99"/>
        <v>#NUM!</v>
      </c>
      <c r="EM103" s="22" t="e">
        <f t="shared" si="73"/>
        <v>#NUM!</v>
      </c>
      <c r="EN103" s="62" t="e">
        <f t="shared" si="74"/>
        <v>#NUM!</v>
      </c>
      <c r="EO103" s="62">
        <f ca="1">AVERAGE(OFFSET($EN$3,0,0,'Données projet'!$E$15+1,1))-AVERAGE(OFFSET($H$3,0,0,'Données projet'!$E$15+1,1))</f>
        <v>450.93388191845378</v>
      </c>
      <c r="EP103" s="62">
        <f t="shared" si="100"/>
        <v>483.33635017129325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5.6843418860808015E-14</v>
      </c>
      <c r="FF103" s="18">
        <f>FE103*VLOOKUP('Données projet'!$B$16,Paramètres!$A$1:$I$89,3,0)*VLOOKUP('Données projet'!$B$16,Paramètres!$A$1:$I$89,5,0)</f>
        <v>4.4337866711430253E-14</v>
      </c>
      <c r="FG103" s="14">
        <f t="shared" si="101"/>
        <v>7.3222115536967035E-13</v>
      </c>
      <c r="FH103" s="22">
        <f t="shared" si="76"/>
        <v>1.3525069634579169E-12</v>
      </c>
      <c r="FI103" s="62">
        <f t="shared" si="77"/>
        <v>277.40405518371057</v>
      </c>
      <c r="FJ103" s="62">
        <f ca="1">AVERAGE(OFFSET($FI$3,0,0,'Données projet'!$E$16+1,1))-AVERAGE(OFFSET($H$3,0,0,'Données projet'!$E$16+1,1))</f>
        <v>309.21625451786218</v>
      </c>
      <c r="FK103" s="62">
        <f t="shared" si="102"/>
        <v>302.59481222418219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-2.2737367544323206E-13</v>
      </c>
      <c r="O104" s="14">
        <f>N104*VLOOKUP('Données projet'!$B$9,Paramètres!$A$1:$I$89,3,0)*VLOOKUP('Données projet'!$B$9,Paramètres!$A$1:$I$89,5,0)</f>
        <v>-1.8089849618263545E-13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394.70330963327166</v>
      </c>
      <c r="T104" s="62">
        <f t="shared" si="88"/>
        <v>424.06445894109982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projet'!$B$10,Paramètres!$A$1:$I$89,3,0)*VLOOKUP('Données projet'!$B$10,Paramètres!$A$1:$I$89,5,0)</f>
        <v>4.6111381379887463E-14</v>
      </c>
      <c r="AK104" s="14">
        <f t="shared" si="89"/>
        <v>7.5804141040779151E-13</v>
      </c>
      <c r="AL104" s="22">
        <f t="shared" si="58"/>
        <v>1.4005661123635408E-12</v>
      </c>
      <c r="AM104" s="62">
        <f t="shared" si="59"/>
        <v>277.68039254707583</v>
      </c>
      <c r="AN104" s="62">
        <f ca="1">AVERAGE(OFFSET($AM$3,0,0,'Données projet'!$E$10+1,1))-AVERAGE(OFFSET($H$3,0,0,'Données projet'!$E$10+1,1))</f>
        <v>319.39055628111151</v>
      </c>
      <c r="AO104" s="62">
        <f t="shared" si="90"/>
        <v>312.22190035638084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-1.1368683772161603E-13</v>
      </c>
      <c r="BE104" s="14">
        <f>BD104*VLOOKUP('Données projet'!$B$11,Paramètres!$A$1:$I$89,3,0)*VLOOKUP('Données projet'!$B$11,Paramètres!$A$1:$I$89,5,0)</f>
        <v>-8.3355189417488869E-14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257.906524944431</v>
      </c>
      <c r="BJ104" s="62">
        <f t="shared" si="92"/>
        <v>274.70390601173563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-1.1368683772161603E-13</v>
      </c>
      <c r="BZ104" s="14">
        <f>BY104*VLOOKUP('Données projet'!$B$12,Paramètres!$A$1:$I$89,3,0)*VLOOKUP('Données projet'!$B$12,Paramètres!$A$1:$I$89,5,0)</f>
        <v>-9.2222762759774927E-14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272.69564942740931</v>
      </c>
      <c r="CE104" s="62">
        <f t="shared" si="94"/>
        <v>316.57989180609252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3.7179487179487181</v>
      </c>
      <c r="CT104" s="13">
        <f>IF('Données projet'!$A$140&gt;35,CT103+CS104-DB103,IF(A104&lt;'Données projet'!$A$140,$CQ$205^A104,IF(A104='Données projet'!$A$140,'Données projet'!$B$140,CT103+CS104-DB103)))</f>
        <v>279.35897435897425</v>
      </c>
      <c r="CU104" s="18">
        <f>CT104*VLOOKUP('Données projet'!$B$13,Paramètres!$A$1:$I$89,3,0)*VLOOKUP('Données projet'!$B$13,Paramètres!$A$1:$I$89,5,0)</f>
        <v>265.83799999999991</v>
      </c>
      <c r="CV104" s="14">
        <f t="shared" si="95"/>
        <v>63.965190833833894</v>
      </c>
      <c r="CW104" s="22">
        <f t="shared" si="67"/>
        <v>574.40722403559391</v>
      </c>
      <c r="CX104" s="62">
        <f t="shared" si="68"/>
        <v>852.08761658266826</v>
      </c>
      <c r="CY104" s="62">
        <f ca="1">AVERAGE(OFFSET($CX$3,0,0,'Données projet'!$E$13+1,1))-AVERAGE(OFFSET($H$3,0,0,'Données projet'!$E$13+1,1))</f>
        <v>491.87038198656927</v>
      </c>
      <c r="CZ104" s="62">
        <f t="shared" si="96"/>
        <v>406.49261644949559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5.2</v>
      </c>
      <c r="DO104" s="13">
        <f>IF('Données projet'!$A$166&gt;35,DO103+DN104-DW103,IF(A104&lt;'Données projet'!$A$166,$DL$205^A104,IF(A104='Données projet'!$A$166,'Données projet'!$B$166,DO103+DN104-DW103)))</f>
        <v>366.2</v>
      </c>
      <c r="DP104" s="18">
        <f>DO104*VLOOKUP('Données projet'!$B$14,Paramètres!$A$1:$I$89,3,0)*VLOOKUP('Données projet'!$B$14,Paramètres!$A$1:$I$89,5,0)</f>
        <v>354.18863999999996</v>
      </c>
      <c r="DQ104" s="14">
        <f t="shared" si="97"/>
        <v>82.424397643862633</v>
      </c>
      <c r="DR104" s="22">
        <f t="shared" si="70"/>
        <v>760.43437389639394</v>
      </c>
      <c r="DS104" s="62">
        <f t="shared" si="71"/>
        <v>1038.1147664434684</v>
      </c>
      <c r="DT104" s="62">
        <f ca="1">AVERAGE(OFFSET($DS$3,0,0,'Données projet'!$E$14+1,1))-AVERAGE(OFFSET($H$3,0,0,'Données projet'!$E$14+1,1))</f>
        <v>603.52431522262032</v>
      </c>
      <c r="DU104" s="62">
        <f t="shared" si="98"/>
        <v>313.56299786481338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-3.4106051316484809E-13</v>
      </c>
      <c r="EK104" s="18">
        <f>EJ104*VLOOKUP('Données projet'!$B$15,Paramètres!$A$1:$I$89,3,0)*VLOOKUP('Données projet'!$B$15,Paramètres!$A$1:$I$89,5,0)</f>
        <v>-2.7134774427395314E-13</v>
      </c>
      <c r="EL104" s="14" t="e">
        <f t="shared" si="99"/>
        <v>#NUM!</v>
      </c>
      <c r="EM104" s="22" t="e">
        <f t="shared" si="73"/>
        <v>#NUM!</v>
      </c>
      <c r="EN104" s="62" t="e">
        <f t="shared" si="74"/>
        <v>#NUM!</v>
      </c>
      <c r="EO104" s="62">
        <f ca="1">AVERAGE(OFFSET($EN$3,0,0,'Données projet'!$E$15+1,1))-AVERAGE(OFFSET($H$3,0,0,'Données projet'!$E$15+1,1))</f>
        <v>450.93388191845378</v>
      </c>
      <c r="EP104" s="62">
        <f t="shared" si="100"/>
        <v>483.33635017129325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5.6843418860808015E-14</v>
      </c>
      <c r="FF104" s="18">
        <f>FE104*VLOOKUP('Données projet'!$B$16,Paramètres!$A$1:$I$89,3,0)*VLOOKUP('Données projet'!$B$16,Paramètres!$A$1:$I$89,5,0)</f>
        <v>4.4337866711430253E-14</v>
      </c>
      <c r="FG104" s="14">
        <f t="shared" si="101"/>
        <v>7.3222115536967035E-13</v>
      </c>
      <c r="FH104" s="22">
        <f t="shared" si="76"/>
        <v>1.3525069634579169E-12</v>
      </c>
      <c r="FI104" s="62">
        <f t="shared" si="77"/>
        <v>277.68039254707577</v>
      </c>
      <c r="FJ104" s="62">
        <f ca="1">AVERAGE(OFFSET($FI$3,0,0,'Données projet'!$E$16+1,1))-AVERAGE(OFFSET($H$3,0,0,'Données projet'!$E$16+1,1))</f>
        <v>309.21625451786218</v>
      </c>
      <c r="FK104" s="62">
        <f t="shared" si="102"/>
        <v>302.59481222418219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-2.2737367544323206E-13</v>
      </c>
      <c r="O105" s="14">
        <f>N105*VLOOKUP('Données projet'!$B$9,Paramètres!$A$1:$I$89,3,0)*VLOOKUP('Données projet'!$B$9,Paramètres!$A$1:$I$89,5,0)</f>
        <v>-1.8089849618263545E-13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394.70330963327166</v>
      </c>
      <c r="T105" s="62">
        <f t="shared" si="88"/>
        <v>424.06445894109982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projet'!$B$10,Paramètres!$A$1:$I$89,3,0)*VLOOKUP('Données projet'!$B$10,Paramètres!$A$1:$I$89,5,0)</f>
        <v>4.6111381379887463E-14</v>
      </c>
      <c r="AK105" s="14">
        <f t="shared" si="89"/>
        <v>7.5804141040779151E-13</v>
      </c>
      <c r="AL105" s="22">
        <f t="shared" si="58"/>
        <v>1.4005661123635408E-12</v>
      </c>
      <c r="AM105" s="62">
        <f t="shared" si="59"/>
        <v>277.95193607498436</v>
      </c>
      <c r="AN105" s="62">
        <f ca="1">AVERAGE(OFFSET($AM$3,0,0,'Données projet'!$E$10+1,1))-AVERAGE(OFFSET($H$3,0,0,'Données projet'!$E$10+1,1))</f>
        <v>319.39055628111151</v>
      </c>
      <c r="AO105" s="62">
        <f t="shared" si="90"/>
        <v>312.22190035638084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-1.1368683772161603E-13</v>
      </c>
      <c r="BE105" s="14">
        <f>BD105*VLOOKUP('Données projet'!$B$11,Paramètres!$A$1:$I$89,3,0)*VLOOKUP('Données projet'!$B$11,Paramètres!$A$1:$I$89,5,0)</f>
        <v>-8.3355189417488869E-14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257.906524944431</v>
      </c>
      <c r="BJ105" s="62">
        <f t="shared" si="92"/>
        <v>274.70390601173563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-1.1368683772161603E-13</v>
      </c>
      <c r="BZ105" s="14">
        <f>BY105*VLOOKUP('Données projet'!$B$12,Paramètres!$A$1:$I$89,3,0)*VLOOKUP('Données projet'!$B$12,Paramètres!$A$1:$I$89,5,0)</f>
        <v>-9.2222762759774927E-14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272.69564942740931</v>
      </c>
      <c r="CE105" s="62">
        <f t="shared" si="94"/>
        <v>316.57989180609252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3.7179487179487181</v>
      </c>
      <c r="CT105" s="13">
        <f>IF('Données projet'!$A$140&gt;35,CT104+CS105-DB104,IF(A105&lt;'Données projet'!$A$140,$CQ$205^A105,IF(A105='Données projet'!$A$140,'Données projet'!$B$140,CT104+CS105-DB104)))</f>
        <v>283.07692307692298</v>
      </c>
      <c r="CU105" s="18">
        <f>CT105*VLOOKUP('Données projet'!$B$13,Paramètres!$A$1:$I$89,3,0)*VLOOKUP('Données projet'!$B$13,Paramètres!$A$1:$I$89,5,0)</f>
        <v>269.37599999999992</v>
      </c>
      <c r="CV105" s="14">
        <f t="shared" si="95"/>
        <v>64.716822911274548</v>
      </c>
      <c r="CW105" s="22">
        <f t="shared" si="67"/>
        <v>581.8783332371363</v>
      </c>
      <c r="CX105" s="62">
        <f t="shared" si="68"/>
        <v>859.8302693121193</v>
      </c>
      <c r="CY105" s="62">
        <f ca="1">AVERAGE(OFFSET($CX$3,0,0,'Données projet'!$E$13+1,1))-AVERAGE(OFFSET($H$3,0,0,'Données projet'!$E$13+1,1))</f>
        <v>491.87038198656927</v>
      </c>
      <c r="CZ105" s="62">
        <f t="shared" si="96"/>
        <v>406.49261644949559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5.2</v>
      </c>
      <c r="DO105" s="13">
        <f>IF('Données projet'!$A$166&gt;35,DO104+DN105-DW104,IF(A105&lt;'Données projet'!$A$166,$DL$205^A105,IF(A105='Données projet'!$A$166,'Données projet'!$B$166,DO104+DN105-DW104)))</f>
        <v>371.4</v>
      </c>
      <c r="DP105" s="18">
        <f>DO105*VLOOKUP('Données projet'!$B$14,Paramètres!$A$1:$I$89,3,0)*VLOOKUP('Données projet'!$B$14,Paramètres!$A$1:$I$89,5,0)</f>
        <v>359.21807999999999</v>
      </c>
      <c r="DQ105" s="14">
        <f t="shared" si="97"/>
        <v>83.457728297661106</v>
      </c>
      <c r="DR105" s="22">
        <f t="shared" si="70"/>
        <v>770.99369945175965</v>
      </c>
      <c r="DS105" s="62">
        <f t="shared" si="71"/>
        <v>1048.9456355267425</v>
      </c>
      <c r="DT105" s="62">
        <f ca="1">AVERAGE(OFFSET($DS$3,0,0,'Données projet'!$E$14+1,1))-AVERAGE(OFFSET($H$3,0,0,'Données projet'!$E$14+1,1))</f>
        <v>603.52431522262032</v>
      </c>
      <c r="DU105" s="62">
        <f t="shared" si="98"/>
        <v>313.56299786481338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-3.4106051316484809E-13</v>
      </c>
      <c r="EK105" s="18">
        <f>EJ105*VLOOKUP('Données projet'!$B$15,Paramètres!$A$1:$I$89,3,0)*VLOOKUP('Données projet'!$B$15,Paramètres!$A$1:$I$89,5,0)</f>
        <v>-2.7134774427395314E-13</v>
      </c>
      <c r="EL105" s="14" t="e">
        <f t="shared" si="99"/>
        <v>#NUM!</v>
      </c>
      <c r="EM105" s="22" t="e">
        <f t="shared" si="73"/>
        <v>#NUM!</v>
      </c>
      <c r="EN105" s="62" t="e">
        <f t="shared" si="74"/>
        <v>#NUM!</v>
      </c>
      <c r="EO105" s="62">
        <f ca="1">AVERAGE(OFFSET($EN$3,0,0,'Données projet'!$E$15+1,1))-AVERAGE(OFFSET($H$3,0,0,'Données projet'!$E$15+1,1))</f>
        <v>450.93388191845378</v>
      </c>
      <c r="EP105" s="62">
        <f t="shared" si="100"/>
        <v>483.33635017129325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5.6843418860808015E-14</v>
      </c>
      <c r="FF105" s="18">
        <f>FE105*VLOOKUP('Données projet'!$B$16,Paramètres!$A$1:$I$89,3,0)*VLOOKUP('Données projet'!$B$16,Paramètres!$A$1:$I$89,5,0)</f>
        <v>4.4337866711430253E-14</v>
      </c>
      <c r="FG105" s="14">
        <f t="shared" si="101"/>
        <v>7.3222115536967035E-13</v>
      </c>
      <c r="FH105" s="22">
        <f t="shared" si="76"/>
        <v>1.3525069634579169E-12</v>
      </c>
      <c r="FI105" s="62">
        <f t="shared" si="77"/>
        <v>277.9519360749843</v>
      </c>
      <c r="FJ105" s="62">
        <f ca="1">AVERAGE(OFFSET($FI$3,0,0,'Données projet'!$E$16+1,1))-AVERAGE(OFFSET($H$3,0,0,'Données projet'!$E$16+1,1))</f>
        <v>309.21625451786218</v>
      </c>
      <c r="FK105" s="62">
        <f t="shared" si="102"/>
        <v>302.59481222418219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-2.2737367544323206E-13</v>
      </c>
      <c r="O106" s="14">
        <f>N106*VLOOKUP('Données projet'!$B$9,Paramètres!$A$1:$I$89,3,0)*VLOOKUP('Données projet'!$B$9,Paramètres!$A$1:$I$89,5,0)</f>
        <v>-1.8089849618263545E-13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394.70330963327166</v>
      </c>
      <c r="T106" s="62">
        <f t="shared" si="88"/>
        <v>424.06445894109982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projet'!$B$10,Paramètres!$A$1:$I$89,3,0)*VLOOKUP('Données projet'!$B$10,Paramètres!$A$1:$I$89,5,0)</f>
        <v>4.6111381379887463E-14</v>
      </c>
      <c r="AK106" s="14">
        <f t="shared" si="89"/>
        <v>7.5804141040779151E-13</v>
      </c>
      <c r="AL106" s="22">
        <f t="shared" si="58"/>
        <v>1.4005661123635408E-12</v>
      </c>
      <c r="AM106" s="62">
        <f t="shared" si="59"/>
        <v>278.21876892976411</v>
      </c>
      <c r="AN106" s="62">
        <f ca="1">AVERAGE(OFFSET($AM$3,0,0,'Données projet'!$E$10+1,1))-AVERAGE(OFFSET($H$3,0,0,'Données projet'!$E$10+1,1))</f>
        <v>319.39055628111151</v>
      </c>
      <c r="AO106" s="62">
        <f t="shared" si="90"/>
        <v>312.22190035638084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-1.1368683772161603E-13</v>
      </c>
      <c r="BE106" s="14">
        <f>BD106*VLOOKUP('Données projet'!$B$11,Paramètres!$A$1:$I$89,3,0)*VLOOKUP('Données projet'!$B$11,Paramètres!$A$1:$I$89,5,0)</f>
        <v>-8.3355189417488869E-14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257.906524944431</v>
      </c>
      <c r="BJ106" s="62">
        <f t="shared" si="92"/>
        <v>274.70390601173563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-1.1368683772161603E-13</v>
      </c>
      <c r="BZ106" s="14">
        <f>BY106*VLOOKUP('Données projet'!$B$12,Paramètres!$A$1:$I$89,3,0)*VLOOKUP('Données projet'!$B$12,Paramètres!$A$1:$I$89,5,0)</f>
        <v>-9.2222762759774927E-14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272.69564942740931</v>
      </c>
      <c r="CE106" s="62">
        <f t="shared" si="94"/>
        <v>316.57989180609252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3.7179487179487181</v>
      </c>
      <c r="CT106" s="13">
        <f>IF('Données projet'!$A$140&gt;35,CT105+CS106-DB105,IF(A106&lt;'Données projet'!$A$140,$CQ$205^A106,IF(A106='Données projet'!$A$140,'Données projet'!$B$140,CT105+CS106-DB105)))</f>
        <v>286.79487179487171</v>
      </c>
      <c r="CU106" s="18">
        <f>CT106*VLOOKUP('Données projet'!$B$13,Paramètres!$A$1:$I$89,3,0)*VLOOKUP('Données projet'!$B$13,Paramètres!$A$1:$I$89,5,0)</f>
        <v>272.91399999999993</v>
      </c>
      <c r="CV106" s="14">
        <f t="shared" si="95"/>
        <v>65.467306733344003</v>
      </c>
      <c r="CW106" s="22">
        <f t="shared" si="67"/>
        <v>589.347442560574</v>
      </c>
      <c r="CX106" s="62">
        <f t="shared" si="68"/>
        <v>867.56621149033663</v>
      </c>
      <c r="CY106" s="62">
        <f ca="1">AVERAGE(OFFSET($CX$3,0,0,'Données projet'!$E$13+1,1))-AVERAGE(OFFSET($H$3,0,0,'Données projet'!$E$13+1,1))</f>
        <v>491.87038198656927</v>
      </c>
      <c r="CZ106" s="62">
        <f t="shared" si="96"/>
        <v>406.49261644949559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5.2</v>
      </c>
      <c r="DO106" s="13">
        <f>IF('Données projet'!$A$166&gt;35,DO105+DN106-DW105,IF(A106&lt;'Données projet'!$A$166,$DL$205^A106,IF(A106='Données projet'!$A$166,'Données projet'!$B$166,DO105+DN106-DW105)))</f>
        <v>376.59999999999997</v>
      </c>
      <c r="DP106" s="18">
        <f>DO106*VLOOKUP('Données projet'!$B$14,Paramètres!$A$1:$I$89,3,0)*VLOOKUP('Données projet'!$B$14,Paramètres!$A$1:$I$89,5,0)</f>
        <v>364.24752000000001</v>
      </c>
      <c r="DQ106" s="14">
        <f t="shared" si="97"/>
        <v>84.489376219671925</v>
      </c>
      <c r="DR106" s="22">
        <f t="shared" si="70"/>
        <v>781.55009424926186</v>
      </c>
      <c r="DS106" s="62">
        <f t="shared" si="71"/>
        <v>1059.7688631790245</v>
      </c>
      <c r="DT106" s="62">
        <f ca="1">AVERAGE(OFFSET($DS$3,0,0,'Données projet'!$E$14+1,1))-AVERAGE(OFFSET($H$3,0,0,'Données projet'!$E$14+1,1))</f>
        <v>603.52431522262032</v>
      </c>
      <c r="DU106" s="62">
        <f t="shared" si="98"/>
        <v>313.56299786481338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-3.4106051316484809E-13</v>
      </c>
      <c r="EK106" s="18">
        <f>EJ106*VLOOKUP('Données projet'!$B$15,Paramètres!$A$1:$I$89,3,0)*VLOOKUP('Données projet'!$B$15,Paramètres!$A$1:$I$89,5,0)</f>
        <v>-2.7134774427395314E-13</v>
      </c>
      <c r="EL106" s="14" t="e">
        <f t="shared" si="99"/>
        <v>#NUM!</v>
      </c>
      <c r="EM106" s="22" t="e">
        <f t="shared" si="73"/>
        <v>#NUM!</v>
      </c>
      <c r="EN106" s="62" t="e">
        <f t="shared" si="74"/>
        <v>#NUM!</v>
      </c>
      <c r="EO106" s="62">
        <f ca="1">AVERAGE(OFFSET($EN$3,0,0,'Données projet'!$E$15+1,1))-AVERAGE(OFFSET($H$3,0,0,'Données projet'!$E$15+1,1))</f>
        <v>450.93388191845378</v>
      </c>
      <c r="EP106" s="62">
        <f t="shared" si="100"/>
        <v>483.33635017129325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5.6843418860808015E-14</v>
      </c>
      <c r="FF106" s="18">
        <f>FE106*VLOOKUP('Données projet'!$B$16,Paramètres!$A$1:$I$89,3,0)*VLOOKUP('Données projet'!$B$16,Paramètres!$A$1:$I$89,5,0)</f>
        <v>4.4337866711430253E-14</v>
      </c>
      <c r="FG106" s="14">
        <f t="shared" si="101"/>
        <v>7.3222115536967035E-13</v>
      </c>
      <c r="FH106" s="22">
        <f t="shared" si="76"/>
        <v>1.3525069634579169E-12</v>
      </c>
      <c r="FI106" s="62">
        <f t="shared" si="77"/>
        <v>278.21876892976405</v>
      </c>
      <c r="FJ106" s="62">
        <f ca="1">AVERAGE(OFFSET($FI$3,0,0,'Données projet'!$E$16+1,1))-AVERAGE(OFFSET($H$3,0,0,'Données projet'!$E$16+1,1))</f>
        <v>309.21625451786218</v>
      </c>
      <c r="FK106" s="62">
        <f t="shared" si="102"/>
        <v>302.59481222418219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-2.2737367544323206E-13</v>
      </c>
      <c r="O107" s="14">
        <f>N107*VLOOKUP('Données projet'!$B$9,Paramètres!$A$1:$I$89,3,0)*VLOOKUP('Données projet'!$B$9,Paramètres!$A$1:$I$89,5,0)</f>
        <v>-1.8089849618263545E-13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394.70330963327166</v>
      </c>
      <c r="T107" s="62">
        <f t="shared" si="88"/>
        <v>424.06445894109982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projet'!$B$10,Paramètres!$A$1:$I$89,3,0)*VLOOKUP('Données projet'!$B$10,Paramètres!$A$1:$I$89,5,0)</f>
        <v>4.6111381379887463E-14</v>
      </c>
      <c r="AK107" s="14">
        <f t="shared" si="89"/>
        <v>7.5804141040779151E-13</v>
      </c>
      <c r="AL107" s="22">
        <f t="shared" si="58"/>
        <v>1.4005661123635408E-12</v>
      </c>
      <c r="AM107" s="62">
        <f t="shared" si="59"/>
        <v>278.48097283106233</v>
      </c>
      <c r="AN107" s="62">
        <f ca="1">AVERAGE(OFFSET($AM$3,0,0,'Données projet'!$E$10+1,1))-AVERAGE(OFFSET($H$3,0,0,'Données projet'!$E$10+1,1))</f>
        <v>319.39055628111151</v>
      </c>
      <c r="AO107" s="62">
        <f t="shared" si="90"/>
        <v>312.22190035638084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-1.1368683772161603E-13</v>
      </c>
      <c r="BE107" s="14">
        <f>BD107*VLOOKUP('Données projet'!$B$11,Paramètres!$A$1:$I$89,3,0)*VLOOKUP('Données projet'!$B$11,Paramètres!$A$1:$I$89,5,0)</f>
        <v>-8.3355189417488869E-14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257.906524944431</v>
      </c>
      <c r="BJ107" s="62">
        <f t="shared" si="92"/>
        <v>274.70390601173563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-1.1368683772161603E-13</v>
      </c>
      <c r="BZ107" s="14">
        <f>BY107*VLOOKUP('Données projet'!$B$12,Paramètres!$A$1:$I$89,3,0)*VLOOKUP('Données projet'!$B$12,Paramètres!$A$1:$I$89,5,0)</f>
        <v>-9.2222762759774927E-14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272.69564942740931</v>
      </c>
      <c r="CE107" s="62">
        <f t="shared" si="94"/>
        <v>316.57989180609252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3.7179487179487181</v>
      </c>
      <c r="CT107" s="13">
        <f>IF('Données projet'!$A$140&gt;35,CT106+CS107-DB106,IF(A107&lt;'Données projet'!$A$140,$CQ$205^A107,IF(A107='Données projet'!$A$140,'Données projet'!$B$140,CT106+CS107-DB106)))</f>
        <v>290.51282051282044</v>
      </c>
      <c r="CU107" s="18">
        <f>CT107*VLOOKUP('Données projet'!$B$13,Paramètres!$A$1:$I$89,3,0)*VLOOKUP('Données projet'!$B$13,Paramètres!$A$1:$I$89,5,0)</f>
        <v>276.45199999999994</v>
      </c>
      <c r="CV107" s="14">
        <f t="shared" si="95"/>
        <v>66.216658906888583</v>
      </c>
      <c r="CW107" s="22">
        <f t="shared" si="67"/>
        <v>596.81458092949754</v>
      </c>
      <c r="CX107" s="62">
        <f t="shared" si="68"/>
        <v>875.29555376055851</v>
      </c>
      <c r="CY107" s="62">
        <f ca="1">AVERAGE(OFFSET($CX$3,0,0,'Données projet'!$E$13+1,1))-AVERAGE(OFFSET($H$3,0,0,'Données projet'!$E$13+1,1))</f>
        <v>491.87038198656927</v>
      </c>
      <c r="CZ107" s="62">
        <f t="shared" si="96"/>
        <v>406.49261644949559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5.2</v>
      </c>
      <c r="DO107" s="13">
        <f>IF('Données projet'!$A$166&gt;35,DO106+DN107-DW106,IF(A107&lt;'Données projet'!$A$166,$DL$205^A107,IF(A107='Données projet'!$A$166,'Données projet'!$B$166,DO106+DN107-DW106)))</f>
        <v>381.79999999999995</v>
      </c>
      <c r="DP107" s="18">
        <f>DO107*VLOOKUP('Données projet'!$B$14,Paramètres!$A$1:$I$89,3,0)*VLOOKUP('Données projet'!$B$14,Paramètres!$A$1:$I$89,5,0)</f>
        <v>369.27695999999997</v>
      </c>
      <c r="DQ107" s="14">
        <f t="shared" si="97"/>
        <v>85.519367329988739</v>
      </c>
      <c r="DR107" s="22">
        <f t="shared" si="70"/>
        <v>792.10360343306365</v>
      </c>
      <c r="DS107" s="62">
        <f t="shared" si="71"/>
        <v>1070.5845762641245</v>
      </c>
      <c r="DT107" s="62">
        <f ca="1">AVERAGE(OFFSET($DS$3,0,0,'Données projet'!$E$14+1,1))-AVERAGE(OFFSET($H$3,0,0,'Données projet'!$E$14+1,1))</f>
        <v>603.52431522262032</v>
      </c>
      <c r="DU107" s="62">
        <f t="shared" si="98"/>
        <v>313.56299786481338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-3.4106051316484809E-13</v>
      </c>
      <c r="EK107" s="18">
        <f>EJ107*VLOOKUP('Données projet'!$B$15,Paramètres!$A$1:$I$89,3,0)*VLOOKUP('Données projet'!$B$15,Paramètres!$A$1:$I$89,5,0)</f>
        <v>-2.7134774427395314E-13</v>
      </c>
      <c r="EL107" s="14" t="e">
        <f t="shared" si="99"/>
        <v>#NUM!</v>
      </c>
      <c r="EM107" s="22" t="e">
        <f t="shared" si="73"/>
        <v>#NUM!</v>
      </c>
      <c r="EN107" s="62" t="e">
        <f t="shared" si="74"/>
        <v>#NUM!</v>
      </c>
      <c r="EO107" s="62">
        <f ca="1">AVERAGE(OFFSET($EN$3,0,0,'Données projet'!$E$15+1,1))-AVERAGE(OFFSET($H$3,0,0,'Données projet'!$E$15+1,1))</f>
        <v>450.93388191845378</v>
      </c>
      <c r="EP107" s="62">
        <f t="shared" si="100"/>
        <v>483.33635017129325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5.6843418860808015E-14</v>
      </c>
      <c r="FF107" s="18">
        <f>FE107*VLOOKUP('Données projet'!$B$16,Paramètres!$A$1:$I$89,3,0)*VLOOKUP('Données projet'!$B$16,Paramètres!$A$1:$I$89,5,0)</f>
        <v>4.4337866711430253E-14</v>
      </c>
      <c r="FG107" s="14">
        <f t="shared" si="101"/>
        <v>7.3222115536967035E-13</v>
      </c>
      <c r="FH107" s="22">
        <f t="shared" si="76"/>
        <v>1.3525069634579169E-12</v>
      </c>
      <c r="FI107" s="62">
        <f t="shared" si="77"/>
        <v>278.48097283106227</v>
      </c>
      <c r="FJ107" s="62">
        <f ca="1">AVERAGE(OFFSET($FI$3,0,0,'Données projet'!$E$16+1,1))-AVERAGE(OFFSET($H$3,0,0,'Données projet'!$E$16+1,1))</f>
        <v>309.21625451786218</v>
      </c>
      <c r="FK107" s="62">
        <f t="shared" si="102"/>
        <v>302.59481222418219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-2.2737367544323206E-13</v>
      </c>
      <c r="O108" s="14">
        <f>N108*VLOOKUP('Données projet'!$B$9,Paramètres!$A$1:$I$89,3,0)*VLOOKUP('Données projet'!$B$9,Paramètres!$A$1:$I$89,5,0)</f>
        <v>-1.8089849618263545E-13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394.70330963327166</v>
      </c>
      <c r="T108" s="62">
        <f t="shared" si="88"/>
        <v>424.06445894109982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projet'!$B$10,Paramètres!$A$1:$I$89,3,0)*VLOOKUP('Données projet'!$B$10,Paramètres!$A$1:$I$89,5,0)</f>
        <v>4.6111381379887463E-14</v>
      </c>
      <c r="AK108" s="14">
        <f t="shared" si="89"/>
        <v>7.5804141040779151E-13</v>
      </c>
      <c r="AL108" s="22">
        <f t="shared" si="58"/>
        <v>1.4005661123635408E-12</v>
      </c>
      <c r="AM108" s="62">
        <f t="shared" si="59"/>
        <v>278.73862808087318</v>
      </c>
      <c r="AN108" s="62">
        <f ca="1">AVERAGE(OFFSET($AM$3,0,0,'Données projet'!$E$10+1,1))-AVERAGE(OFFSET($H$3,0,0,'Données projet'!$E$10+1,1))</f>
        <v>319.39055628111151</v>
      </c>
      <c r="AO108" s="62">
        <f t="shared" si="90"/>
        <v>312.22190035638084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-1.1368683772161603E-13</v>
      </c>
      <c r="BE108" s="14">
        <f>BD108*VLOOKUP('Données projet'!$B$11,Paramètres!$A$1:$I$89,3,0)*VLOOKUP('Données projet'!$B$11,Paramètres!$A$1:$I$89,5,0)</f>
        <v>-8.3355189417488869E-14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257.906524944431</v>
      </c>
      <c r="BJ108" s="62">
        <f t="shared" si="92"/>
        <v>274.70390601173563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-1.1368683772161603E-13</v>
      </c>
      <c r="BZ108" s="14">
        <f>BY108*VLOOKUP('Données projet'!$B$12,Paramètres!$A$1:$I$89,3,0)*VLOOKUP('Données projet'!$B$12,Paramètres!$A$1:$I$89,5,0)</f>
        <v>-9.2222762759774927E-14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272.69564942740931</v>
      </c>
      <c r="CE108" s="62">
        <f t="shared" si="94"/>
        <v>316.57989180609252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3.7179487179487181</v>
      </c>
      <c r="CT108" s="13">
        <f>IF('Données projet'!$A$140&gt;35,CT107+CS108-DB107,IF(A108&lt;'Données projet'!$A$140,$CQ$205^A108,IF(A108='Données projet'!$A$140,'Données projet'!$B$140,CT107+CS108-DB107)))</f>
        <v>294.23076923076917</v>
      </c>
      <c r="CU108" s="18">
        <f>CT108*VLOOKUP('Données projet'!$B$13,Paramètres!$A$1:$I$89,3,0)*VLOOKUP('Données projet'!$B$13,Paramètres!$A$1:$I$89,5,0)</f>
        <v>279.98999999999995</v>
      </c>
      <c r="CV108" s="14">
        <f t="shared" si="95"/>
        <v>66.964895589249323</v>
      </c>
      <c r="CW108" s="22">
        <f t="shared" si="67"/>
        <v>604.27977648460922</v>
      </c>
      <c r="CX108" s="62">
        <f t="shared" si="68"/>
        <v>883.01840456548098</v>
      </c>
      <c r="CY108" s="62">
        <f ca="1">AVERAGE(OFFSET($CX$3,0,0,'Données projet'!$E$13+1,1))-AVERAGE(OFFSET($H$3,0,0,'Données projet'!$E$13+1,1))</f>
        <v>491.87038198656927</v>
      </c>
      <c r="CZ108" s="62">
        <f t="shared" si="96"/>
        <v>406.49261644949559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5.2</v>
      </c>
      <c r="DO108" s="13">
        <f>IF('Données projet'!$A$166&gt;35,DO107+DN108-DW107,IF(A108&lt;'Données projet'!$A$166,$DL$205^A108,IF(A108='Données projet'!$A$166,'Données projet'!$B$166,DO107+DN108-DW107)))</f>
        <v>386.99999999999994</v>
      </c>
      <c r="DP108" s="18">
        <f>DO108*VLOOKUP('Données projet'!$B$14,Paramètres!$A$1:$I$89,3,0)*VLOOKUP('Données projet'!$B$14,Paramètres!$A$1:$I$89,5,0)</f>
        <v>374.30639999999994</v>
      </c>
      <c r="DQ108" s="14">
        <f t="shared" si="97"/>
        <v>86.547726802089201</v>
      </c>
      <c r="DR108" s="22">
        <f t="shared" si="70"/>
        <v>802.65427084697183</v>
      </c>
      <c r="DS108" s="62">
        <f t="shared" si="71"/>
        <v>1081.3928989278436</v>
      </c>
      <c r="DT108" s="62">
        <f ca="1">AVERAGE(OFFSET($DS$3,0,0,'Données projet'!$E$14+1,1))-AVERAGE(OFFSET($H$3,0,0,'Données projet'!$E$14+1,1))</f>
        <v>603.52431522262032</v>
      </c>
      <c r="DU108" s="62">
        <f t="shared" si="98"/>
        <v>313.56299786481338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-3.4106051316484809E-13</v>
      </c>
      <c r="EK108" s="18">
        <f>EJ108*VLOOKUP('Données projet'!$B$15,Paramètres!$A$1:$I$89,3,0)*VLOOKUP('Données projet'!$B$15,Paramètres!$A$1:$I$89,5,0)</f>
        <v>-2.7134774427395314E-13</v>
      </c>
      <c r="EL108" s="14" t="e">
        <f t="shared" si="99"/>
        <v>#NUM!</v>
      </c>
      <c r="EM108" s="22" t="e">
        <f t="shared" si="73"/>
        <v>#NUM!</v>
      </c>
      <c r="EN108" s="62" t="e">
        <f t="shared" si="74"/>
        <v>#NUM!</v>
      </c>
      <c r="EO108" s="62">
        <f ca="1">AVERAGE(OFFSET($EN$3,0,0,'Données projet'!$E$15+1,1))-AVERAGE(OFFSET($H$3,0,0,'Données projet'!$E$15+1,1))</f>
        <v>450.93388191845378</v>
      </c>
      <c r="EP108" s="62">
        <f t="shared" si="100"/>
        <v>483.33635017129325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5.6843418860808015E-14</v>
      </c>
      <c r="FF108" s="18">
        <f>FE108*VLOOKUP('Données projet'!$B$16,Paramètres!$A$1:$I$89,3,0)*VLOOKUP('Données projet'!$B$16,Paramètres!$A$1:$I$89,5,0)</f>
        <v>4.4337866711430253E-14</v>
      </c>
      <c r="FG108" s="14">
        <f t="shared" si="101"/>
        <v>7.3222115536967035E-13</v>
      </c>
      <c r="FH108" s="22">
        <f t="shared" si="76"/>
        <v>1.3525069634579169E-12</v>
      </c>
      <c r="FI108" s="62">
        <f t="shared" si="77"/>
        <v>278.73862808087313</v>
      </c>
      <c r="FJ108" s="62">
        <f ca="1">AVERAGE(OFFSET($FI$3,0,0,'Données projet'!$E$16+1,1))-AVERAGE(OFFSET($H$3,0,0,'Données projet'!$E$16+1,1))</f>
        <v>309.21625451786218</v>
      </c>
      <c r="FK108" s="62">
        <f t="shared" si="102"/>
        <v>302.59481222418219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-2.2737367544323206E-13</v>
      </c>
      <c r="O109" s="14">
        <f>N109*VLOOKUP('Données projet'!$B$9,Paramètres!$A$1:$I$89,3,0)*VLOOKUP('Données projet'!$B$9,Paramètres!$A$1:$I$89,5,0)</f>
        <v>-1.8089849618263545E-13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394.70330963327166</v>
      </c>
      <c r="T109" s="62">
        <f t="shared" si="88"/>
        <v>424.06445894109982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projet'!$B$10,Paramètres!$A$1:$I$89,3,0)*VLOOKUP('Données projet'!$B$10,Paramètres!$A$1:$I$89,5,0)</f>
        <v>4.6111381379887463E-14</v>
      </c>
      <c r="AK109" s="14">
        <f t="shared" si="89"/>
        <v>7.5804141040779151E-13</v>
      </c>
      <c r="AL109" s="22">
        <f t="shared" si="58"/>
        <v>1.4005661123635408E-12</v>
      </c>
      <c r="AM109" s="62">
        <f t="shared" si="59"/>
        <v>278.99181358813053</v>
      </c>
      <c r="AN109" s="62">
        <f ca="1">AVERAGE(OFFSET($AM$3,0,0,'Données projet'!$E$10+1,1))-AVERAGE(OFFSET($H$3,0,0,'Données projet'!$E$10+1,1))</f>
        <v>319.39055628111151</v>
      </c>
      <c r="AO109" s="62">
        <f t="shared" si="90"/>
        <v>312.22190035638084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-1.1368683772161603E-13</v>
      </c>
      <c r="BE109" s="14">
        <f>BD109*VLOOKUP('Données projet'!$B$11,Paramètres!$A$1:$I$89,3,0)*VLOOKUP('Données projet'!$B$11,Paramètres!$A$1:$I$89,5,0)</f>
        <v>-8.3355189417488869E-14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257.906524944431</v>
      </c>
      <c r="BJ109" s="62">
        <f t="shared" si="92"/>
        <v>274.70390601173563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-1.1368683772161603E-13</v>
      </c>
      <c r="BZ109" s="14">
        <f>BY109*VLOOKUP('Données projet'!$B$12,Paramètres!$A$1:$I$89,3,0)*VLOOKUP('Données projet'!$B$12,Paramètres!$A$1:$I$89,5,0)</f>
        <v>-9.2222762759774927E-14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272.69564942740931</v>
      </c>
      <c r="CE109" s="62">
        <f t="shared" si="94"/>
        <v>316.57989180609252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3.7179487179487181</v>
      </c>
      <c r="CT109" s="13">
        <f>IF('Données projet'!$A$140&gt;35,CT108+CS109-DB108,IF(A109&lt;'Données projet'!$A$140,$CQ$205^A109,IF(A109='Données projet'!$A$140,'Données projet'!$B$140,CT108+CS109-DB108)))</f>
        <v>297.9487179487179</v>
      </c>
      <c r="CU109" s="18">
        <f>CT109*VLOOKUP('Données projet'!$B$13,Paramètres!$A$1:$I$89,3,0)*VLOOKUP('Données projet'!$B$13,Paramètres!$A$1:$I$89,5,0)</f>
        <v>283.52799999999996</v>
      </c>
      <c r="CV109" s="14">
        <f t="shared" si="95"/>
        <v>67.712032505951981</v>
      </c>
      <c r="CW109" s="22">
        <f t="shared" si="67"/>
        <v>611.74305661453297</v>
      </c>
      <c r="CX109" s="62">
        <f t="shared" si="68"/>
        <v>890.73487020266202</v>
      </c>
      <c r="CY109" s="62">
        <f ca="1">AVERAGE(OFFSET($CX$3,0,0,'Données projet'!$E$13+1,1))-AVERAGE(OFFSET($H$3,0,0,'Données projet'!$E$13+1,1))</f>
        <v>491.87038198656927</v>
      </c>
      <c r="CZ109" s="62">
        <f t="shared" si="96"/>
        <v>406.49261644949559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5.2</v>
      </c>
      <c r="DO109" s="13">
        <f>IF('Données projet'!$A$166&gt;35,DO108+DN109-DW108,IF(A109&lt;'Données projet'!$A$166,$DL$205^A109,IF(A109='Données projet'!$A$166,'Données projet'!$B$166,DO108+DN109-DW108)))</f>
        <v>392.19999999999993</v>
      </c>
      <c r="DP109" s="18">
        <f>DO109*VLOOKUP('Données projet'!$B$14,Paramètres!$A$1:$I$89,3,0)*VLOOKUP('Données projet'!$B$14,Paramètres!$A$1:$I$89,5,0)</f>
        <v>379.33583999999996</v>
      </c>
      <c r="DQ109" s="14">
        <f t="shared" si="97"/>
        <v>87.574479094077503</v>
      </c>
      <c r="DR109" s="22">
        <f t="shared" si="70"/>
        <v>813.2021390888516</v>
      </c>
      <c r="DS109" s="62">
        <f t="shared" si="71"/>
        <v>1092.1939526769806</v>
      </c>
      <c r="DT109" s="62">
        <f ca="1">AVERAGE(OFFSET($DS$3,0,0,'Données projet'!$E$14+1,1))-AVERAGE(OFFSET($H$3,0,0,'Données projet'!$E$14+1,1))</f>
        <v>603.52431522262032</v>
      </c>
      <c r="DU109" s="62">
        <f t="shared" si="98"/>
        <v>313.56299786481338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-3.4106051316484809E-13</v>
      </c>
      <c r="EK109" s="18">
        <f>EJ109*VLOOKUP('Données projet'!$B$15,Paramètres!$A$1:$I$89,3,0)*VLOOKUP('Données projet'!$B$15,Paramètres!$A$1:$I$89,5,0)</f>
        <v>-2.7134774427395314E-13</v>
      </c>
      <c r="EL109" s="14" t="e">
        <f t="shared" si="99"/>
        <v>#NUM!</v>
      </c>
      <c r="EM109" s="22" t="e">
        <f t="shared" si="73"/>
        <v>#NUM!</v>
      </c>
      <c r="EN109" s="62" t="e">
        <f t="shared" si="74"/>
        <v>#NUM!</v>
      </c>
      <c r="EO109" s="62">
        <f ca="1">AVERAGE(OFFSET($EN$3,0,0,'Données projet'!$E$15+1,1))-AVERAGE(OFFSET($H$3,0,0,'Données projet'!$E$15+1,1))</f>
        <v>450.93388191845378</v>
      </c>
      <c r="EP109" s="62">
        <f t="shared" si="100"/>
        <v>483.33635017129325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5.6843418860808015E-14</v>
      </c>
      <c r="FF109" s="18">
        <f>FE109*VLOOKUP('Données projet'!$B$16,Paramètres!$A$1:$I$89,3,0)*VLOOKUP('Données projet'!$B$16,Paramètres!$A$1:$I$89,5,0)</f>
        <v>4.4337866711430253E-14</v>
      </c>
      <c r="FG109" s="14">
        <f t="shared" si="101"/>
        <v>7.3222115536967035E-13</v>
      </c>
      <c r="FH109" s="22">
        <f t="shared" si="76"/>
        <v>1.3525069634579169E-12</v>
      </c>
      <c r="FI109" s="62">
        <f t="shared" si="77"/>
        <v>278.99181358813047</v>
      </c>
      <c r="FJ109" s="62">
        <f ca="1">AVERAGE(OFFSET($FI$3,0,0,'Données projet'!$E$16+1,1))-AVERAGE(OFFSET($H$3,0,0,'Données projet'!$E$16+1,1))</f>
        <v>309.21625451786218</v>
      </c>
      <c r="FK109" s="62">
        <f t="shared" si="102"/>
        <v>302.59481222418219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-2.2737367544323206E-13</v>
      </c>
      <c r="O110" s="14">
        <f>N110*VLOOKUP('Données projet'!$B$9,Paramètres!$A$1:$I$89,3,0)*VLOOKUP('Données projet'!$B$9,Paramètres!$A$1:$I$89,5,0)</f>
        <v>-1.8089849618263545E-13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394.70330963327166</v>
      </c>
      <c r="T110" s="62">
        <f t="shared" si="88"/>
        <v>424.06445894109982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projet'!$B$10,Paramètres!$A$1:$I$89,3,0)*VLOOKUP('Données projet'!$B$10,Paramètres!$A$1:$I$89,5,0)</f>
        <v>4.6111381379887463E-14</v>
      </c>
      <c r="AK110" s="14">
        <f t="shared" si="89"/>
        <v>7.5804141040779151E-13</v>
      </c>
      <c r="AL110" s="22">
        <f t="shared" si="58"/>
        <v>1.4005661123635408E-12</v>
      </c>
      <c r="AM110" s="62">
        <f t="shared" si="59"/>
        <v>279.24060689287506</v>
      </c>
      <c r="AN110" s="62">
        <f ca="1">AVERAGE(OFFSET($AM$3,0,0,'Données projet'!$E$10+1,1))-AVERAGE(OFFSET($H$3,0,0,'Données projet'!$E$10+1,1))</f>
        <v>319.39055628111151</v>
      </c>
      <c r="AO110" s="62">
        <f t="shared" si="90"/>
        <v>312.22190035638084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-1.1368683772161603E-13</v>
      </c>
      <c r="BE110" s="14">
        <f>BD110*VLOOKUP('Données projet'!$B$11,Paramètres!$A$1:$I$89,3,0)*VLOOKUP('Données projet'!$B$11,Paramètres!$A$1:$I$89,5,0)</f>
        <v>-8.3355189417488869E-14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257.906524944431</v>
      </c>
      <c r="BJ110" s="62">
        <f t="shared" si="92"/>
        <v>274.70390601173563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-1.1368683772161603E-13</v>
      </c>
      <c r="BZ110" s="14">
        <f>BY110*VLOOKUP('Données projet'!$B$12,Paramètres!$A$1:$I$89,3,0)*VLOOKUP('Données projet'!$B$12,Paramètres!$A$1:$I$89,5,0)</f>
        <v>-9.2222762759774927E-14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272.69564942740931</v>
      </c>
      <c r="CE110" s="62">
        <f t="shared" si="94"/>
        <v>316.57989180609252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3.7179487179487181</v>
      </c>
      <c r="CT110" s="13">
        <f>IF('Données projet'!$A$140&gt;35,CT109+CS110-DB109,IF(A110&lt;'Données projet'!$A$140,$CQ$205^A110,IF(A110='Données projet'!$A$140,'Données projet'!$B$140,CT109+CS110-DB109)))</f>
        <v>301.66666666666663</v>
      </c>
      <c r="CU110" s="18">
        <f>CT110*VLOOKUP('Données projet'!$B$13,Paramètres!$A$1:$I$89,3,0)*VLOOKUP('Données projet'!$B$13,Paramètres!$A$1:$I$89,5,0)</f>
        <v>287.06599999999997</v>
      </c>
      <c r="CV110" s="14">
        <f t="shared" si="95"/>
        <v>68.458084967488944</v>
      </c>
      <c r="CW110" s="22">
        <f t="shared" si="67"/>
        <v>619.2044479850432</v>
      </c>
      <c r="CX110" s="62">
        <f t="shared" si="68"/>
        <v>898.44505487791685</v>
      </c>
      <c r="CY110" s="62">
        <f ca="1">AVERAGE(OFFSET($CX$3,0,0,'Données projet'!$E$13+1,1))-AVERAGE(OFFSET($H$3,0,0,'Données projet'!$E$13+1,1))</f>
        <v>491.87038198656927</v>
      </c>
      <c r="CZ110" s="62">
        <f t="shared" si="96"/>
        <v>406.49261644949559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5.2</v>
      </c>
      <c r="DO110" s="13">
        <f>IF('Données projet'!$A$166&gt;35,DO109+DN110-DW109,IF(A110&lt;'Données projet'!$A$166,$DL$205^A110,IF(A110='Données projet'!$A$166,'Données projet'!$B$166,DO109+DN110-DW109)))</f>
        <v>397.39999999999992</v>
      </c>
      <c r="DP110" s="18">
        <f>DO110*VLOOKUP('Données projet'!$B$14,Paramètres!$A$1:$I$89,3,0)*VLOOKUP('Données projet'!$B$14,Paramètres!$A$1:$I$89,5,0)</f>
        <v>384.36527999999993</v>
      </c>
      <c r="DQ110" s="14">
        <f t="shared" si="97"/>
        <v>88.599647978223373</v>
      </c>
      <c r="DR110" s="22">
        <f t="shared" si="70"/>
        <v>823.74724956207217</v>
      </c>
      <c r="DS110" s="62">
        <f t="shared" si="71"/>
        <v>1102.9878564549458</v>
      </c>
      <c r="DT110" s="62">
        <f ca="1">AVERAGE(OFFSET($DS$3,0,0,'Données projet'!$E$14+1,1))-AVERAGE(OFFSET($H$3,0,0,'Données projet'!$E$14+1,1))</f>
        <v>603.52431522262032</v>
      </c>
      <c r="DU110" s="62">
        <f t="shared" si="98"/>
        <v>313.56299786481338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-3.4106051316484809E-13</v>
      </c>
      <c r="EK110" s="18">
        <f>EJ110*VLOOKUP('Données projet'!$B$15,Paramètres!$A$1:$I$89,3,0)*VLOOKUP('Données projet'!$B$15,Paramètres!$A$1:$I$89,5,0)</f>
        <v>-2.7134774427395314E-13</v>
      </c>
      <c r="EL110" s="14" t="e">
        <f t="shared" si="99"/>
        <v>#NUM!</v>
      </c>
      <c r="EM110" s="22" t="e">
        <f t="shared" si="73"/>
        <v>#NUM!</v>
      </c>
      <c r="EN110" s="62" t="e">
        <f t="shared" si="74"/>
        <v>#NUM!</v>
      </c>
      <c r="EO110" s="62">
        <f ca="1">AVERAGE(OFFSET($EN$3,0,0,'Données projet'!$E$15+1,1))-AVERAGE(OFFSET($H$3,0,0,'Données projet'!$E$15+1,1))</f>
        <v>450.93388191845378</v>
      </c>
      <c r="EP110" s="62">
        <f t="shared" si="100"/>
        <v>483.33635017129325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5.6843418860808015E-14</v>
      </c>
      <c r="FF110" s="18">
        <f>FE110*VLOOKUP('Données projet'!$B$16,Paramètres!$A$1:$I$89,3,0)*VLOOKUP('Données projet'!$B$16,Paramètres!$A$1:$I$89,5,0)</f>
        <v>4.4337866711430253E-14</v>
      </c>
      <c r="FG110" s="14">
        <f t="shared" si="101"/>
        <v>7.3222115536967035E-13</v>
      </c>
      <c r="FH110" s="22">
        <f t="shared" si="76"/>
        <v>1.3525069634579169E-12</v>
      </c>
      <c r="FI110" s="62">
        <f t="shared" si="77"/>
        <v>279.24060689287501</v>
      </c>
      <c r="FJ110" s="62">
        <f ca="1">AVERAGE(OFFSET($FI$3,0,0,'Données projet'!$E$16+1,1))-AVERAGE(OFFSET($H$3,0,0,'Données projet'!$E$16+1,1))</f>
        <v>309.21625451786218</v>
      </c>
      <c r="FK110" s="62">
        <f t="shared" si="102"/>
        <v>302.59481222418219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-2.2737367544323206E-13</v>
      </c>
      <c r="O111" s="14">
        <f>N111*VLOOKUP('Données projet'!$B$9,Paramètres!$A$1:$I$89,3,0)*VLOOKUP('Données projet'!$B$9,Paramètres!$A$1:$I$89,5,0)</f>
        <v>-1.8089849618263545E-13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394.70330963327166</v>
      </c>
      <c r="T111" s="62">
        <f t="shared" si="88"/>
        <v>424.06445894109982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projet'!$B$10,Paramètres!$A$1:$I$89,3,0)*VLOOKUP('Données projet'!$B$10,Paramètres!$A$1:$I$89,5,0)</f>
        <v>4.6111381379887463E-14</v>
      </c>
      <c r="AK111" s="14">
        <f t="shared" si="89"/>
        <v>7.5804141040779151E-13</v>
      </c>
      <c r="AL111" s="22">
        <f t="shared" si="58"/>
        <v>1.4005661123635408E-12</v>
      </c>
      <c r="AM111" s="62">
        <f t="shared" si="59"/>
        <v>279.48508419000075</v>
      </c>
      <c r="AN111" s="62">
        <f ca="1">AVERAGE(OFFSET($AM$3,0,0,'Données projet'!$E$10+1,1))-AVERAGE(OFFSET($H$3,0,0,'Données projet'!$E$10+1,1))</f>
        <v>319.39055628111151</v>
      </c>
      <c r="AO111" s="62">
        <f t="shared" si="90"/>
        <v>312.22190035638084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-1.1368683772161603E-13</v>
      </c>
      <c r="BE111" s="14">
        <f>BD111*VLOOKUP('Données projet'!$B$11,Paramètres!$A$1:$I$89,3,0)*VLOOKUP('Données projet'!$B$11,Paramètres!$A$1:$I$89,5,0)</f>
        <v>-8.3355189417488869E-14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257.906524944431</v>
      </c>
      <c r="BJ111" s="62">
        <f t="shared" si="92"/>
        <v>274.70390601173563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-1.1368683772161603E-13</v>
      </c>
      <c r="BZ111" s="14">
        <f>BY111*VLOOKUP('Données projet'!$B$12,Paramètres!$A$1:$I$89,3,0)*VLOOKUP('Données projet'!$B$12,Paramètres!$A$1:$I$89,5,0)</f>
        <v>-9.2222762759774927E-14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272.69564942740931</v>
      </c>
      <c r="CE111" s="62">
        <f t="shared" si="94"/>
        <v>316.57989180609252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3.7179487179487181</v>
      </c>
      <c r="CT111" s="13">
        <f>IF('Données projet'!$A$140&gt;35,CT110+CS111-DB110,IF(A111&lt;'Données projet'!$A$140,$CQ$205^A111,IF(A111='Données projet'!$A$140,'Données projet'!$B$140,CT110+CS111-DB110)))</f>
        <v>305.38461538461536</v>
      </c>
      <c r="CU111" s="18">
        <f>CT111*VLOOKUP('Données projet'!$B$13,Paramètres!$A$1:$I$89,3,0)*VLOOKUP('Données projet'!$B$13,Paramètres!$A$1:$I$89,5,0)</f>
        <v>290.60399999999998</v>
      </c>
      <c r="CV111" s="14">
        <f t="shared" si="95"/>
        <v>69.203067885250235</v>
      </c>
      <c r="CW111" s="22">
        <f t="shared" si="67"/>
        <v>626.66397656681079</v>
      </c>
      <c r="CX111" s="62">
        <f t="shared" si="68"/>
        <v>906.14906075681006</v>
      </c>
      <c r="CY111" s="62">
        <f ca="1">AVERAGE(OFFSET($CX$3,0,0,'Données projet'!$E$13+1,1))-AVERAGE(OFFSET($H$3,0,0,'Données projet'!$E$13+1,1))</f>
        <v>491.87038198656927</v>
      </c>
      <c r="CZ111" s="62">
        <f t="shared" si="96"/>
        <v>406.49261644949559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5.2</v>
      </c>
      <c r="DO111" s="13">
        <f>IF('Données projet'!$A$166&gt;35,DO110+DN111-DW110,IF(A111&lt;'Données projet'!$A$166,$DL$205^A111,IF(A111='Données projet'!$A$166,'Données projet'!$B$166,DO110+DN111-DW110)))</f>
        <v>402.59999999999991</v>
      </c>
      <c r="DP111" s="18">
        <f>DO111*VLOOKUP('Données projet'!$B$14,Paramètres!$A$1:$I$89,3,0)*VLOOKUP('Données projet'!$B$14,Paramètres!$A$1:$I$89,5,0)</f>
        <v>389.39471999999989</v>
      </c>
      <c r="DQ111" s="14">
        <f t="shared" si="97"/>
        <v>89.623256568911799</v>
      </c>
      <c r="DR111" s="22">
        <f t="shared" si="70"/>
        <v>834.28964252418791</v>
      </c>
      <c r="DS111" s="62">
        <f t="shared" si="71"/>
        <v>1113.7747267141872</v>
      </c>
      <c r="DT111" s="62">
        <f ca="1">AVERAGE(OFFSET($DS$3,0,0,'Données projet'!$E$14+1,1))-AVERAGE(OFFSET($H$3,0,0,'Données projet'!$E$14+1,1))</f>
        <v>603.52431522262032</v>
      </c>
      <c r="DU111" s="62">
        <f t="shared" si="98"/>
        <v>313.56299786481338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-3.4106051316484809E-13</v>
      </c>
      <c r="EK111" s="18">
        <f>EJ111*VLOOKUP('Données projet'!$B$15,Paramètres!$A$1:$I$89,3,0)*VLOOKUP('Données projet'!$B$15,Paramètres!$A$1:$I$89,5,0)</f>
        <v>-2.7134774427395314E-13</v>
      </c>
      <c r="EL111" s="14" t="e">
        <f t="shared" si="99"/>
        <v>#NUM!</v>
      </c>
      <c r="EM111" s="22" t="e">
        <f t="shared" si="73"/>
        <v>#NUM!</v>
      </c>
      <c r="EN111" s="62" t="e">
        <f t="shared" si="74"/>
        <v>#NUM!</v>
      </c>
      <c r="EO111" s="62">
        <f ca="1">AVERAGE(OFFSET($EN$3,0,0,'Données projet'!$E$15+1,1))-AVERAGE(OFFSET($H$3,0,0,'Données projet'!$E$15+1,1))</f>
        <v>450.93388191845378</v>
      </c>
      <c r="EP111" s="62">
        <f t="shared" si="100"/>
        <v>483.33635017129325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5.6843418860808015E-14</v>
      </c>
      <c r="FF111" s="18">
        <f>FE111*VLOOKUP('Données projet'!$B$16,Paramètres!$A$1:$I$89,3,0)*VLOOKUP('Données projet'!$B$16,Paramètres!$A$1:$I$89,5,0)</f>
        <v>4.4337866711430253E-14</v>
      </c>
      <c r="FG111" s="14">
        <f t="shared" si="101"/>
        <v>7.3222115536967035E-13</v>
      </c>
      <c r="FH111" s="22">
        <f t="shared" si="76"/>
        <v>1.3525069634579169E-12</v>
      </c>
      <c r="FI111" s="62">
        <f t="shared" si="77"/>
        <v>279.48508419000069</v>
      </c>
      <c r="FJ111" s="62">
        <f ca="1">AVERAGE(OFFSET($FI$3,0,0,'Données projet'!$E$16+1,1))-AVERAGE(OFFSET($H$3,0,0,'Données projet'!$E$16+1,1))</f>
        <v>309.21625451786218</v>
      </c>
      <c r="FK111" s="62">
        <f t="shared" si="102"/>
        <v>302.59481222418219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-2.2737367544323206E-13</v>
      </c>
      <c r="O112" s="14">
        <f>N112*VLOOKUP('Données projet'!$B$9,Paramètres!$A$1:$I$89,3,0)*VLOOKUP('Données projet'!$B$9,Paramètres!$A$1:$I$89,5,0)</f>
        <v>-1.8089849618263545E-13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394.70330963327166</v>
      </c>
      <c r="T112" s="62">
        <f t="shared" si="88"/>
        <v>424.06445894109982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projet'!$B$10,Paramètres!$A$1:$I$89,3,0)*VLOOKUP('Données projet'!$B$10,Paramètres!$A$1:$I$89,5,0)</f>
        <v>4.6111381379887463E-14</v>
      </c>
      <c r="AK112" s="14">
        <f t="shared" si="89"/>
        <v>7.5804141040779151E-13</v>
      </c>
      <c r="AL112" s="22">
        <f t="shared" si="58"/>
        <v>1.4005661123635408E-12</v>
      </c>
      <c r="AM112" s="62">
        <f t="shared" si="59"/>
        <v>279.7253203525907</v>
      </c>
      <c r="AN112" s="62">
        <f ca="1">AVERAGE(OFFSET($AM$3,0,0,'Données projet'!$E$10+1,1))-AVERAGE(OFFSET($H$3,0,0,'Données projet'!$E$10+1,1))</f>
        <v>319.39055628111151</v>
      </c>
      <c r="AO112" s="62">
        <f t="shared" si="90"/>
        <v>312.22190035638084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-1.1368683772161603E-13</v>
      </c>
      <c r="BE112" s="14">
        <f>BD112*VLOOKUP('Données projet'!$B$11,Paramètres!$A$1:$I$89,3,0)*VLOOKUP('Données projet'!$B$11,Paramètres!$A$1:$I$89,5,0)</f>
        <v>-8.3355189417488869E-14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257.906524944431</v>
      </c>
      <c r="BJ112" s="62">
        <f t="shared" si="92"/>
        <v>274.70390601173563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-1.1368683772161603E-13</v>
      </c>
      <c r="BZ112" s="14">
        <f>BY112*VLOOKUP('Données projet'!$B$12,Paramètres!$A$1:$I$89,3,0)*VLOOKUP('Données projet'!$B$12,Paramètres!$A$1:$I$89,5,0)</f>
        <v>-9.2222762759774927E-14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272.69564942740931</v>
      </c>
      <c r="CE112" s="62">
        <f t="shared" si="94"/>
        <v>316.57989180609252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3.7179487179487181</v>
      </c>
      <c r="CT112" s="13">
        <f>IF('Données projet'!$A$140&gt;35,CT111+CS112-DB111,IF(A112&lt;'Données projet'!$A$140,$CQ$205^A112,IF(A112='Données projet'!$A$140,'Données projet'!$B$140,CT111+CS112-DB111)))</f>
        <v>309.10256410256409</v>
      </c>
      <c r="CU112" s="18">
        <f>CT112*VLOOKUP('Données projet'!$B$13,Paramètres!$A$1:$I$89,3,0)*VLOOKUP('Données projet'!$B$13,Paramètres!$A$1:$I$89,5,0)</f>
        <v>294.142</v>
      </c>
      <c r="CV112" s="14">
        <f t="shared" si="95"/>
        <v>69.9469957866567</v>
      </c>
      <c r="CW112" s="22">
        <f t="shared" si="67"/>
        <v>634.1216676617604</v>
      </c>
      <c r="CX112" s="62">
        <f t="shared" si="68"/>
        <v>913.84698801434968</v>
      </c>
      <c r="CY112" s="62">
        <f ca="1">AVERAGE(OFFSET($CX$3,0,0,'Données projet'!$E$13+1,1))-AVERAGE(OFFSET($H$3,0,0,'Données projet'!$E$13+1,1))</f>
        <v>491.87038198656927</v>
      </c>
      <c r="CZ112" s="62">
        <f t="shared" si="96"/>
        <v>406.49261644949559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5.2</v>
      </c>
      <c r="DO112" s="13">
        <f>IF('Données projet'!$A$166&gt;35,DO111+DN112-DW111,IF(A112&lt;'Données projet'!$A$166,$DL$205^A112,IF(A112='Données projet'!$A$166,'Données projet'!$B$166,DO111+DN112-DW111)))</f>
        <v>407.7999999999999</v>
      </c>
      <c r="DP112" s="18">
        <f>DO112*VLOOKUP('Données projet'!$B$14,Paramètres!$A$1:$I$89,3,0)*VLOOKUP('Données projet'!$B$14,Paramètres!$A$1:$I$89,5,0)</f>
        <v>394.42415999999992</v>
      </c>
      <c r="DQ112" s="14">
        <f t="shared" si="97"/>
        <v>90.645327349106196</v>
      </c>
      <c r="DR112" s="22">
        <f t="shared" si="70"/>
        <v>844.82935713302641</v>
      </c>
      <c r="DS112" s="62">
        <f t="shared" si="71"/>
        <v>1124.5546774856157</v>
      </c>
      <c r="DT112" s="62">
        <f ca="1">AVERAGE(OFFSET($DS$3,0,0,'Données projet'!$E$14+1,1))-AVERAGE(OFFSET($H$3,0,0,'Données projet'!$E$14+1,1))</f>
        <v>603.52431522262032</v>
      </c>
      <c r="DU112" s="62">
        <f t="shared" si="98"/>
        <v>313.56299786481338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-3.4106051316484809E-13</v>
      </c>
      <c r="EK112" s="18">
        <f>EJ112*VLOOKUP('Données projet'!$B$15,Paramètres!$A$1:$I$89,3,0)*VLOOKUP('Données projet'!$B$15,Paramètres!$A$1:$I$89,5,0)</f>
        <v>-2.7134774427395314E-13</v>
      </c>
      <c r="EL112" s="14" t="e">
        <f t="shared" si="99"/>
        <v>#NUM!</v>
      </c>
      <c r="EM112" s="22" t="e">
        <f t="shared" si="73"/>
        <v>#NUM!</v>
      </c>
      <c r="EN112" s="62" t="e">
        <f t="shared" si="74"/>
        <v>#NUM!</v>
      </c>
      <c r="EO112" s="62">
        <f ca="1">AVERAGE(OFFSET($EN$3,0,0,'Données projet'!$E$15+1,1))-AVERAGE(OFFSET($H$3,0,0,'Données projet'!$E$15+1,1))</f>
        <v>450.93388191845378</v>
      </c>
      <c r="EP112" s="62">
        <f t="shared" si="100"/>
        <v>483.33635017129325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5.6843418860808015E-14</v>
      </c>
      <c r="FF112" s="18">
        <f>FE112*VLOOKUP('Données projet'!$B$16,Paramètres!$A$1:$I$89,3,0)*VLOOKUP('Données projet'!$B$16,Paramètres!$A$1:$I$89,5,0)</f>
        <v>4.4337866711430253E-14</v>
      </c>
      <c r="FG112" s="14">
        <f t="shared" si="101"/>
        <v>7.3222115536967035E-13</v>
      </c>
      <c r="FH112" s="22">
        <f t="shared" si="76"/>
        <v>1.3525069634579169E-12</v>
      </c>
      <c r="FI112" s="62">
        <f t="shared" si="77"/>
        <v>279.72532035259064</v>
      </c>
      <c r="FJ112" s="62">
        <f ca="1">AVERAGE(OFFSET($FI$3,0,0,'Données projet'!$E$16+1,1))-AVERAGE(OFFSET($H$3,0,0,'Données projet'!$E$16+1,1))</f>
        <v>309.21625451786218</v>
      </c>
      <c r="FK112" s="62">
        <f t="shared" si="102"/>
        <v>302.59481222418219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-2.2737367544323206E-13</v>
      </c>
      <c r="O113" s="14">
        <f>N113*VLOOKUP('Données projet'!$B$9,Paramètres!$A$1:$I$89,3,0)*VLOOKUP('Données projet'!$B$9,Paramètres!$A$1:$I$89,5,0)</f>
        <v>-1.8089849618263545E-13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394.70330963327166</v>
      </c>
      <c r="T113" s="62">
        <f t="shared" si="88"/>
        <v>424.06445894109982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projet'!$B$10,Paramètres!$A$1:$I$89,3,0)*VLOOKUP('Données projet'!$B$10,Paramètres!$A$1:$I$89,5,0)</f>
        <v>4.6111381379887463E-14</v>
      </c>
      <c r="AK113" s="14">
        <f t="shared" si="89"/>
        <v>7.5804141040779151E-13</v>
      </c>
      <c r="AL113" s="22">
        <f t="shared" si="58"/>
        <v>1.4005661123635408E-12</v>
      </c>
      <c r="AM113" s="62">
        <f t="shared" si="59"/>
        <v>279.96138895484728</v>
      </c>
      <c r="AN113" s="62">
        <f ca="1">AVERAGE(OFFSET($AM$3,0,0,'Données projet'!$E$10+1,1))-AVERAGE(OFFSET($H$3,0,0,'Données projet'!$E$10+1,1))</f>
        <v>319.39055628111151</v>
      </c>
      <c r="AO113" s="62">
        <f t="shared" si="90"/>
        <v>312.22190035638084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-1.1368683772161603E-13</v>
      </c>
      <c r="BE113" s="14">
        <f>BD113*VLOOKUP('Données projet'!$B$11,Paramètres!$A$1:$I$89,3,0)*VLOOKUP('Données projet'!$B$11,Paramètres!$A$1:$I$89,5,0)</f>
        <v>-8.3355189417488869E-14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257.906524944431</v>
      </c>
      <c r="BJ113" s="62">
        <f t="shared" si="92"/>
        <v>274.70390601173563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-1.1368683772161603E-13</v>
      </c>
      <c r="BZ113" s="14">
        <f>BY113*VLOOKUP('Données projet'!$B$12,Paramètres!$A$1:$I$89,3,0)*VLOOKUP('Données projet'!$B$12,Paramètres!$A$1:$I$89,5,0)</f>
        <v>-9.2222762759774927E-14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272.69564942740931</v>
      </c>
      <c r="CE113" s="62">
        <f t="shared" si="94"/>
        <v>316.57989180609252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312.82051282051282</v>
      </c>
      <c r="CR113" s="13">
        <f>VLOOKUP(A113,'Données projet'!$A$139:$I$159,9,0)</f>
        <v>3.7179487179487181</v>
      </c>
      <c r="CS113" s="13">
        <f t="array" ref="CS113">INDEX(CR:CR,MIN(IF(ISNUMBER(CR113:CR309),ROW(CR113:CR309),"")))</f>
        <v>3.7179487179487181</v>
      </c>
      <c r="CT113" s="13">
        <f>IF('Données projet'!$A$140&gt;35,CT112+CS113-DB112,IF(A113&lt;'Données projet'!$A$140,$CQ$205^A113,IF(A113='Données projet'!$A$140,'Données projet'!$B$140,CT112+CS113-DB112)))</f>
        <v>312.82051282051282</v>
      </c>
      <c r="CU113" s="18">
        <f>CT113*VLOOKUP('Données projet'!$B$13,Paramètres!$A$1:$I$89,3,0)*VLOOKUP('Données projet'!$B$13,Paramètres!$A$1:$I$89,5,0)</f>
        <v>297.68</v>
      </c>
      <c r="CV113" s="14">
        <f t="shared" si="95"/>
        <v>70.689882829544487</v>
      </c>
      <c r="CW113" s="22">
        <f t="shared" si="67"/>
        <v>641.5775459281233</v>
      </c>
      <c r="CX113" s="62">
        <f t="shared" si="68"/>
        <v>921.53893488296922</v>
      </c>
      <c r="CY113" s="62">
        <f ca="1">AVERAGE(OFFSET($CX$3,0,0,'Données projet'!$E$13+1,1))-AVERAGE(OFFSET($H$3,0,0,'Données projet'!$E$13+1,1))</f>
        <v>491.87038198656927</v>
      </c>
      <c r="CZ113" s="62">
        <f t="shared" si="96"/>
        <v>406.49261644949559</v>
      </c>
      <c r="DA113" s="16">
        <f>IF(ISNA(VLOOKUP(A113,'Données projet'!$A$139:$I$159,3,0)),0,VLOOKUP(A113,'Données projet'!$A$139:$I$159,3,0))</f>
        <v>10</v>
      </c>
      <c r="DB113" s="16">
        <f>IF(ISNA(VLOOKUP(A113,'Données projet'!$A$139:$I$159,4,0)),0,VLOOKUP(A113,'Données projet'!$A$139:$I$159,4,0))</f>
        <v>28.205128205128204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413</v>
      </c>
      <c r="DM113" s="13">
        <f>VLOOKUP(A113,'Données projet'!$A$165:$I$185,9,0)</f>
        <v>5.2</v>
      </c>
      <c r="DN113" s="13">
        <f t="array" ref="DN113">INDEX(DM:DM,MIN(IF(ISNUMBER(DM113:DM309),ROW(DM113:DM309),"")))</f>
        <v>5.2</v>
      </c>
      <c r="DO113" s="13">
        <f>IF('Données projet'!$A$166&gt;35,DO112+DN113-DW112,IF(A113&lt;'Données projet'!$A$166,$DL$205^A113,IF(A113='Données projet'!$A$166,'Données projet'!$B$166,DO112+DN113-DW112)))</f>
        <v>412.99999999999989</v>
      </c>
      <c r="DP113" s="18">
        <f>DO113*VLOOKUP('Données projet'!$B$14,Paramètres!$A$1:$I$89,3,0)*VLOOKUP('Données projet'!$B$14,Paramètres!$A$1:$I$89,5,0)</f>
        <v>399.45359999999994</v>
      </c>
      <c r="DQ113" s="14">
        <f t="shared" si="97"/>
        <v>91.665882195424544</v>
      </c>
      <c r="DR113" s="22">
        <f t="shared" si="70"/>
        <v>855.36643149036433</v>
      </c>
      <c r="DS113" s="62">
        <f t="shared" si="71"/>
        <v>1135.3278204452101</v>
      </c>
      <c r="DT113" s="62">
        <f ca="1">AVERAGE(OFFSET($DS$3,0,0,'Données projet'!$E$14+1,1))-AVERAGE(OFFSET($H$3,0,0,'Données projet'!$E$14+1,1))</f>
        <v>603.52431522262032</v>
      </c>
      <c r="DU113" s="62">
        <f t="shared" si="98"/>
        <v>313.56299786481338</v>
      </c>
      <c r="DV113" s="16">
        <f>IF(ISNA(VLOOKUP(A113,'Données projet'!$A$165:$I$185,3,0)),0,VLOOKUP(A113,'Données projet'!$A$165:$I$185,3,0))</f>
        <v>8</v>
      </c>
      <c r="DW113" s="16">
        <f>IF(ISNA(VLOOKUP(A113,'Données projet'!$A$165:$I$185,4,0)),0,VLOOKUP(A113,'Données projet'!$A$165:$I$185,4,0))</f>
        <v>106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-3.4106051316484809E-13</v>
      </c>
      <c r="EK113" s="18">
        <f>EJ113*VLOOKUP('Données projet'!$B$15,Paramètres!$A$1:$I$89,3,0)*VLOOKUP('Données projet'!$B$15,Paramètres!$A$1:$I$89,5,0)</f>
        <v>-2.7134774427395314E-13</v>
      </c>
      <c r="EL113" s="14" t="e">
        <f t="shared" si="99"/>
        <v>#NUM!</v>
      </c>
      <c r="EM113" s="22" t="e">
        <f t="shared" si="73"/>
        <v>#NUM!</v>
      </c>
      <c r="EN113" s="62" t="e">
        <f t="shared" si="74"/>
        <v>#NUM!</v>
      </c>
      <c r="EO113" s="62">
        <f ca="1">AVERAGE(OFFSET($EN$3,0,0,'Données projet'!$E$15+1,1))-AVERAGE(OFFSET($H$3,0,0,'Données projet'!$E$15+1,1))</f>
        <v>450.93388191845378</v>
      </c>
      <c r="EP113" s="62">
        <f t="shared" si="100"/>
        <v>483.33635017129325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5.6843418860808015E-14</v>
      </c>
      <c r="FF113" s="18">
        <f>FE113*VLOOKUP('Données projet'!$B$16,Paramètres!$A$1:$I$89,3,0)*VLOOKUP('Données projet'!$B$16,Paramètres!$A$1:$I$89,5,0)</f>
        <v>4.4337866711430253E-14</v>
      </c>
      <c r="FG113" s="14">
        <f t="shared" si="101"/>
        <v>7.3222115536967035E-13</v>
      </c>
      <c r="FH113" s="22">
        <f t="shared" si="76"/>
        <v>1.3525069634579169E-12</v>
      </c>
      <c r="FI113" s="62">
        <f t="shared" si="77"/>
        <v>279.96138895484722</v>
      </c>
      <c r="FJ113" s="62">
        <f ca="1">AVERAGE(OFFSET($FI$3,0,0,'Données projet'!$E$16+1,1))-AVERAGE(OFFSET($H$3,0,0,'Données projet'!$E$16+1,1))</f>
        <v>309.21625451786218</v>
      </c>
      <c r="FK113" s="62">
        <f t="shared" si="102"/>
        <v>302.59481222418219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-2.2737367544323206E-13</v>
      </c>
      <c r="O114" s="14">
        <f>N114*VLOOKUP('Données projet'!$B$9,Paramètres!$A$1:$I$89,3,0)*VLOOKUP('Données projet'!$B$9,Paramètres!$A$1:$I$89,5,0)</f>
        <v>-1.8089849618263545E-13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394.70330963327166</v>
      </c>
      <c r="T114" s="62">
        <f t="shared" si="88"/>
        <v>424.06445894109982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projet'!$B$10,Paramètres!$A$1:$I$89,3,0)*VLOOKUP('Données projet'!$B$10,Paramètres!$A$1:$I$89,5,0)</f>
        <v>4.6111381379887463E-14</v>
      </c>
      <c r="AK114" s="14">
        <f t="shared" si="89"/>
        <v>7.5804141040779151E-13</v>
      </c>
      <c r="AL114" s="22">
        <f t="shared" si="58"/>
        <v>1.4005661123635408E-12</v>
      </c>
      <c r="AM114" s="62">
        <f t="shared" si="59"/>
        <v>280.19336229462499</v>
      </c>
      <c r="AN114" s="62">
        <f ca="1">AVERAGE(OFFSET($AM$3,0,0,'Données projet'!$E$10+1,1))-AVERAGE(OFFSET($H$3,0,0,'Données projet'!$E$10+1,1))</f>
        <v>319.39055628111151</v>
      </c>
      <c r="AO114" s="62">
        <f t="shared" si="90"/>
        <v>312.22190035638084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-1.1368683772161603E-13</v>
      </c>
      <c r="BE114" s="14">
        <f>BD114*VLOOKUP('Données projet'!$B$11,Paramètres!$A$1:$I$89,3,0)*VLOOKUP('Données projet'!$B$11,Paramètres!$A$1:$I$89,5,0)</f>
        <v>-8.3355189417488869E-14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257.906524944431</v>
      </c>
      <c r="BJ114" s="62">
        <f t="shared" si="92"/>
        <v>274.70390601173563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-1.1368683772161603E-13</v>
      </c>
      <c r="BZ114" s="14">
        <f>BY114*VLOOKUP('Données projet'!$B$12,Paramètres!$A$1:$I$89,3,0)*VLOOKUP('Données projet'!$B$12,Paramètres!$A$1:$I$89,5,0)</f>
        <v>-9.2222762759774927E-14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272.69564942740931</v>
      </c>
      <c r="CE114" s="62">
        <f t="shared" si="94"/>
        <v>316.57989180609252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3.525641025641022</v>
      </c>
      <c r="CT114" s="13">
        <f>IF('Données projet'!$A$140&gt;35,CT113+CS114-DB113,IF(A114&lt;'Données projet'!$A$140,$CQ$205^A114,IF(A114='Données projet'!$A$140,'Données projet'!$B$140,CT113+CS114-DB113)))</f>
        <v>288.14102564102564</v>
      </c>
      <c r="CU114" s="18">
        <f>CT114*VLOOKUP('Données projet'!$B$13,Paramètres!$A$1:$I$89,3,0)*VLOOKUP('Données projet'!$B$13,Paramètres!$A$1:$I$89,5,0)</f>
        <v>274.19499999999999</v>
      </c>
      <c r="CV114" s="14">
        <f t="shared" si="95"/>
        <v>65.738753734241826</v>
      </c>
      <c r="CW114" s="22">
        <f t="shared" si="67"/>
        <v>592.05128775380444</v>
      </c>
      <c r="CX114" s="62">
        <f t="shared" si="68"/>
        <v>872.24465004842796</v>
      </c>
      <c r="CY114" s="62">
        <f ca="1">AVERAGE(OFFSET($CX$3,0,0,'Données projet'!$E$13+1,1))-AVERAGE(OFFSET($H$3,0,0,'Données projet'!$E$13+1,1))</f>
        <v>491.87038198656927</v>
      </c>
      <c r="CZ114" s="62">
        <f t="shared" si="96"/>
        <v>406.49261644949559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4.5</v>
      </c>
      <c r="DO114" s="13">
        <f>IF('Données projet'!$A$166&gt;35,DO113+DN114-DW113,IF(A114&lt;'Données projet'!$A$166,$DL$205^A114,IF(A114='Données projet'!$A$166,'Données projet'!$B$166,DO113+DN114-DW113)))</f>
        <v>311.49999999999989</v>
      </c>
      <c r="DP114" s="18">
        <f>DO114*VLOOKUP('Données projet'!$B$14,Paramètres!$A$1:$I$89,3,0)*VLOOKUP('Données projet'!$B$14,Paramètres!$A$1:$I$89,5,0)</f>
        <v>301.2827999999999</v>
      </c>
      <c r="DQ114" s="14">
        <f t="shared" si="97"/>
        <v>71.445320809508729</v>
      </c>
      <c r="DR114" s="22">
        <f t="shared" si="70"/>
        <v>649.16814374322746</v>
      </c>
      <c r="DS114" s="62">
        <f t="shared" si="71"/>
        <v>929.36150603785109</v>
      </c>
      <c r="DT114" s="62">
        <f ca="1">AVERAGE(OFFSET($DS$3,0,0,'Données projet'!$E$14+1,1))-AVERAGE(OFFSET($H$3,0,0,'Données projet'!$E$14+1,1))</f>
        <v>603.52431522262032</v>
      </c>
      <c r="DU114" s="62">
        <f t="shared" si="98"/>
        <v>313.56299786481338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-3.4106051316484809E-13</v>
      </c>
      <c r="EK114" s="18">
        <f>EJ114*VLOOKUP('Données projet'!$B$15,Paramètres!$A$1:$I$89,3,0)*VLOOKUP('Données projet'!$B$15,Paramètres!$A$1:$I$89,5,0)</f>
        <v>-2.7134774427395314E-13</v>
      </c>
      <c r="EL114" s="14" t="e">
        <f t="shared" si="99"/>
        <v>#NUM!</v>
      </c>
      <c r="EM114" s="22" t="e">
        <f t="shared" si="73"/>
        <v>#NUM!</v>
      </c>
      <c r="EN114" s="62" t="e">
        <f t="shared" si="74"/>
        <v>#NUM!</v>
      </c>
      <c r="EO114" s="62">
        <f ca="1">AVERAGE(OFFSET($EN$3,0,0,'Données projet'!$E$15+1,1))-AVERAGE(OFFSET($H$3,0,0,'Données projet'!$E$15+1,1))</f>
        <v>450.93388191845378</v>
      </c>
      <c r="EP114" s="62">
        <f t="shared" si="100"/>
        <v>483.33635017129325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5.6843418860808015E-14</v>
      </c>
      <c r="FF114" s="18">
        <f>FE114*VLOOKUP('Données projet'!$B$16,Paramètres!$A$1:$I$89,3,0)*VLOOKUP('Données projet'!$B$16,Paramètres!$A$1:$I$89,5,0)</f>
        <v>4.4337866711430253E-14</v>
      </c>
      <c r="FG114" s="14">
        <f t="shared" si="101"/>
        <v>7.3222115536967035E-13</v>
      </c>
      <c r="FH114" s="22">
        <f t="shared" si="76"/>
        <v>1.3525069634579169E-12</v>
      </c>
      <c r="FI114" s="62">
        <f t="shared" si="77"/>
        <v>280.19336229462493</v>
      </c>
      <c r="FJ114" s="62">
        <f ca="1">AVERAGE(OFFSET($FI$3,0,0,'Données projet'!$E$16+1,1))-AVERAGE(OFFSET($H$3,0,0,'Données projet'!$E$16+1,1))</f>
        <v>309.21625451786218</v>
      </c>
      <c r="FK114" s="62">
        <f t="shared" si="102"/>
        <v>302.59481222418219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-2.2737367544323206E-13</v>
      </c>
      <c r="O115" s="14">
        <f>N115*VLOOKUP('Données projet'!$B$9,Paramètres!$A$1:$I$89,3,0)*VLOOKUP('Données projet'!$B$9,Paramètres!$A$1:$I$89,5,0)</f>
        <v>-1.8089849618263545E-13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394.70330963327166</v>
      </c>
      <c r="T115" s="62">
        <f t="shared" si="88"/>
        <v>424.06445894109982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projet'!$B$10,Paramètres!$A$1:$I$89,3,0)*VLOOKUP('Données projet'!$B$10,Paramètres!$A$1:$I$89,5,0)</f>
        <v>4.6111381379887463E-14</v>
      </c>
      <c r="AK115" s="14">
        <f t="shared" si="89"/>
        <v>7.5804141040779151E-13</v>
      </c>
      <c r="AL115" s="22">
        <f t="shared" si="58"/>
        <v>1.4005661123635408E-12</v>
      </c>
      <c r="AM115" s="62">
        <f t="shared" si="59"/>
        <v>280.42131141557229</v>
      </c>
      <c r="AN115" s="62">
        <f ca="1">AVERAGE(OFFSET($AM$3,0,0,'Données projet'!$E$10+1,1))-AVERAGE(OFFSET($H$3,0,0,'Données projet'!$E$10+1,1))</f>
        <v>319.39055628111151</v>
      </c>
      <c r="AO115" s="62">
        <f t="shared" si="90"/>
        <v>312.22190035638084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-1.1368683772161603E-13</v>
      </c>
      <c r="BE115" s="14">
        <f>BD115*VLOOKUP('Données projet'!$B$11,Paramètres!$A$1:$I$89,3,0)*VLOOKUP('Données projet'!$B$11,Paramètres!$A$1:$I$89,5,0)</f>
        <v>-8.3355189417488869E-14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257.906524944431</v>
      </c>
      <c r="BJ115" s="62">
        <f t="shared" si="92"/>
        <v>274.70390601173563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-1.1368683772161603E-13</v>
      </c>
      <c r="BZ115" s="14">
        <f>BY115*VLOOKUP('Données projet'!$B$12,Paramètres!$A$1:$I$89,3,0)*VLOOKUP('Données projet'!$B$12,Paramètres!$A$1:$I$89,5,0)</f>
        <v>-9.2222762759774927E-14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272.69564942740931</v>
      </c>
      <c r="CE115" s="62">
        <f t="shared" si="94"/>
        <v>316.57989180609252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3.525641025641022</v>
      </c>
      <c r="CT115" s="13">
        <f>IF('Données projet'!$A$140&gt;35,CT114+CS115-DB114,IF(A115&lt;'Données projet'!$A$140,$CQ$205^A115,IF(A115='Données projet'!$A$140,'Données projet'!$B$140,CT114+CS115-DB114)))</f>
        <v>291.66666666666663</v>
      </c>
      <c r="CU115" s="18">
        <f>CT115*VLOOKUP('Données projet'!$B$13,Paramètres!$A$1:$I$89,3,0)*VLOOKUP('Données projet'!$B$13,Paramètres!$A$1:$I$89,5,0)</f>
        <v>277.54999999999995</v>
      </c>
      <c r="CV115" s="14">
        <f t="shared" si="95"/>
        <v>66.448988922451278</v>
      </c>
      <c r="CW115" s="22">
        <f t="shared" si="67"/>
        <v>599.13157237326925</v>
      </c>
      <c r="CX115" s="62">
        <f t="shared" si="68"/>
        <v>879.55288378884006</v>
      </c>
      <c r="CY115" s="62">
        <f ca="1">AVERAGE(OFFSET($CX$3,0,0,'Données projet'!$E$13+1,1))-AVERAGE(OFFSET($H$3,0,0,'Données projet'!$E$13+1,1))</f>
        <v>491.87038198656927</v>
      </c>
      <c r="CZ115" s="62">
        <f t="shared" si="96"/>
        <v>406.49261644949559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4.5</v>
      </c>
      <c r="DO115" s="13">
        <f>IF('Données projet'!$A$166&gt;35,DO114+DN115-DW114,IF(A115&lt;'Données projet'!$A$166,$DL$205^A115,IF(A115='Données projet'!$A$166,'Données projet'!$B$166,DO114+DN115-DW114)))</f>
        <v>315.99999999999989</v>
      </c>
      <c r="DP115" s="18">
        <f>DO115*VLOOKUP('Données projet'!$B$14,Paramètres!$A$1:$I$89,3,0)*VLOOKUP('Données projet'!$B$14,Paramètres!$A$1:$I$89,5,0)</f>
        <v>305.63519999999988</v>
      </c>
      <c r="DQ115" s="14">
        <f t="shared" si="97"/>
        <v>72.356535294517812</v>
      </c>
      <c r="DR115" s="22">
        <f t="shared" si="70"/>
        <v>658.33560563795163</v>
      </c>
      <c r="DS115" s="62">
        <f t="shared" si="71"/>
        <v>938.75691705352256</v>
      </c>
      <c r="DT115" s="62">
        <f ca="1">AVERAGE(OFFSET($DS$3,0,0,'Données projet'!$E$14+1,1))-AVERAGE(OFFSET($H$3,0,0,'Données projet'!$E$14+1,1))</f>
        <v>603.52431522262032</v>
      </c>
      <c r="DU115" s="62">
        <f t="shared" si="98"/>
        <v>313.56299786481338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-3.4106051316484809E-13</v>
      </c>
      <c r="EK115" s="18">
        <f>EJ115*VLOOKUP('Données projet'!$B$15,Paramètres!$A$1:$I$89,3,0)*VLOOKUP('Données projet'!$B$15,Paramètres!$A$1:$I$89,5,0)</f>
        <v>-2.7134774427395314E-13</v>
      </c>
      <c r="EL115" s="14" t="e">
        <f t="shared" si="99"/>
        <v>#NUM!</v>
      </c>
      <c r="EM115" s="22" t="e">
        <f t="shared" si="73"/>
        <v>#NUM!</v>
      </c>
      <c r="EN115" s="62" t="e">
        <f t="shared" si="74"/>
        <v>#NUM!</v>
      </c>
      <c r="EO115" s="62">
        <f ca="1">AVERAGE(OFFSET($EN$3,0,0,'Données projet'!$E$15+1,1))-AVERAGE(OFFSET($H$3,0,0,'Données projet'!$E$15+1,1))</f>
        <v>450.93388191845378</v>
      </c>
      <c r="EP115" s="62">
        <f t="shared" si="100"/>
        <v>483.33635017129325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5.6843418860808015E-14</v>
      </c>
      <c r="FF115" s="18">
        <f>FE115*VLOOKUP('Données projet'!$B$16,Paramètres!$A$1:$I$89,3,0)*VLOOKUP('Données projet'!$B$16,Paramètres!$A$1:$I$89,5,0)</f>
        <v>4.4337866711430253E-14</v>
      </c>
      <c r="FG115" s="14">
        <f t="shared" si="101"/>
        <v>7.3222115536967035E-13</v>
      </c>
      <c r="FH115" s="22">
        <f t="shared" si="76"/>
        <v>1.3525069634579169E-12</v>
      </c>
      <c r="FI115" s="62">
        <f t="shared" si="77"/>
        <v>280.42131141557223</v>
      </c>
      <c r="FJ115" s="62">
        <f ca="1">AVERAGE(OFFSET($FI$3,0,0,'Données projet'!$E$16+1,1))-AVERAGE(OFFSET($H$3,0,0,'Données projet'!$E$16+1,1))</f>
        <v>309.21625451786218</v>
      </c>
      <c r="FK115" s="62">
        <f t="shared" si="102"/>
        <v>302.59481222418219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-2.2737367544323206E-13</v>
      </c>
      <c r="O116" s="14">
        <f>N116*VLOOKUP('Données projet'!$B$9,Paramètres!$A$1:$I$89,3,0)*VLOOKUP('Données projet'!$B$9,Paramètres!$A$1:$I$89,5,0)</f>
        <v>-1.8089849618263545E-13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394.70330963327166</v>
      </c>
      <c r="T116" s="62">
        <f t="shared" si="88"/>
        <v>424.06445894109982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projet'!$B$10,Paramètres!$A$1:$I$89,3,0)*VLOOKUP('Données projet'!$B$10,Paramètres!$A$1:$I$89,5,0)</f>
        <v>4.6111381379887463E-14</v>
      </c>
      <c r="AK116" s="14">
        <f t="shared" si="89"/>
        <v>7.5804141040779151E-13</v>
      </c>
      <c r="AL116" s="22">
        <f t="shared" si="58"/>
        <v>1.4005661123635408E-12</v>
      </c>
      <c r="AM116" s="62">
        <f t="shared" si="59"/>
        <v>280.64530612888905</v>
      </c>
      <c r="AN116" s="62">
        <f ca="1">AVERAGE(OFFSET($AM$3,0,0,'Données projet'!$E$10+1,1))-AVERAGE(OFFSET($H$3,0,0,'Données projet'!$E$10+1,1))</f>
        <v>319.39055628111151</v>
      </c>
      <c r="AO116" s="62">
        <f t="shared" si="90"/>
        <v>312.22190035638084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-1.1368683772161603E-13</v>
      </c>
      <c r="BE116" s="14">
        <f>BD116*VLOOKUP('Données projet'!$B$11,Paramètres!$A$1:$I$89,3,0)*VLOOKUP('Données projet'!$B$11,Paramètres!$A$1:$I$89,5,0)</f>
        <v>-8.3355189417488869E-14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257.906524944431</v>
      </c>
      <c r="BJ116" s="62">
        <f t="shared" si="92"/>
        <v>274.70390601173563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-1.1368683772161603E-13</v>
      </c>
      <c r="BZ116" s="14">
        <f>BY116*VLOOKUP('Données projet'!$B$12,Paramètres!$A$1:$I$89,3,0)*VLOOKUP('Données projet'!$B$12,Paramètres!$A$1:$I$89,5,0)</f>
        <v>-9.2222762759774927E-14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272.69564942740931</v>
      </c>
      <c r="CE116" s="62">
        <f t="shared" si="94"/>
        <v>316.57989180609252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3.525641025641022</v>
      </c>
      <c r="CT116" s="13">
        <f>IF('Données projet'!$A$140&gt;35,CT115+CS116-DB115,IF(A116&lt;'Données projet'!$A$140,$CQ$205^A116,IF(A116='Données projet'!$A$140,'Données projet'!$B$140,CT115+CS116-DB115)))</f>
        <v>295.19230769230762</v>
      </c>
      <c r="CU116" s="18">
        <f>CT116*VLOOKUP('Données projet'!$B$13,Paramètres!$A$1:$I$89,3,0)*VLOOKUP('Données projet'!$B$13,Paramètres!$A$1:$I$89,5,0)</f>
        <v>280.90499999999997</v>
      </c>
      <c r="CV116" s="14">
        <f t="shared" si="95"/>
        <v>67.15822546332997</v>
      </c>
      <c r="CW116" s="22">
        <f t="shared" si="67"/>
        <v>606.21011768196638</v>
      </c>
      <c r="CX116" s="62">
        <f t="shared" si="68"/>
        <v>886.85542381085406</v>
      </c>
      <c r="CY116" s="62">
        <f ca="1">AVERAGE(OFFSET($CX$3,0,0,'Données projet'!$E$13+1,1))-AVERAGE(OFFSET($H$3,0,0,'Données projet'!$E$13+1,1))</f>
        <v>491.87038198656927</v>
      </c>
      <c r="CZ116" s="62">
        <f t="shared" si="96"/>
        <v>406.49261644949559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4.5</v>
      </c>
      <c r="DO116" s="13">
        <f>IF('Données projet'!$A$166&gt;35,DO115+DN116-DW115,IF(A116&lt;'Données projet'!$A$166,$DL$205^A116,IF(A116='Données projet'!$A$166,'Données projet'!$B$166,DO115+DN116-DW115)))</f>
        <v>320.49999999999989</v>
      </c>
      <c r="DP116" s="18">
        <f>DO116*VLOOKUP('Données projet'!$B$14,Paramètres!$A$1:$I$89,3,0)*VLOOKUP('Données projet'!$B$14,Paramètres!$A$1:$I$89,5,0)</f>
        <v>309.98759999999987</v>
      </c>
      <c r="DQ116" s="14">
        <f t="shared" si="97"/>
        <v>73.266240552218449</v>
      </c>
      <c r="DR116" s="22">
        <f t="shared" si="70"/>
        <v>667.50043896178022</v>
      </c>
      <c r="DS116" s="62">
        <f t="shared" si="71"/>
        <v>948.14574509066779</v>
      </c>
      <c r="DT116" s="62">
        <f ca="1">AVERAGE(OFFSET($DS$3,0,0,'Données projet'!$E$14+1,1))-AVERAGE(OFFSET($H$3,0,0,'Données projet'!$E$14+1,1))</f>
        <v>603.52431522262032</v>
      </c>
      <c r="DU116" s="62">
        <f t="shared" si="98"/>
        <v>313.56299786481338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-3.4106051316484809E-13</v>
      </c>
      <c r="EK116" s="18">
        <f>EJ116*VLOOKUP('Données projet'!$B$15,Paramètres!$A$1:$I$89,3,0)*VLOOKUP('Données projet'!$B$15,Paramètres!$A$1:$I$89,5,0)</f>
        <v>-2.7134774427395314E-13</v>
      </c>
      <c r="EL116" s="14" t="e">
        <f t="shared" si="99"/>
        <v>#NUM!</v>
      </c>
      <c r="EM116" s="22" t="e">
        <f t="shared" si="73"/>
        <v>#NUM!</v>
      </c>
      <c r="EN116" s="62" t="e">
        <f t="shared" si="74"/>
        <v>#NUM!</v>
      </c>
      <c r="EO116" s="62">
        <f ca="1">AVERAGE(OFFSET($EN$3,0,0,'Données projet'!$E$15+1,1))-AVERAGE(OFFSET($H$3,0,0,'Données projet'!$E$15+1,1))</f>
        <v>450.93388191845378</v>
      </c>
      <c r="EP116" s="62">
        <f t="shared" si="100"/>
        <v>483.33635017129325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5.6843418860808015E-14</v>
      </c>
      <c r="FF116" s="18">
        <f>FE116*VLOOKUP('Données projet'!$B$16,Paramètres!$A$1:$I$89,3,0)*VLOOKUP('Données projet'!$B$16,Paramètres!$A$1:$I$89,5,0)</f>
        <v>4.4337866711430253E-14</v>
      </c>
      <c r="FG116" s="14">
        <f t="shared" si="101"/>
        <v>7.3222115536967035E-13</v>
      </c>
      <c r="FH116" s="22">
        <f t="shared" si="76"/>
        <v>1.3525069634579169E-12</v>
      </c>
      <c r="FI116" s="62">
        <f t="shared" si="77"/>
        <v>280.64530612888899</v>
      </c>
      <c r="FJ116" s="62">
        <f ca="1">AVERAGE(OFFSET($FI$3,0,0,'Données projet'!$E$16+1,1))-AVERAGE(OFFSET($H$3,0,0,'Données projet'!$E$16+1,1))</f>
        <v>309.21625451786218</v>
      </c>
      <c r="FK116" s="62">
        <f t="shared" si="102"/>
        <v>302.59481222418219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-2.2737367544323206E-13</v>
      </c>
      <c r="O117" s="14">
        <f>N117*VLOOKUP('Données projet'!$B$9,Paramètres!$A$1:$I$89,3,0)*VLOOKUP('Données projet'!$B$9,Paramètres!$A$1:$I$89,5,0)</f>
        <v>-1.8089849618263545E-13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394.70330963327166</v>
      </c>
      <c r="T117" s="62">
        <f t="shared" si="88"/>
        <v>424.06445894109982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projet'!$B$10,Paramètres!$A$1:$I$89,3,0)*VLOOKUP('Données projet'!$B$10,Paramètres!$A$1:$I$89,5,0)</f>
        <v>4.6111381379887463E-14</v>
      </c>
      <c r="AK117" s="14">
        <f t="shared" si="89"/>
        <v>7.5804141040779151E-13</v>
      </c>
      <c r="AL117" s="22">
        <f t="shared" si="58"/>
        <v>1.4005661123635408E-12</v>
      </c>
      <c r="AM117" s="62">
        <f t="shared" si="59"/>
        <v>280.86541503470687</v>
      </c>
      <c r="AN117" s="62">
        <f ca="1">AVERAGE(OFFSET($AM$3,0,0,'Données projet'!$E$10+1,1))-AVERAGE(OFFSET($H$3,0,0,'Données projet'!$E$10+1,1))</f>
        <v>319.39055628111151</v>
      </c>
      <c r="AO117" s="62">
        <f t="shared" si="90"/>
        <v>312.22190035638084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-1.1368683772161603E-13</v>
      </c>
      <c r="BE117" s="14">
        <f>BD117*VLOOKUP('Données projet'!$B$11,Paramètres!$A$1:$I$89,3,0)*VLOOKUP('Données projet'!$B$11,Paramètres!$A$1:$I$89,5,0)</f>
        <v>-8.3355189417488869E-14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257.906524944431</v>
      </c>
      <c r="BJ117" s="62">
        <f t="shared" si="92"/>
        <v>274.70390601173563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-1.1368683772161603E-13</v>
      </c>
      <c r="BZ117" s="14">
        <f>BY117*VLOOKUP('Données projet'!$B$12,Paramètres!$A$1:$I$89,3,0)*VLOOKUP('Données projet'!$B$12,Paramètres!$A$1:$I$89,5,0)</f>
        <v>-9.2222762759774927E-14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272.69564942740931</v>
      </c>
      <c r="CE117" s="62">
        <f t="shared" si="94"/>
        <v>316.57989180609252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3.525641025641022</v>
      </c>
      <c r="CT117" s="13">
        <f>IF('Données projet'!$A$140&gt;35,CT116+CS117-DB116,IF(A117&lt;'Données projet'!$A$140,$CQ$205^A117,IF(A117='Données projet'!$A$140,'Données projet'!$B$140,CT116+CS117-DB116)))</f>
        <v>298.71794871794862</v>
      </c>
      <c r="CU117" s="18">
        <f>CT117*VLOOKUP('Données projet'!$B$13,Paramètres!$A$1:$I$89,3,0)*VLOOKUP('Données projet'!$B$13,Paramètres!$A$1:$I$89,5,0)</f>
        <v>284.25999999999988</v>
      </c>
      <c r="CV117" s="14">
        <f t="shared" si="95"/>
        <v>67.866476663993723</v>
      </c>
      <c r="CW117" s="22">
        <f t="shared" si="67"/>
        <v>613.28694685645553</v>
      </c>
      <c r="CX117" s="62">
        <f t="shared" si="68"/>
        <v>894.15236189116104</v>
      </c>
      <c r="CY117" s="62">
        <f ca="1">AVERAGE(OFFSET($CX$3,0,0,'Données projet'!$E$13+1,1))-AVERAGE(OFFSET($H$3,0,0,'Données projet'!$E$13+1,1))</f>
        <v>491.87038198656927</v>
      </c>
      <c r="CZ117" s="62">
        <f t="shared" si="96"/>
        <v>406.49261644949559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4.5</v>
      </c>
      <c r="DO117" s="13">
        <f>IF('Données projet'!$A$166&gt;35,DO116+DN117-DW116,IF(A117&lt;'Données projet'!$A$166,$DL$205^A117,IF(A117='Données projet'!$A$166,'Données projet'!$B$166,DO116+DN117-DW116)))</f>
        <v>324.99999999999989</v>
      </c>
      <c r="DP117" s="18">
        <f>DO117*VLOOKUP('Données projet'!$B$14,Paramètres!$A$1:$I$89,3,0)*VLOOKUP('Données projet'!$B$14,Paramètres!$A$1:$I$89,5,0)</f>
        <v>314.33999999999986</v>
      </c>
      <c r="DQ117" s="14">
        <f t="shared" si="97"/>
        <v>74.174460221814215</v>
      </c>
      <c r="DR117" s="22">
        <f t="shared" si="70"/>
        <v>676.66268488632613</v>
      </c>
      <c r="DS117" s="62">
        <f t="shared" si="71"/>
        <v>957.52809992103153</v>
      </c>
      <c r="DT117" s="62">
        <f ca="1">AVERAGE(OFFSET($DS$3,0,0,'Données projet'!$E$14+1,1))-AVERAGE(OFFSET($H$3,0,0,'Données projet'!$E$14+1,1))</f>
        <v>603.52431522262032</v>
      </c>
      <c r="DU117" s="62">
        <f t="shared" si="98"/>
        <v>313.56299786481338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-3.4106051316484809E-13</v>
      </c>
      <c r="EK117" s="18">
        <f>EJ117*VLOOKUP('Données projet'!$B$15,Paramètres!$A$1:$I$89,3,0)*VLOOKUP('Données projet'!$B$15,Paramètres!$A$1:$I$89,5,0)</f>
        <v>-2.7134774427395314E-13</v>
      </c>
      <c r="EL117" s="14" t="e">
        <f t="shared" si="99"/>
        <v>#NUM!</v>
      </c>
      <c r="EM117" s="22" t="e">
        <f t="shared" si="73"/>
        <v>#NUM!</v>
      </c>
      <c r="EN117" s="62" t="e">
        <f t="shared" si="74"/>
        <v>#NUM!</v>
      </c>
      <c r="EO117" s="62">
        <f ca="1">AVERAGE(OFFSET($EN$3,0,0,'Données projet'!$E$15+1,1))-AVERAGE(OFFSET($H$3,0,0,'Données projet'!$E$15+1,1))</f>
        <v>450.93388191845378</v>
      </c>
      <c r="EP117" s="62">
        <f t="shared" si="100"/>
        <v>483.33635017129325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5.6843418860808015E-14</v>
      </c>
      <c r="FF117" s="18">
        <f>FE117*VLOOKUP('Données projet'!$B$16,Paramètres!$A$1:$I$89,3,0)*VLOOKUP('Données projet'!$B$16,Paramètres!$A$1:$I$89,5,0)</f>
        <v>4.4337866711430253E-14</v>
      </c>
      <c r="FG117" s="14">
        <f t="shared" si="101"/>
        <v>7.3222115536967035E-13</v>
      </c>
      <c r="FH117" s="22">
        <f t="shared" si="76"/>
        <v>1.3525069634579169E-12</v>
      </c>
      <c r="FI117" s="62">
        <f t="shared" si="77"/>
        <v>280.86541503470681</v>
      </c>
      <c r="FJ117" s="62">
        <f ca="1">AVERAGE(OFFSET($FI$3,0,0,'Données projet'!$E$16+1,1))-AVERAGE(OFFSET($H$3,0,0,'Données projet'!$E$16+1,1))</f>
        <v>309.21625451786218</v>
      </c>
      <c r="FK117" s="62">
        <f t="shared" si="102"/>
        <v>302.59481222418219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-2.2737367544323206E-13</v>
      </c>
      <c r="O118" s="14">
        <f>N118*VLOOKUP('Données projet'!$B$9,Paramètres!$A$1:$I$89,3,0)*VLOOKUP('Données projet'!$B$9,Paramètres!$A$1:$I$89,5,0)</f>
        <v>-1.8089849618263545E-13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394.70330963327166</v>
      </c>
      <c r="T118" s="62">
        <f t="shared" si="88"/>
        <v>424.06445894109982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projet'!$B$10,Paramètres!$A$1:$I$89,3,0)*VLOOKUP('Données projet'!$B$10,Paramètres!$A$1:$I$89,5,0)</f>
        <v>4.6111381379887463E-14</v>
      </c>
      <c r="AK118" s="14">
        <f t="shared" si="89"/>
        <v>7.5804141040779151E-13</v>
      </c>
      <c r="AL118" s="22">
        <f t="shared" si="58"/>
        <v>1.4005661123635408E-12</v>
      </c>
      <c r="AM118" s="62">
        <f t="shared" si="59"/>
        <v>281.08170554309868</v>
      </c>
      <c r="AN118" s="62">
        <f ca="1">AVERAGE(OFFSET($AM$3,0,0,'Données projet'!$E$10+1,1))-AVERAGE(OFFSET($H$3,0,0,'Données projet'!$E$10+1,1))</f>
        <v>319.39055628111151</v>
      </c>
      <c r="AO118" s="62">
        <f t="shared" si="90"/>
        <v>312.22190035638084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-1.1368683772161603E-13</v>
      </c>
      <c r="BE118" s="14">
        <f>BD118*VLOOKUP('Données projet'!$B$11,Paramètres!$A$1:$I$89,3,0)*VLOOKUP('Données projet'!$B$11,Paramètres!$A$1:$I$89,5,0)</f>
        <v>-8.3355189417488869E-14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257.906524944431</v>
      </c>
      <c r="BJ118" s="62">
        <f t="shared" si="92"/>
        <v>274.70390601173563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-1.1368683772161603E-13</v>
      </c>
      <c r="BZ118" s="14">
        <f>BY118*VLOOKUP('Données projet'!$B$12,Paramètres!$A$1:$I$89,3,0)*VLOOKUP('Données projet'!$B$12,Paramètres!$A$1:$I$89,5,0)</f>
        <v>-9.2222762759774927E-14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272.69564942740931</v>
      </c>
      <c r="CE118" s="62">
        <f t="shared" si="94"/>
        <v>316.57989180609252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3.525641025641022</v>
      </c>
      <c r="CT118" s="13">
        <f>IF('Données projet'!$A$140&gt;35,CT117+CS118-DB117,IF(A118&lt;'Données projet'!$A$140,$CQ$205^A118,IF(A118='Données projet'!$A$140,'Données projet'!$B$140,CT117+CS118-DB117)))</f>
        <v>302.24358974358961</v>
      </c>
      <c r="CU118" s="18">
        <f>CT118*VLOOKUP('Données projet'!$B$13,Paramètres!$A$1:$I$89,3,0)*VLOOKUP('Données projet'!$B$13,Paramètres!$A$1:$I$89,5,0)</f>
        <v>287.6149999999999</v>
      </c>
      <c r="CV118" s="14">
        <f t="shared" si="95"/>
        <v>68.573755499365689</v>
      </c>
      <c r="CW118" s="22">
        <f t="shared" si="67"/>
        <v>620.36208249472838</v>
      </c>
      <c r="CX118" s="62">
        <f t="shared" si="68"/>
        <v>901.4437880378257</v>
      </c>
      <c r="CY118" s="62">
        <f ca="1">AVERAGE(OFFSET($CX$3,0,0,'Données projet'!$E$13+1,1))-AVERAGE(OFFSET($H$3,0,0,'Données projet'!$E$13+1,1))</f>
        <v>491.87038198656927</v>
      </c>
      <c r="CZ118" s="62">
        <f t="shared" si="96"/>
        <v>406.49261644949559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4.5</v>
      </c>
      <c r="DO118" s="13">
        <f>IF('Données projet'!$A$166&gt;35,DO117+DN118-DW117,IF(A118&lt;'Données projet'!$A$166,$DL$205^A118,IF(A118='Données projet'!$A$166,'Données projet'!$B$166,DO117+DN118-DW117)))</f>
        <v>329.49999999999989</v>
      </c>
      <c r="DP118" s="18">
        <f>DO118*VLOOKUP('Données projet'!$B$14,Paramètres!$A$1:$I$89,3,0)*VLOOKUP('Données projet'!$B$14,Paramètres!$A$1:$I$89,5,0)</f>
        <v>318.69239999999991</v>
      </c>
      <c r="DQ118" s="14">
        <f t="shared" si="97"/>
        <v>75.081217250277518</v>
      </c>
      <c r="DR118" s="22">
        <f t="shared" si="70"/>
        <v>685.82238337756644</v>
      </c>
      <c r="DS118" s="62">
        <f t="shared" si="71"/>
        <v>966.90408892066375</v>
      </c>
      <c r="DT118" s="62">
        <f ca="1">AVERAGE(OFFSET($DS$3,0,0,'Données projet'!$E$14+1,1))-AVERAGE(OFFSET($H$3,0,0,'Données projet'!$E$14+1,1))</f>
        <v>603.52431522262032</v>
      </c>
      <c r="DU118" s="62">
        <f t="shared" si="98"/>
        <v>313.56299786481338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-3.4106051316484809E-13</v>
      </c>
      <c r="EK118" s="18">
        <f>EJ118*VLOOKUP('Données projet'!$B$15,Paramètres!$A$1:$I$89,3,0)*VLOOKUP('Données projet'!$B$15,Paramètres!$A$1:$I$89,5,0)</f>
        <v>-2.7134774427395314E-13</v>
      </c>
      <c r="EL118" s="14" t="e">
        <f t="shared" si="99"/>
        <v>#NUM!</v>
      </c>
      <c r="EM118" s="22" t="e">
        <f t="shared" si="73"/>
        <v>#NUM!</v>
      </c>
      <c r="EN118" s="62" t="e">
        <f t="shared" si="74"/>
        <v>#NUM!</v>
      </c>
      <c r="EO118" s="62">
        <f ca="1">AVERAGE(OFFSET($EN$3,0,0,'Données projet'!$E$15+1,1))-AVERAGE(OFFSET($H$3,0,0,'Données projet'!$E$15+1,1))</f>
        <v>450.93388191845378</v>
      </c>
      <c r="EP118" s="62">
        <f t="shared" si="100"/>
        <v>483.33635017129325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5.6843418860808015E-14</v>
      </c>
      <c r="FF118" s="18">
        <f>FE118*VLOOKUP('Données projet'!$B$16,Paramètres!$A$1:$I$89,3,0)*VLOOKUP('Données projet'!$B$16,Paramètres!$A$1:$I$89,5,0)</f>
        <v>4.4337866711430253E-14</v>
      </c>
      <c r="FG118" s="14">
        <f t="shared" si="101"/>
        <v>7.3222115536967035E-13</v>
      </c>
      <c r="FH118" s="22">
        <f t="shared" si="76"/>
        <v>1.3525069634579169E-12</v>
      </c>
      <c r="FI118" s="62">
        <f t="shared" si="77"/>
        <v>281.08170554309862</v>
      </c>
      <c r="FJ118" s="62">
        <f ca="1">AVERAGE(OFFSET($FI$3,0,0,'Données projet'!$E$16+1,1))-AVERAGE(OFFSET($H$3,0,0,'Données projet'!$E$16+1,1))</f>
        <v>309.21625451786218</v>
      </c>
      <c r="FK118" s="62">
        <f t="shared" si="102"/>
        <v>302.59481222418219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-2.2737367544323206E-13</v>
      </c>
      <c r="O119" s="14">
        <f>N119*VLOOKUP('Données projet'!$B$9,Paramètres!$A$1:$I$89,3,0)*VLOOKUP('Données projet'!$B$9,Paramètres!$A$1:$I$89,5,0)</f>
        <v>-1.8089849618263545E-13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394.70330963327166</v>
      </c>
      <c r="T119" s="62">
        <f t="shared" si="88"/>
        <v>424.06445894109982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projet'!$B$10,Paramètres!$A$1:$I$89,3,0)*VLOOKUP('Données projet'!$B$10,Paramètres!$A$1:$I$89,5,0)</f>
        <v>4.6111381379887463E-14</v>
      </c>
      <c r="AK119" s="14">
        <f t="shared" si="89"/>
        <v>7.5804141040779151E-13</v>
      </c>
      <c r="AL119" s="22">
        <f t="shared" si="58"/>
        <v>1.4005661123635408E-12</v>
      </c>
      <c r="AM119" s="62">
        <f t="shared" si="59"/>
        <v>281.29424389472291</v>
      </c>
      <c r="AN119" s="62">
        <f ca="1">AVERAGE(OFFSET($AM$3,0,0,'Données projet'!$E$10+1,1))-AVERAGE(OFFSET($H$3,0,0,'Données projet'!$E$10+1,1))</f>
        <v>319.39055628111151</v>
      </c>
      <c r="AO119" s="62">
        <f t="shared" si="90"/>
        <v>312.22190035638084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-1.1368683772161603E-13</v>
      </c>
      <c r="BE119" s="14">
        <f>BD119*VLOOKUP('Données projet'!$B$11,Paramètres!$A$1:$I$89,3,0)*VLOOKUP('Données projet'!$B$11,Paramètres!$A$1:$I$89,5,0)</f>
        <v>-8.3355189417488869E-14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257.906524944431</v>
      </c>
      <c r="BJ119" s="62">
        <f t="shared" si="92"/>
        <v>274.70390601173563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-1.1368683772161603E-13</v>
      </c>
      <c r="BZ119" s="14">
        <f>BY119*VLOOKUP('Données projet'!$B$12,Paramètres!$A$1:$I$89,3,0)*VLOOKUP('Données projet'!$B$12,Paramètres!$A$1:$I$89,5,0)</f>
        <v>-9.2222762759774927E-14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272.69564942740931</v>
      </c>
      <c r="CE119" s="62">
        <f t="shared" si="94"/>
        <v>316.57989180609252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3.525641025641022</v>
      </c>
      <c r="CT119" s="13">
        <f>IF('Données projet'!$A$140&gt;35,CT118+CS119-DB118,IF(A119&lt;'Données projet'!$A$140,$CQ$205^A119,IF(A119='Données projet'!$A$140,'Données projet'!$B$140,CT118+CS119-DB118)))</f>
        <v>305.7692307692306</v>
      </c>
      <c r="CU119" s="18">
        <f>CT119*VLOOKUP('Données projet'!$B$13,Paramètres!$A$1:$I$89,3,0)*VLOOKUP('Données projet'!$B$13,Paramètres!$A$1:$I$89,5,0)</f>
        <v>290.96999999999986</v>
      </c>
      <c r="CV119" s="14">
        <f t="shared" si="95"/>
        <v>69.280074624245245</v>
      </c>
      <c r="CW119" s="22">
        <f t="shared" si="67"/>
        <v>627.43554663722682</v>
      </c>
      <c r="CX119" s="62">
        <f t="shared" si="68"/>
        <v>908.72979053194831</v>
      </c>
      <c r="CY119" s="62">
        <f ca="1">AVERAGE(OFFSET($CX$3,0,0,'Données projet'!$E$13+1,1))-AVERAGE(OFFSET($H$3,0,0,'Données projet'!$E$13+1,1))</f>
        <v>491.87038198656927</v>
      </c>
      <c r="CZ119" s="62">
        <f t="shared" si="96"/>
        <v>406.49261644949559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4.5</v>
      </c>
      <c r="DO119" s="13">
        <f>IF('Données projet'!$A$166&gt;35,DO118+DN119-DW118,IF(A119&lt;'Données projet'!$A$166,$DL$205^A119,IF(A119='Données projet'!$A$166,'Données projet'!$B$166,DO118+DN119-DW118)))</f>
        <v>333.99999999999989</v>
      </c>
      <c r="DP119" s="18">
        <f>DO119*VLOOKUP('Données projet'!$B$14,Paramètres!$A$1:$I$89,3,0)*VLOOKUP('Données projet'!$B$14,Paramètres!$A$1:$I$89,5,0)</f>
        <v>323.0447999999999</v>
      </c>
      <c r="DQ119" s="14">
        <f t="shared" si="97"/>
        <v>75.986533921791832</v>
      </c>
      <c r="DR119" s="22">
        <f t="shared" si="70"/>
        <v>694.97957324712058</v>
      </c>
      <c r="DS119" s="62">
        <f t="shared" si="71"/>
        <v>976.27381714184207</v>
      </c>
      <c r="DT119" s="62">
        <f ca="1">AVERAGE(OFFSET($DS$3,0,0,'Données projet'!$E$14+1,1))-AVERAGE(OFFSET($H$3,0,0,'Données projet'!$E$14+1,1))</f>
        <v>603.52431522262032</v>
      </c>
      <c r="DU119" s="62">
        <f t="shared" si="98"/>
        <v>313.56299786481338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-3.4106051316484809E-13</v>
      </c>
      <c r="EK119" s="18">
        <f>EJ119*VLOOKUP('Données projet'!$B$15,Paramètres!$A$1:$I$89,3,0)*VLOOKUP('Données projet'!$B$15,Paramètres!$A$1:$I$89,5,0)</f>
        <v>-2.7134774427395314E-13</v>
      </c>
      <c r="EL119" s="14" t="e">
        <f t="shared" si="99"/>
        <v>#NUM!</v>
      </c>
      <c r="EM119" s="22" t="e">
        <f t="shared" si="73"/>
        <v>#NUM!</v>
      </c>
      <c r="EN119" s="62" t="e">
        <f t="shared" si="74"/>
        <v>#NUM!</v>
      </c>
      <c r="EO119" s="62">
        <f ca="1">AVERAGE(OFFSET($EN$3,0,0,'Données projet'!$E$15+1,1))-AVERAGE(OFFSET($H$3,0,0,'Données projet'!$E$15+1,1))</f>
        <v>450.93388191845378</v>
      </c>
      <c r="EP119" s="62">
        <f t="shared" si="100"/>
        <v>483.33635017129325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5.6843418860808015E-14</v>
      </c>
      <c r="FF119" s="18">
        <f>FE119*VLOOKUP('Données projet'!$B$16,Paramètres!$A$1:$I$89,3,0)*VLOOKUP('Données projet'!$B$16,Paramètres!$A$1:$I$89,5,0)</f>
        <v>4.4337866711430253E-14</v>
      </c>
      <c r="FG119" s="14">
        <f t="shared" si="101"/>
        <v>7.3222115536967035E-13</v>
      </c>
      <c r="FH119" s="22">
        <f t="shared" si="76"/>
        <v>1.3525069634579169E-12</v>
      </c>
      <c r="FI119" s="62">
        <f t="shared" si="77"/>
        <v>281.29424389472285</v>
      </c>
      <c r="FJ119" s="62">
        <f ca="1">AVERAGE(OFFSET($FI$3,0,0,'Données projet'!$E$16+1,1))-AVERAGE(OFFSET($H$3,0,0,'Données projet'!$E$16+1,1))</f>
        <v>309.21625451786218</v>
      </c>
      <c r="FK119" s="62">
        <f t="shared" si="102"/>
        <v>302.59481222418219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-2.2737367544323206E-13</v>
      </c>
      <c r="O120" s="14">
        <f>N120*VLOOKUP('Données projet'!$B$9,Paramètres!$A$1:$I$89,3,0)*VLOOKUP('Données projet'!$B$9,Paramètres!$A$1:$I$89,5,0)</f>
        <v>-1.8089849618263545E-13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394.70330963327166</v>
      </c>
      <c r="T120" s="62">
        <f t="shared" si="88"/>
        <v>424.06445894109982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projet'!$B$10,Paramètres!$A$1:$I$89,3,0)*VLOOKUP('Données projet'!$B$10,Paramètres!$A$1:$I$89,5,0)</f>
        <v>4.6111381379887463E-14</v>
      </c>
      <c r="AK120" s="14">
        <f t="shared" si="89"/>
        <v>7.5804141040779151E-13</v>
      </c>
      <c r="AL120" s="22">
        <f t="shared" si="58"/>
        <v>1.4005661123635408E-12</v>
      </c>
      <c r="AM120" s="62">
        <f t="shared" si="59"/>
        <v>281.50309518111106</v>
      </c>
      <c r="AN120" s="62">
        <f ca="1">AVERAGE(OFFSET($AM$3,0,0,'Données projet'!$E$10+1,1))-AVERAGE(OFFSET($H$3,0,0,'Données projet'!$E$10+1,1))</f>
        <v>319.39055628111151</v>
      </c>
      <c r="AO120" s="62">
        <f t="shared" si="90"/>
        <v>312.22190035638084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-1.1368683772161603E-13</v>
      </c>
      <c r="BE120" s="14">
        <f>BD120*VLOOKUP('Données projet'!$B$11,Paramètres!$A$1:$I$89,3,0)*VLOOKUP('Données projet'!$B$11,Paramètres!$A$1:$I$89,5,0)</f>
        <v>-8.3355189417488869E-14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257.906524944431</v>
      </c>
      <c r="BJ120" s="62">
        <f t="shared" si="92"/>
        <v>274.70390601173563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-1.1368683772161603E-13</v>
      </c>
      <c r="BZ120" s="14">
        <f>BY120*VLOOKUP('Données projet'!$B$12,Paramètres!$A$1:$I$89,3,0)*VLOOKUP('Données projet'!$B$12,Paramètres!$A$1:$I$89,5,0)</f>
        <v>-9.2222762759774927E-14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272.69564942740931</v>
      </c>
      <c r="CE120" s="62">
        <f t="shared" si="94"/>
        <v>316.57989180609252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3.525641025641022</v>
      </c>
      <c r="CT120" s="13">
        <f>IF('Données projet'!$A$140&gt;35,CT119+CS120-DB119,IF(A120&lt;'Données projet'!$A$140,$CQ$205^A120,IF(A120='Données projet'!$A$140,'Données projet'!$B$140,CT119+CS120-DB119)))</f>
        <v>309.2948717948716</v>
      </c>
      <c r="CU120" s="18">
        <f>CT120*VLOOKUP('Données projet'!$B$13,Paramètres!$A$1:$I$89,3,0)*VLOOKUP('Données projet'!$B$13,Paramètres!$A$1:$I$89,5,0)</f>
        <v>294.32499999999982</v>
      </c>
      <c r="CV120" s="14">
        <f t="shared" si="95"/>
        <v>69.985446384804291</v>
      </c>
      <c r="CW120" s="22">
        <f t="shared" si="67"/>
        <v>634.50736078686714</v>
      </c>
      <c r="CX120" s="62">
        <f t="shared" si="68"/>
        <v>916.01045596797678</v>
      </c>
      <c r="CY120" s="62">
        <f ca="1">AVERAGE(OFFSET($CX$3,0,0,'Données projet'!$E$13+1,1))-AVERAGE(OFFSET($H$3,0,0,'Données projet'!$E$13+1,1))</f>
        <v>491.87038198656927</v>
      </c>
      <c r="CZ120" s="62">
        <f t="shared" si="96"/>
        <v>406.49261644949559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4.5</v>
      </c>
      <c r="DO120" s="13">
        <f>IF('Données projet'!$A$166&gt;35,DO119+DN120-DW119,IF(A120&lt;'Données projet'!$A$166,$DL$205^A120,IF(A120='Données projet'!$A$166,'Données projet'!$B$166,DO119+DN120-DW119)))</f>
        <v>338.49999999999989</v>
      </c>
      <c r="DP120" s="18">
        <f>DO120*VLOOKUP('Données projet'!$B$14,Paramètres!$A$1:$I$89,3,0)*VLOOKUP('Données projet'!$B$14,Paramètres!$A$1:$I$89,5,0)</f>
        <v>327.39719999999988</v>
      </c>
      <c r="DQ120" s="14">
        <f t="shared" si="97"/>
        <v>76.890431885561796</v>
      </c>
      <c r="DR120" s="22">
        <f t="shared" si="70"/>
        <v>704.13429220068656</v>
      </c>
      <c r="DS120" s="62">
        <f t="shared" si="71"/>
        <v>985.6373873817962</v>
      </c>
      <c r="DT120" s="62">
        <f ca="1">AVERAGE(OFFSET($DS$3,0,0,'Données projet'!$E$14+1,1))-AVERAGE(OFFSET($H$3,0,0,'Données projet'!$E$14+1,1))</f>
        <v>603.52431522262032</v>
      </c>
      <c r="DU120" s="62">
        <f t="shared" si="98"/>
        <v>313.56299786481338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-3.4106051316484809E-13</v>
      </c>
      <c r="EK120" s="18">
        <f>EJ120*VLOOKUP('Données projet'!$B$15,Paramètres!$A$1:$I$89,3,0)*VLOOKUP('Données projet'!$B$15,Paramètres!$A$1:$I$89,5,0)</f>
        <v>-2.7134774427395314E-13</v>
      </c>
      <c r="EL120" s="14" t="e">
        <f t="shared" si="99"/>
        <v>#NUM!</v>
      </c>
      <c r="EM120" s="22" t="e">
        <f t="shared" si="73"/>
        <v>#NUM!</v>
      </c>
      <c r="EN120" s="62" t="e">
        <f t="shared" si="74"/>
        <v>#NUM!</v>
      </c>
      <c r="EO120" s="62">
        <f ca="1">AVERAGE(OFFSET($EN$3,0,0,'Données projet'!$E$15+1,1))-AVERAGE(OFFSET($H$3,0,0,'Données projet'!$E$15+1,1))</f>
        <v>450.93388191845378</v>
      </c>
      <c r="EP120" s="62">
        <f t="shared" si="100"/>
        <v>483.33635017129325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5.6843418860808015E-14</v>
      </c>
      <c r="FF120" s="18">
        <f>FE120*VLOOKUP('Données projet'!$B$16,Paramètres!$A$1:$I$89,3,0)*VLOOKUP('Données projet'!$B$16,Paramètres!$A$1:$I$89,5,0)</f>
        <v>4.4337866711430253E-14</v>
      </c>
      <c r="FG120" s="14">
        <f t="shared" si="101"/>
        <v>7.3222115536967035E-13</v>
      </c>
      <c r="FH120" s="22">
        <f t="shared" si="76"/>
        <v>1.3525069634579169E-12</v>
      </c>
      <c r="FI120" s="62">
        <f t="shared" si="77"/>
        <v>281.50309518111101</v>
      </c>
      <c r="FJ120" s="62">
        <f ca="1">AVERAGE(OFFSET($FI$3,0,0,'Données projet'!$E$16+1,1))-AVERAGE(OFFSET($H$3,0,0,'Données projet'!$E$16+1,1))</f>
        <v>309.21625451786218</v>
      </c>
      <c r="FK120" s="62">
        <f t="shared" si="102"/>
        <v>302.59481222418219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-2.2737367544323206E-13</v>
      </c>
      <c r="O121" s="14">
        <f>N121*VLOOKUP('Données projet'!$B$9,Paramètres!$A$1:$I$89,3,0)*VLOOKUP('Données projet'!$B$9,Paramètres!$A$1:$I$89,5,0)</f>
        <v>-1.8089849618263545E-13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394.70330963327166</v>
      </c>
      <c r="T121" s="62">
        <f t="shared" si="88"/>
        <v>424.06445894109982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projet'!$B$10,Paramètres!$A$1:$I$89,3,0)*VLOOKUP('Données projet'!$B$10,Paramètres!$A$1:$I$89,5,0)</f>
        <v>4.6111381379887463E-14</v>
      </c>
      <c r="AK121" s="14">
        <f t="shared" si="89"/>
        <v>7.5804141040779151E-13</v>
      </c>
      <c r="AL121" s="22">
        <f t="shared" si="58"/>
        <v>1.4005661123635408E-12</v>
      </c>
      <c r="AM121" s="62">
        <f t="shared" si="59"/>
        <v>281.70832336460182</v>
      </c>
      <c r="AN121" s="62">
        <f ca="1">AVERAGE(OFFSET($AM$3,0,0,'Données projet'!$E$10+1,1))-AVERAGE(OFFSET($H$3,0,0,'Données projet'!$E$10+1,1))</f>
        <v>319.39055628111151</v>
      </c>
      <c r="AO121" s="62">
        <f t="shared" si="90"/>
        <v>312.22190035638084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-1.1368683772161603E-13</v>
      </c>
      <c r="BE121" s="14">
        <f>BD121*VLOOKUP('Données projet'!$B$11,Paramètres!$A$1:$I$89,3,0)*VLOOKUP('Données projet'!$B$11,Paramètres!$A$1:$I$89,5,0)</f>
        <v>-8.3355189417488869E-14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257.906524944431</v>
      </c>
      <c r="BJ121" s="62">
        <f t="shared" si="92"/>
        <v>274.70390601173563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-1.1368683772161603E-13</v>
      </c>
      <c r="BZ121" s="14">
        <f>BY121*VLOOKUP('Données projet'!$B$12,Paramètres!$A$1:$I$89,3,0)*VLOOKUP('Données projet'!$B$12,Paramètres!$A$1:$I$89,5,0)</f>
        <v>-9.2222762759774927E-14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272.69564942740931</v>
      </c>
      <c r="CE121" s="62">
        <f t="shared" si="94"/>
        <v>316.57989180609252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3.525641025641022</v>
      </c>
      <c r="CT121" s="13">
        <f>IF('Données projet'!$A$140&gt;35,CT120+CS121-DB120,IF(A121&lt;'Données projet'!$A$140,$CQ$205^A121,IF(A121='Données projet'!$A$140,'Données projet'!$B$140,CT120+CS121-DB120)))</f>
        <v>312.82051282051259</v>
      </c>
      <c r="CU121" s="18">
        <f>CT121*VLOOKUP('Données projet'!$B$13,Paramètres!$A$1:$I$89,3,0)*VLOOKUP('Données projet'!$B$13,Paramètres!$A$1:$I$89,5,0)</f>
        <v>297.67999999999978</v>
      </c>
      <c r="CV121" s="14">
        <f t="shared" si="95"/>
        <v>70.689882829544416</v>
      </c>
      <c r="CW121" s="22">
        <f t="shared" si="67"/>
        <v>641.57754592812273</v>
      </c>
      <c r="CX121" s="62">
        <f t="shared" si="68"/>
        <v>923.28586929272319</v>
      </c>
      <c r="CY121" s="62">
        <f ca="1">AVERAGE(OFFSET($CX$3,0,0,'Données projet'!$E$13+1,1))-AVERAGE(OFFSET($H$3,0,0,'Données projet'!$E$13+1,1))</f>
        <v>491.87038198656927</v>
      </c>
      <c r="CZ121" s="62">
        <f t="shared" si="96"/>
        <v>406.49261644949559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4.5</v>
      </c>
      <c r="DO121" s="13">
        <f>IF('Données projet'!$A$166&gt;35,DO120+DN121-DW120,IF(A121&lt;'Données projet'!$A$166,$DL$205^A121,IF(A121='Données projet'!$A$166,'Données projet'!$B$166,DO120+DN121-DW120)))</f>
        <v>342.99999999999989</v>
      </c>
      <c r="DP121" s="18">
        <f>DO121*VLOOKUP('Données projet'!$B$14,Paramètres!$A$1:$I$89,3,0)*VLOOKUP('Données projet'!$B$14,Paramètres!$A$1:$I$89,5,0)</f>
        <v>331.74959999999993</v>
      </c>
      <c r="DQ121" s="14">
        <f t="shared" si="97"/>
        <v>77.792932182102803</v>
      </c>
      <c r="DR121" s="22">
        <f t="shared" si="70"/>
        <v>713.28657688382884</v>
      </c>
      <c r="DS121" s="62">
        <f t="shared" si="71"/>
        <v>994.9949002484293</v>
      </c>
      <c r="DT121" s="62">
        <f ca="1">AVERAGE(OFFSET($DS$3,0,0,'Données projet'!$E$14+1,1))-AVERAGE(OFFSET($H$3,0,0,'Données projet'!$E$14+1,1))</f>
        <v>603.52431522262032</v>
      </c>
      <c r="DU121" s="62">
        <f t="shared" si="98"/>
        <v>313.56299786481338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-3.4106051316484809E-13</v>
      </c>
      <c r="EK121" s="18">
        <f>EJ121*VLOOKUP('Données projet'!$B$15,Paramètres!$A$1:$I$89,3,0)*VLOOKUP('Données projet'!$B$15,Paramètres!$A$1:$I$89,5,0)</f>
        <v>-2.7134774427395314E-13</v>
      </c>
      <c r="EL121" s="14" t="e">
        <f t="shared" si="99"/>
        <v>#NUM!</v>
      </c>
      <c r="EM121" s="22" t="e">
        <f t="shared" si="73"/>
        <v>#NUM!</v>
      </c>
      <c r="EN121" s="62" t="e">
        <f t="shared" si="74"/>
        <v>#NUM!</v>
      </c>
      <c r="EO121" s="62">
        <f ca="1">AVERAGE(OFFSET($EN$3,0,0,'Données projet'!$E$15+1,1))-AVERAGE(OFFSET($H$3,0,0,'Données projet'!$E$15+1,1))</f>
        <v>450.93388191845378</v>
      </c>
      <c r="EP121" s="62">
        <f t="shared" si="100"/>
        <v>483.33635017129325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5.6843418860808015E-14</v>
      </c>
      <c r="FF121" s="18">
        <f>FE121*VLOOKUP('Données projet'!$B$16,Paramètres!$A$1:$I$89,3,0)*VLOOKUP('Données projet'!$B$16,Paramètres!$A$1:$I$89,5,0)</f>
        <v>4.4337866711430253E-14</v>
      </c>
      <c r="FG121" s="14">
        <f t="shared" si="101"/>
        <v>7.3222115536967035E-13</v>
      </c>
      <c r="FH121" s="22">
        <f t="shared" si="76"/>
        <v>1.3525069634579169E-12</v>
      </c>
      <c r="FI121" s="62">
        <f t="shared" si="77"/>
        <v>281.70832336460177</v>
      </c>
      <c r="FJ121" s="62">
        <f ca="1">AVERAGE(OFFSET($FI$3,0,0,'Données projet'!$E$16+1,1))-AVERAGE(OFFSET($H$3,0,0,'Données projet'!$E$16+1,1))</f>
        <v>309.21625451786218</v>
      </c>
      <c r="FK121" s="62">
        <f t="shared" si="102"/>
        <v>302.59481222418219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-2.2737367544323206E-13</v>
      </c>
      <c r="O122" s="14">
        <f>N122*VLOOKUP('Données projet'!$B$9,Paramètres!$A$1:$I$89,3,0)*VLOOKUP('Données projet'!$B$9,Paramètres!$A$1:$I$89,5,0)</f>
        <v>-1.8089849618263545E-13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394.70330963327166</v>
      </c>
      <c r="T122" s="62">
        <f t="shared" si="88"/>
        <v>424.06445894109982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projet'!$B$10,Paramètres!$A$1:$I$89,3,0)*VLOOKUP('Données projet'!$B$10,Paramètres!$A$1:$I$89,5,0)</f>
        <v>4.6111381379887463E-14</v>
      </c>
      <c r="AK122" s="14">
        <f t="shared" si="89"/>
        <v>7.5804141040779151E-13</v>
      </c>
      <c r="AL122" s="22">
        <f t="shared" si="58"/>
        <v>1.4005661123635408E-12</v>
      </c>
      <c r="AM122" s="62">
        <f t="shared" si="59"/>
        <v>281.90999129793056</v>
      </c>
      <c r="AN122" s="62">
        <f ca="1">AVERAGE(OFFSET($AM$3,0,0,'Données projet'!$E$10+1,1))-AVERAGE(OFFSET($H$3,0,0,'Données projet'!$E$10+1,1))</f>
        <v>319.39055628111151</v>
      </c>
      <c r="AO122" s="62">
        <f t="shared" si="90"/>
        <v>312.22190035638084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-1.1368683772161603E-13</v>
      </c>
      <c r="BE122" s="14">
        <f>BD122*VLOOKUP('Données projet'!$B$11,Paramètres!$A$1:$I$89,3,0)*VLOOKUP('Données projet'!$B$11,Paramètres!$A$1:$I$89,5,0)</f>
        <v>-8.3355189417488869E-14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257.906524944431</v>
      </c>
      <c r="BJ122" s="62">
        <f t="shared" si="92"/>
        <v>274.70390601173563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-1.1368683772161603E-13</v>
      </c>
      <c r="BZ122" s="14">
        <f>BY122*VLOOKUP('Données projet'!$B$12,Paramètres!$A$1:$I$89,3,0)*VLOOKUP('Données projet'!$B$12,Paramètres!$A$1:$I$89,5,0)</f>
        <v>-9.2222762759774927E-14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272.69564942740931</v>
      </c>
      <c r="CE122" s="62">
        <f t="shared" si="94"/>
        <v>316.57989180609252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3.525641025641022</v>
      </c>
      <c r="CT122" s="13">
        <f>IF('Données projet'!$A$140&gt;35,CT121+CS122-DB121,IF(A122&lt;'Données projet'!$A$140,$CQ$205^A122,IF(A122='Données projet'!$A$140,'Données projet'!$B$140,CT121+CS122-DB121)))</f>
        <v>316.34615384615358</v>
      </c>
      <c r="CU122" s="18">
        <f>CT122*VLOOKUP('Données projet'!$B$13,Paramètres!$A$1:$I$89,3,0)*VLOOKUP('Données projet'!$B$13,Paramètres!$A$1:$I$89,5,0)</f>
        <v>301.03499999999974</v>
      </c>
      <c r="CV122" s="14">
        <f t="shared" si="95"/>
        <v>71.393395719746465</v>
      </c>
      <c r="CW122" s="22">
        <f t="shared" si="67"/>
        <v>648.64612254522467</v>
      </c>
      <c r="CX122" s="62">
        <f t="shared" si="68"/>
        <v>930.55611384315375</v>
      </c>
      <c r="CY122" s="62">
        <f ca="1">AVERAGE(OFFSET($CX$3,0,0,'Données projet'!$E$13+1,1))-AVERAGE(OFFSET($H$3,0,0,'Données projet'!$E$13+1,1))</f>
        <v>491.87038198656927</v>
      </c>
      <c r="CZ122" s="62">
        <f t="shared" si="96"/>
        <v>406.49261644949559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4.5</v>
      </c>
      <c r="DO122" s="13">
        <f>IF('Données projet'!$A$166&gt;35,DO121+DN122-DW121,IF(A122&lt;'Données projet'!$A$166,$DL$205^A122,IF(A122='Données projet'!$A$166,'Données projet'!$B$166,DO121+DN122-DW121)))</f>
        <v>347.49999999999989</v>
      </c>
      <c r="DP122" s="18">
        <f>DO122*VLOOKUP('Données projet'!$B$14,Paramètres!$A$1:$I$89,3,0)*VLOOKUP('Données projet'!$B$14,Paramètres!$A$1:$I$89,5,0)</f>
        <v>336.10199999999992</v>
      </c>
      <c r="DQ122" s="14">
        <f t="shared" si="97"/>
        <v>78.694055268111313</v>
      </c>
      <c r="DR122" s="22">
        <f t="shared" si="70"/>
        <v>722.43646292529365</v>
      </c>
      <c r="DS122" s="62">
        <f t="shared" si="71"/>
        <v>1004.3464542232227</v>
      </c>
      <c r="DT122" s="62">
        <f ca="1">AVERAGE(OFFSET($DS$3,0,0,'Données projet'!$E$14+1,1))-AVERAGE(OFFSET($H$3,0,0,'Données projet'!$E$14+1,1))</f>
        <v>603.52431522262032</v>
      </c>
      <c r="DU122" s="62">
        <f t="shared" si="98"/>
        <v>313.56299786481338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-3.4106051316484809E-13</v>
      </c>
      <c r="EK122" s="18">
        <f>EJ122*VLOOKUP('Données projet'!$B$15,Paramètres!$A$1:$I$89,3,0)*VLOOKUP('Données projet'!$B$15,Paramètres!$A$1:$I$89,5,0)</f>
        <v>-2.7134774427395314E-13</v>
      </c>
      <c r="EL122" s="14" t="e">
        <f t="shared" si="99"/>
        <v>#NUM!</v>
      </c>
      <c r="EM122" s="22" t="e">
        <f t="shared" si="73"/>
        <v>#NUM!</v>
      </c>
      <c r="EN122" s="62" t="e">
        <f t="shared" si="74"/>
        <v>#NUM!</v>
      </c>
      <c r="EO122" s="62">
        <f ca="1">AVERAGE(OFFSET($EN$3,0,0,'Données projet'!$E$15+1,1))-AVERAGE(OFFSET($H$3,0,0,'Données projet'!$E$15+1,1))</f>
        <v>450.93388191845378</v>
      </c>
      <c r="EP122" s="62">
        <f t="shared" si="100"/>
        <v>483.33635017129325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5.6843418860808015E-14</v>
      </c>
      <c r="FF122" s="18">
        <f>FE122*VLOOKUP('Données projet'!$B$16,Paramètres!$A$1:$I$89,3,0)*VLOOKUP('Données projet'!$B$16,Paramètres!$A$1:$I$89,5,0)</f>
        <v>4.4337866711430253E-14</v>
      </c>
      <c r="FG122" s="14">
        <f t="shared" si="101"/>
        <v>7.3222115536967035E-13</v>
      </c>
      <c r="FH122" s="22">
        <f t="shared" si="76"/>
        <v>1.3525069634579169E-12</v>
      </c>
      <c r="FI122" s="62">
        <f t="shared" si="77"/>
        <v>281.9099912979305</v>
      </c>
      <c r="FJ122" s="62">
        <f ca="1">AVERAGE(OFFSET($FI$3,0,0,'Données projet'!$E$16+1,1))-AVERAGE(OFFSET($H$3,0,0,'Données projet'!$E$16+1,1))</f>
        <v>309.21625451786218</v>
      </c>
      <c r="FK122" s="62">
        <f t="shared" si="102"/>
        <v>302.59481222418219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-2.2737367544323206E-13</v>
      </c>
      <c r="O123" s="14">
        <f>N123*VLOOKUP('Données projet'!$B$9,Paramètres!$A$1:$I$89,3,0)*VLOOKUP('Données projet'!$B$9,Paramètres!$A$1:$I$89,5,0)</f>
        <v>-1.8089849618263545E-13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394.70330963327166</v>
      </c>
      <c r="T123" s="62">
        <f t="shared" si="88"/>
        <v>424.06445894109982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projet'!$B$10,Paramètres!$A$1:$I$89,3,0)*VLOOKUP('Données projet'!$B$10,Paramètres!$A$1:$I$89,5,0)</f>
        <v>4.6111381379887463E-14</v>
      </c>
      <c r="AK123" s="14">
        <f t="shared" si="89"/>
        <v>7.5804141040779151E-13</v>
      </c>
      <c r="AL123" s="22">
        <f t="shared" si="58"/>
        <v>1.4005661123635408E-12</v>
      </c>
      <c r="AM123" s="62">
        <f t="shared" si="59"/>
        <v>282.10816074347804</v>
      </c>
      <c r="AN123" s="62">
        <f ca="1">AVERAGE(OFFSET($AM$3,0,0,'Données projet'!$E$10+1,1))-AVERAGE(OFFSET($H$3,0,0,'Données projet'!$E$10+1,1))</f>
        <v>319.39055628111151</v>
      </c>
      <c r="AO123" s="62">
        <f t="shared" si="90"/>
        <v>312.22190035638084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-1.1368683772161603E-13</v>
      </c>
      <c r="BE123" s="14">
        <f>BD123*VLOOKUP('Données projet'!$B$11,Paramètres!$A$1:$I$89,3,0)*VLOOKUP('Données projet'!$B$11,Paramètres!$A$1:$I$89,5,0)</f>
        <v>-8.3355189417488869E-14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257.906524944431</v>
      </c>
      <c r="BJ123" s="62">
        <f t="shared" si="92"/>
        <v>274.70390601173563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-1.1368683772161603E-13</v>
      </c>
      <c r="BZ123" s="14">
        <f>BY123*VLOOKUP('Données projet'!$B$12,Paramètres!$A$1:$I$89,3,0)*VLOOKUP('Données projet'!$B$12,Paramètres!$A$1:$I$89,5,0)</f>
        <v>-9.2222762759774927E-14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272.69564942740931</v>
      </c>
      <c r="CE123" s="62">
        <f t="shared" si="94"/>
        <v>316.57989180609252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319.87179487179486</v>
      </c>
      <c r="CR123" s="13">
        <f>VLOOKUP(A123,'Données projet'!$A$139:$I$159,9,0)</f>
        <v>3.525641025641022</v>
      </c>
      <c r="CS123" s="13">
        <f t="array" ref="CS123">INDEX(CR:CR,MIN(IF(ISNUMBER(CR123:CR319),ROW(CR123:CR319),"")))</f>
        <v>3.525641025641022</v>
      </c>
      <c r="CT123" s="13">
        <f>IF('Données projet'!$A$140&gt;35,CT122+CS123-DB122,IF(A123&lt;'Données projet'!$A$140,$CQ$205^A123,IF(A123='Données projet'!$A$140,'Données projet'!$B$140,CT122+CS123-DB122)))</f>
        <v>319.87179487179458</v>
      </c>
      <c r="CU123" s="18">
        <f>CT123*VLOOKUP('Données projet'!$B$13,Paramètres!$A$1:$I$89,3,0)*VLOOKUP('Données projet'!$B$13,Paramètres!$A$1:$I$89,5,0)</f>
        <v>304.3899999999997</v>
      </c>
      <c r="CV123" s="14">
        <f t="shared" si="95"/>
        <v>72.095996539440193</v>
      </c>
      <c r="CW123" s="22">
        <f t="shared" si="67"/>
        <v>655.71311063952442</v>
      </c>
      <c r="CX123" s="62">
        <f t="shared" si="68"/>
        <v>937.82127138300098</v>
      </c>
      <c r="CY123" s="62">
        <f ca="1">AVERAGE(OFFSET($CX$3,0,0,'Données projet'!$E$13+1,1))-AVERAGE(OFFSET($H$3,0,0,'Données projet'!$E$13+1,1))</f>
        <v>491.87038198656927</v>
      </c>
      <c r="CZ123" s="62">
        <f t="shared" si="96"/>
        <v>406.49261644949559</v>
      </c>
      <c r="DA123" s="16">
        <f>IF(ISNA(VLOOKUP(A123,'Données projet'!$A$139:$I$159,3,0)),0,VLOOKUP(A123,'Données projet'!$A$139:$I$159,3,0))</f>
        <v>11</v>
      </c>
      <c r="DB123" s="16">
        <f>IF(ISNA(VLOOKUP(A123,'Données projet'!$A$139:$I$159,4,0)),0,VLOOKUP(A123,'Données projet'!$A$139:$I$159,4,0))</f>
        <v>319.87179487179486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352</v>
      </c>
      <c r="DM123" s="13">
        <f>VLOOKUP(A123,'Données projet'!$A$165:$I$185,9,0)</f>
        <v>4.5</v>
      </c>
      <c r="DN123" s="13">
        <f t="array" ref="DN123">INDEX(DM:DM,MIN(IF(ISNUMBER(DM123:DM319),ROW(DM123:DM319),"")))</f>
        <v>4.5</v>
      </c>
      <c r="DO123" s="13">
        <f>IF('Données projet'!$A$166&gt;35,DO122+DN123-DW122,IF(A123&lt;'Données projet'!$A$166,$DL$205^A123,IF(A123='Données projet'!$A$166,'Données projet'!$B$166,DO122+DN123-DW122)))</f>
        <v>351.99999999999989</v>
      </c>
      <c r="DP123" s="18">
        <f>DO123*VLOOKUP('Données projet'!$B$14,Paramètres!$A$1:$I$89,3,0)*VLOOKUP('Données projet'!$B$14,Paramètres!$A$1:$I$89,5,0)</f>
        <v>340.45439999999991</v>
      </c>
      <c r="DQ123" s="14">
        <f t="shared" si="97"/>
        <v>79.593821040010667</v>
      </c>
      <c r="DR123" s="22">
        <f t="shared" si="70"/>
        <v>731.58398497801829</v>
      </c>
      <c r="DS123" s="62">
        <f t="shared" si="71"/>
        <v>1013.6921457214949</v>
      </c>
      <c r="DT123" s="62">
        <f ca="1">AVERAGE(OFFSET($DS$3,0,0,'Données projet'!$E$14+1,1))-AVERAGE(OFFSET($H$3,0,0,'Données projet'!$E$14+1,1))</f>
        <v>603.52431522262032</v>
      </c>
      <c r="DU123" s="62">
        <f t="shared" si="98"/>
        <v>313.56299786481338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-3.4106051316484809E-13</v>
      </c>
      <c r="EK123" s="18">
        <f>EJ123*VLOOKUP('Données projet'!$B$15,Paramètres!$A$1:$I$89,3,0)*VLOOKUP('Données projet'!$B$15,Paramètres!$A$1:$I$89,5,0)</f>
        <v>-2.7134774427395314E-13</v>
      </c>
      <c r="EL123" s="14" t="e">
        <f t="shared" si="99"/>
        <v>#NUM!</v>
      </c>
      <c r="EM123" s="22" t="e">
        <f t="shared" si="73"/>
        <v>#NUM!</v>
      </c>
      <c r="EN123" s="62" t="e">
        <f t="shared" si="74"/>
        <v>#NUM!</v>
      </c>
      <c r="EO123" s="62">
        <f ca="1">AVERAGE(OFFSET($EN$3,0,0,'Données projet'!$E$15+1,1))-AVERAGE(OFFSET($H$3,0,0,'Données projet'!$E$15+1,1))</f>
        <v>450.93388191845378</v>
      </c>
      <c r="EP123" s="62">
        <f t="shared" si="100"/>
        <v>483.33635017129325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5.6843418860808015E-14</v>
      </c>
      <c r="FF123" s="18">
        <f>FE123*VLOOKUP('Données projet'!$B$16,Paramètres!$A$1:$I$89,3,0)*VLOOKUP('Données projet'!$B$16,Paramètres!$A$1:$I$89,5,0)</f>
        <v>4.4337866711430253E-14</v>
      </c>
      <c r="FG123" s="14">
        <f t="shared" si="101"/>
        <v>7.3222115536967035E-13</v>
      </c>
      <c r="FH123" s="22">
        <f t="shared" si="76"/>
        <v>1.3525069634579169E-12</v>
      </c>
      <c r="FI123" s="62">
        <f t="shared" si="77"/>
        <v>282.10816074347798</v>
      </c>
      <c r="FJ123" s="62">
        <f ca="1">AVERAGE(OFFSET($FI$3,0,0,'Données projet'!$E$16+1,1))-AVERAGE(OFFSET($H$3,0,0,'Données projet'!$E$16+1,1))</f>
        <v>309.21625451786218</v>
      </c>
      <c r="FK123" s="62">
        <f t="shared" si="102"/>
        <v>302.59481222418219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-2.2737367544323206E-13</v>
      </c>
      <c r="O124" s="14">
        <f>N124*VLOOKUP('Données projet'!$B$9,Paramètres!$A$1:$I$89,3,0)*VLOOKUP('Données projet'!$B$9,Paramètres!$A$1:$I$89,5,0)</f>
        <v>-1.8089849618263545E-13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394.70330963327166</v>
      </c>
      <c r="T124" s="62">
        <f t="shared" si="88"/>
        <v>424.06445894109982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projet'!$B$10,Paramètres!$A$1:$I$89,3,0)*VLOOKUP('Données projet'!$B$10,Paramètres!$A$1:$I$89,5,0)</f>
        <v>4.6111381379887463E-14</v>
      </c>
      <c r="AK124" s="14">
        <f t="shared" si="89"/>
        <v>7.5804141040779151E-13</v>
      </c>
      <c r="AL124" s="22">
        <f t="shared" si="58"/>
        <v>1.4005661123635408E-12</v>
      </c>
      <c r="AM124" s="62">
        <f t="shared" si="59"/>
        <v>282.30289239218581</v>
      </c>
      <c r="AN124" s="62">
        <f ca="1">AVERAGE(OFFSET($AM$3,0,0,'Données projet'!$E$10+1,1))-AVERAGE(OFFSET($H$3,0,0,'Données projet'!$E$10+1,1))</f>
        <v>319.39055628111151</v>
      </c>
      <c r="AO124" s="62">
        <f t="shared" si="90"/>
        <v>312.22190035638084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-1.1368683772161603E-13</v>
      </c>
      <c r="BE124" s="14">
        <f>BD124*VLOOKUP('Données projet'!$B$11,Paramètres!$A$1:$I$89,3,0)*VLOOKUP('Données projet'!$B$11,Paramètres!$A$1:$I$89,5,0)</f>
        <v>-8.3355189417488869E-14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257.906524944431</v>
      </c>
      <c r="BJ124" s="62">
        <f t="shared" si="92"/>
        <v>274.70390601173563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-1.1368683772161603E-13</v>
      </c>
      <c r="BZ124" s="14">
        <f>BY124*VLOOKUP('Données projet'!$B$12,Paramètres!$A$1:$I$89,3,0)*VLOOKUP('Données projet'!$B$12,Paramètres!$A$1:$I$89,5,0)</f>
        <v>-9.2222762759774927E-14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272.69564942740931</v>
      </c>
      <c r="CE124" s="62">
        <f t="shared" si="94"/>
        <v>316.57989180609252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-2.8421709430404007E-13</v>
      </c>
      <c r="CU124" s="18">
        <f>CT124*VLOOKUP('Données projet'!$B$13,Paramètres!$A$1:$I$89,3,0)*VLOOKUP('Données projet'!$B$13,Paramètres!$A$1:$I$89,5,0)</f>
        <v>-2.7046098693972454E-13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491.87038198656927</v>
      </c>
      <c r="CZ124" s="62">
        <f t="shared" si="96"/>
        <v>406.49261644949559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4.2</v>
      </c>
      <c r="DO124" s="13">
        <f>IF('Données projet'!$A$166&gt;35,DO123+DN124-DW123,IF(A124&lt;'Données projet'!$A$166,$DL$205^A124,IF(A124='Données projet'!$A$166,'Données projet'!$B$166,DO123+DN124-DW123)))</f>
        <v>356.19999999999987</v>
      </c>
      <c r="DP124" s="18">
        <f>DO124*VLOOKUP('Données projet'!$B$14,Paramètres!$A$1:$I$89,3,0)*VLOOKUP('Données projet'!$B$14,Paramètres!$A$1:$I$89,5,0)</f>
        <v>344.51663999999988</v>
      </c>
      <c r="DQ124" s="14">
        <f t="shared" si="97"/>
        <v>80.432394913333098</v>
      </c>
      <c r="DR124" s="22">
        <f t="shared" si="70"/>
        <v>740.11956914072152</v>
      </c>
      <c r="DS124" s="62">
        <f t="shared" si="71"/>
        <v>1022.4224615329059</v>
      </c>
      <c r="DT124" s="62">
        <f ca="1">AVERAGE(OFFSET($DS$3,0,0,'Données projet'!$E$14+1,1))-AVERAGE(OFFSET($H$3,0,0,'Données projet'!$E$14+1,1))</f>
        <v>603.52431522262032</v>
      </c>
      <c r="DU124" s="62">
        <f t="shared" si="98"/>
        <v>313.56299786481338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-3.4106051316484809E-13</v>
      </c>
      <c r="EK124" s="18">
        <f>EJ124*VLOOKUP('Données projet'!$B$15,Paramètres!$A$1:$I$89,3,0)*VLOOKUP('Données projet'!$B$15,Paramètres!$A$1:$I$89,5,0)</f>
        <v>-2.7134774427395314E-13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450.93388191845378</v>
      </c>
      <c r="EP124" s="62">
        <f t="shared" si="100"/>
        <v>483.33635017129325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5.6843418860808015E-14</v>
      </c>
      <c r="FF124" s="18">
        <f>FE124*VLOOKUP('Données projet'!$B$16,Paramètres!$A$1:$I$89,3,0)*VLOOKUP('Données projet'!$B$16,Paramètres!$A$1:$I$89,5,0)</f>
        <v>4.4337866711430253E-14</v>
      </c>
      <c r="FG124" s="14">
        <f t="shared" si="101"/>
        <v>7.3222115536967035E-13</v>
      </c>
      <c r="FH124" s="22">
        <f t="shared" si="76"/>
        <v>1.3525069634579169E-12</v>
      </c>
      <c r="FI124" s="62">
        <f t="shared" si="77"/>
        <v>282.30289239218575</v>
      </c>
      <c r="FJ124" s="62">
        <f ca="1">AVERAGE(OFFSET($FI$3,0,0,'Données projet'!$E$16+1,1))-AVERAGE(OFFSET($H$3,0,0,'Données projet'!$E$16+1,1))</f>
        <v>309.21625451786218</v>
      </c>
      <c r="FK124" s="62">
        <f t="shared" si="102"/>
        <v>302.59481222418219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-2.2737367544323206E-13</v>
      </c>
      <c r="O125" s="14">
        <f>N125*VLOOKUP('Données projet'!$B$9,Paramètres!$A$1:$I$89,3,0)*VLOOKUP('Données projet'!$B$9,Paramètres!$A$1:$I$89,5,0)</f>
        <v>-1.8089849618263545E-13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394.70330963327166</v>
      </c>
      <c r="T125" s="62">
        <f t="shared" si="88"/>
        <v>424.06445894109982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projet'!$B$10,Paramètres!$A$1:$I$89,3,0)*VLOOKUP('Données projet'!$B$10,Paramètres!$A$1:$I$89,5,0)</f>
        <v>4.6111381379887463E-14</v>
      </c>
      <c r="AK125" s="14">
        <f t="shared" si="89"/>
        <v>7.5804141040779151E-13</v>
      </c>
      <c r="AL125" s="22">
        <f t="shared" si="58"/>
        <v>1.4005661123635408E-12</v>
      </c>
      <c r="AM125" s="62">
        <f t="shared" si="59"/>
        <v>282.49424588214322</v>
      </c>
      <c r="AN125" s="62">
        <f ca="1">AVERAGE(OFFSET($AM$3,0,0,'Données projet'!$E$10+1,1))-AVERAGE(OFFSET($H$3,0,0,'Données projet'!$E$10+1,1))</f>
        <v>319.39055628111151</v>
      </c>
      <c r="AO125" s="62">
        <f t="shared" si="90"/>
        <v>312.22190035638084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-1.1368683772161603E-13</v>
      </c>
      <c r="BE125" s="14">
        <f>BD125*VLOOKUP('Données projet'!$B$11,Paramètres!$A$1:$I$89,3,0)*VLOOKUP('Données projet'!$B$11,Paramètres!$A$1:$I$89,5,0)</f>
        <v>-8.3355189417488869E-14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257.906524944431</v>
      </c>
      <c r="BJ125" s="62">
        <f t="shared" si="92"/>
        <v>274.70390601173563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-1.1368683772161603E-13</v>
      </c>
      <c r="BZ125" s="14">
        <f>BY125*VLOOKUP('Données projet'!$B$12,Paramètres!$A$1:$I$89,3,0)*VLOOKUP('Données projet'!$B$12,Paramètres!$A$1:$I$89,5,0)</f>
        <v>-9.2222762759774927E-14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272.69564942740931</v>
      </c>
      <c r="CE125" s="62">
        <f t="shared" si="94"/>
        <v>316.57989180609252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-2.8421709430404007E-13</v>
      </c>
      <c r="CU125" s="18">
        <f>CT125*VLOOKUP('Données projet'!$B$13,Paramètres!$A$1:$I$89,3,0)*VLOOKUP('Données projet'!$B$13,Paramètres!$A$1:$I$89,5,0)</f>
        <v>-2.7046098693972454E-13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491.87038198656927</v>
      </c>
      <c r="CZ125" s="62">
        <f t="shared" si="96"/>
        <v>406.49261644949559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4.2</v>
      </c>
      <c r="DO125" s="13">
        <f>IF('Données projet'!$A$166&gt;35,DO124+DN125-DW124,IF(A125&lt;'Données projet'!$A$166,$DL$205^A125,IF(A125='Données projet'!$A$166,'Données projet'!$B$166,DO124+DN125-DW124)))</f>
        <v>360.39999999999986</v>
      </c>
      <c r="DP125" s="18">
        <f>DO125*VLOOKUP('Données projet'!$B$14,Paramètres!$A$1:$I$89,3,0)*VLOOKUP('Données projet'!$B$14,Paramètres!$A$1:$I$89,5,0)</f>
        <v>348.57887999999991</v>
      </c>
      <c r="DQ125" s="14">
        <f t="shared" si="97"/>
        <v>81.269818615882841</v>
      </c>
      <c r="DR125" s="22">
        <f t="shared" si="70"/>
        <v>748.65315008932919</v>
      </c>
      <c r="DS125" s="62">
        <f t="shared" si="71"/>
        <v>1031.147395971471</v>
      </c>
      <c r="DT125" s="62">
        <f ca="1">AVERAGE(OFFSET($DS$3,0,0,'Données projet'!$E$14+1,1))-AVERAGE(OFFSET($H$3,0,0,'Données projet'!$E$14+1,1))</f>
        <v>603.52431522262032</v>
      </c>
      <c r="DU125" s="62">
        <f t="shared" si="98"/>
        <v>313.56299786481338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-3.4106051316484809E-13</v>
      </c>
      <c r="EK125" s="18">
        <f>EJ125*VLOOKUP('Données projet'!$B$15,Paramètres!$A$1:$I$89,3,0)*VLOOKUP('Données projet'!$B$15,Paramètres!$A$1:$I$89,5,0)</f>
        <v>-2.7134774427395314E-13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450.93388191845378</v>
      </c>
      <c r="EP125" s="62">
        <f t="shared" si="100"/>
        <v>483.33635017129325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5.6843418860808015E-14</v>
      </c>
      <c r="FF125" s="18">
        <f>FE125*VLOOKUP('Données projet'!$B$16,Paramètres!$A$1:$I$89,3,0)*VLOOKUP('Données projet'!$B$16,Paramètres!$A$1:$I$89,5,0)</f>
        <v>4.4337866711430253E-14</v>
      </c>
      <c r="FG125" s="14">
        <f t="shared" si="101"/>
        <v>7.3222115536967035E-13</v>
      </c>
      <c r="FH125" s="22">
        <f t="shared" si="76"/>
        <v>1.3525069634579169E-12</v>
      </c>
      <c r="FI125" s="62">
        <f t="shared" si="77"/>
        <v>282.49424588214316</v>
      </c>
      <c r="FJ125" s="62">
        <f ca="1">AVERAGE(OFFSET($FI$3,0,0,'Données projet'!$E$16+1,1))-AVERAGE(OFFSET($H$3,0,0,'Données projet'!$E$16+1,1))</f>
        <v>309.21625451786218</v>
      </c>
      <c r="FK125" s="62">
        <f t="shared" si="102"/>
        <v>302.59481222418219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-2.2737367544323206E-13</v>
      </c>
      <c r="O126" s="14">
        <f>N126*VLOOKUP('Données projet'!$B$9,Paramètres!$A$1:$I$89,3,0)*VLOOKUP('Données projet'!$B$9,Paramètres!$A$1:$I$89,5,0)</f>
        <v>-1.8089849618263545E-13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394.70330963327166</v>
      </c>
      <c r="T126" s="62">
        <f t="shared" si="88"/>
        <v>424.06445894109982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projet'!$B$10,Paramètres!$A$1:$I$89,3,0)*VLOOKUP('Données projet'!$B$10,Paramètres!$A$1:$I$89,5,0)</f>
        <v>4.6111381379887463E-14</v>
      </c>
      <c r="AK126" s="14">
        <f t="shared" si="89"/>
        <v>7.5804141040779151E-13</v>
      </c>
      <c r="AL126" s="22">
        <f t="shared" si="58"/>
        <v>1.4005661123635408E-12</v>
      </c>
      <c r="AM126" s="62">
        <f t="shared" si="59"/>
        <v>282.68227981685209</v>
      </c>
      <c r="AN126" s="62">
        <f ca="1">AVERAGE(OFFSET($AM$3,0,0,'Données projet'!$E$10+1,1))-AVERAGE(OFFSET($H$3,0,0,'Données projet'!$E$10+1,1))</f>
        <v>319.39055628111151</v>
      </c>
      <c r="AO126" s="62">
        <f t="shared" si="90"/>
        <v>312.22190035638084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-1.1368683772161603E-13</v>
      </c>
      <c r="BE126" s="14">
        <f>BD126*VLOOKUP('Données projet'!$B$11,Paramètres!$A$1:$I$89,3,0)*VLOOKUP('Données projet'!$B$11,Paramètres!$A$1:$I$89,5,0)</f>
        <v>-8.3355189417488869E-14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257.906524944431</v>
      </c>
      <c r="BJ126" s="62">
        <f t="shared" si="92"/>
        <v>274.70390601173563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-1.1368683772161603E-13</v>
      </c>
      <c r="BZ126" s="14">
        <f>BY126*VLOOKUP('Données projet'!$B$12,Paramètres!$A$1:$I$89,3,0)*VLOOKUP('Données projet'!$B$12,Paramètres!$A$1:$I$89,5,0)</f>
        <v>-9.2222762759774927E-14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272.69564942740931</v>
      </c>
      <c r="CE126" s="62">
        <f t="shared" si="94"/>
        <v>316.57989180609252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-2.8421709430404007E-13</v>
      </c>
      <c r="CU126" s="18">
        <f>CT126*VLOOKUP('Données projet'!$B$13,Paramètres!$A$1:$I$89,3,0)*VLOOKUP('Données projet'!$B$13,Paramètres!$A$1:$I$89,5,0)</f>
        <v>-2.7046098693972454E-13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491.87038198656927</v>
      </c>
      <c r="CZ126" s="62">
        <f t="shared" si="96"/>
        <v>406.49261644949559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4.2</v>
      </c>
      <c r="DO126" s="13">
        <f>IF('Données projet'!$A$166&gt;35,DO125+DN126-DW125,IF(A126&lt;'Données projet'!$A$166,$DL$205^A126,IF(A126='Données projet'!$A$166,'Données projet'!$B$166,DO125+DN126-DW125)))</f>
        <v>364.59999999999985</v>
      </c>
      <c r="DP126" s="18">
        <f>DO126*VLOOKUP('Données projet'!$B$14,Paramètres!$A$1:$I$89,3,0)*VLOOKUP('Données projet'!$B$14,Paramètres!$A$1:$I$89,5,0)</f>
        <v>352.64111999999989</v>
      </c>
      <c r="DQ126" s="14">
        <f t="shared" si="97"/>
        <v>82.10610710216001</v>
      </c>
      <c r="DR126" s="22">
        <f t="shared" si="70"/>
        <v>757.18475386959517</v>
      </c>
      <c r="DS126" s="62">
        <f t="shared" si="71"/>
        <v>1039.8670336864459</v>
      </c>
      <c r="DT126" s="62">
        <f ca="1">AVERAGE(OFFSET($DS$3,0,0,'Données projet'!$E$14+1,1))-AVERAGE(OFFSET($H$3,0,0,'Données projet'!$E$14+1,1))</f>
        <v>603.52431522262032</v>
      </c>
      <c r="DU126" s="62">
        <f t="shared" si="98"/>
        <v>313.56299786481338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-3.4106051316484809E-13</v>
      </c>
      <c r="EK126" s="18">
        <f>EJ126*VLOOKUP('Données projet'!$B$15,Paramètres!$A$1:$I$89,3,0)*VLOOKUP('Données projet'!$B$15,Paramètres!$A$1:$I$89,5,0)</f>
        <v>-2.7134774427395314E-13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450.93388191845378</v>
      </c>
      <c r="EP126" s="62">
        <f t="shared" si="100"/>
        <v>483.33635017129325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5.6843418860808015E-14</v>
      </c>
      <c r="FF126" s="18">
        <f>FE126*VLOOKUP('Données projet'!$B$16,Paramètres!$A$1:$I$89,3,0)*VLOOKUP('Données projet'!$B$16,Paramètres!$A$1:$I$89,5,0)</f>
        <v>4.4337866711430253E-14</v>
      </c>
      <c r="FG126" s="14">
        <f t="shared" si="101"/>
        <v>7.3222115536967035E-13</v>
      </c>
      <c r="FH126" s="22">
        <f t="shared" si="76"/>
        <v>1.3525069634579169E-12</v>
      </c>
      <c r="FI126" s="62">
        <f t="shared" si="77"/>
        <v>282.68227981685203</v>
      </c>
      <c r="FJ126" s="62">
        <f ca="1">AVERAGE(OFFSET($FI$3,0,0,'Données projet'!$E$16+1,1))-AVERAGE(OFFSET($H$3,0,0,'Données projet'!$E$16+1,1))</f>
        <v>309.21625451786218</v>
      </c>
      <c r="FK126" s="62">
        <f t="shared" si="102"/>
        <v>302.59481222418219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-2.2737367544323206E-13</v>
      </c>
      <c r="O127" s="14">
        <f>N127*VLOOKUP('Données projet'!$B$9,Paramètres!$A$1:$I$89,3,0)*VLOOKUP('Données projet'!$B$9,Paramètres!$A$1:$I$89,5,0)</f>
        <v>-1.8089849618263545E-13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394.70330963327166</v>
      </c>
      <c r="T127" s="62">
        <f t="shared" si="88"/>
        <v>424.06445894109982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projet'!$B$10,Paramètres!$A$1:$I$89,3,0)*VLOOKUP('Données projet'!$B$10,Paramètres!$A$1:$I$89,5,0)</f>
        <v>4.6111381379887463E-14</v>
      </c>
      <c r="AK127" s="14">
        <f t="shared" si="89"/>
        <v>7.5804141040779151E-13</v>
      </c>
      <c r="AL127" s="22">
        <f t="shared" si="58"/>
        <v>1.4005661123635408E-12</v>
      </c>
      <c r="AM127" s="62">
        <f t="shared" si="59"/>
        <v>282.86705178317476</v>
      </c>
      <c r="AN127" s="62">
        <f ca="1">AVERAGE(OFFSET($AM$3,0,0,'Données projet'!$E$10+1,1))-AVERAGE(OFFSET($H$3,0,0,'Données projet'!$E$10+1,1))</f>
        <v>319.39055628111151</v>
      </c>
      <c r="AO127" s="62">
        <f t="shared" si="90"/>
        <v>312.22190035638084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-1.1368683772161603E-13</v>
      </c>
      <c r="BE127" s="14">
        <f>BD127*VLOOKUP('Données projet'!$B$11,Paramètres!$A$1:$I$89,3,0)*VLOOKUP('Données projet'!$B$11,Paramètres!$A$1:$I$89,5,0)</f>
        <v>-8.3355189417488869E-14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257.906524944431</v>
      </c>
      <c r="BJ127" s="62">
        <f t="shared" si="92"/>
        <v>274.70390601173563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-1.1368683772161603E-13</v>
      </c>
      <c r="BZ127" s="14">
        <f>BY127*VLOOKUP('Données projet'!$B$12,Paramètres!$A$1:$I$89,3,0)*VLOOKUP('Données projet'!$B$12,Paramètres!$A$1:$I$89,5,0)</f>
        <v>-9.2222762759774927E-14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272.69564942740931</v>
      </c>
      <c r="CE127" s="62">
        <f t="shared" si="94"/>
        <v>316.57989180609252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-2.8421709430404007E-13</v>
      </c>
      <c r="CU127" s="18">
        <f>CT127*VLOOKUP('Données projet'!$B$13,Paramètres!$A$1:$I$89,3,0)*VLOOKUP('Données projet'!$B$13,Paramètres!$A$1:$I$89,5,0)</f>
        <v>-2.7046098693972454E-13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491.87038198656927</v>
      </c>
      <c r="CZ127" s="62">
        <f t="shared" si="96"/>
        <v>406.49261644949559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4.2</v>
      </c>
      <c r="DO127" s="13">
        <f>IF('Données projet'!$A$166&gt;35,DO126+DN127-DW126,IF(A127&lt;'Données projet'!$A$166,$DL$205^A127,IF(A127='Données projet'!$A$166,'Données projet'!$B$166,DO126+DN127-DW126)))</f>
        <v>368.79999999999984</v>
      </c>
      <c r="DP127" s="18">
        <f>DO127*VLOOKUP('Données projet'!$B$14,Paramètres!$A$1:$I$89,3,0)*VLOOKUP('Données projet'!$B$14,Paramètres!$A$1:$I$89,5,0)</f>
        <v>356.70335999999986</v>
      </c>
      <c r="DQ127" s="14">
        <f t="shared" si="97"/>
        <v>82.941274962297129</v>
      </c>
      <c r="DR127" s="22">
        <f t="shared" si="70"/>
        <v>765.71440589266729</v>
      </c>
      <c r="DS127" s="62">
        <f t="shared" si="71"/>
        <v>1048.5814576758407</v>
      </c>
      <c r="DT127" s="62">
        <f ca="1">AVERAGE(OFFSET($DS$3,0,0,'Données projet'!$E$14+1,1))-AVERAGE(OFFSET($H$3,0,0,'Données projet'!$E$14+1,1))</f>
        <v>603.52431522262032</v>
      </c>
      <c r="DU127" s="62">
        <f t="shared" si="98"/>
        <v>313.56299786481338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-3.4106051316484809E-13</v>
      </c>
      <c r="EK127" s="18">
        <f>EJ127*VLOOKUP('Données projet'!$B$15,Paramètres!$A$1:$I$89,3,0)*VLOOKUP('Données projet'!$B$15,Paramètres!$A$1:$I$89,5,0)</f>
        <v>-2.7134774427395314E-13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450.93388191845378</v>
      </c>
      <c r="EP127" s="62">
        <f t="shared" si="100"/>
        <v>483.33635017129325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5.6843418860808015E-14</v>
      </c>
      <c r="FF127" s="18">
        <f>FE127*VLOOKUP('Données projet'!$B$16,Paramètres!$A$1:$I$89,3,0)*VLOOKUP('Données projet'!$B$16,Paramètres!$A$1:$I$89,5,0)</f>
        <v>4.4337866711430253E-14</v>
      </c>
      <c r="FG127" s="14">
        <f t="shared" si="101"/>
        <v>7.3222115536967035E-13</v>
      </c>
      <c r="FH127" s="22">
        <f t="shared" si="76"/>
        <v>1.3525069634579169E-12</v>
      </c>
      <c r="FI127" s="62">
        <f t="shared" si="77"/>
        <v>282.8670517831747</v>
      </c>
      <c r="FJ127" s="62">
        <f ca="1">AVERAGE(OFFSET($FI$3,0,0,'Données projet'!$E$16+1,1))-AVERAGE(OFFSET($H$3,0,0,'Données projet'!$E$16+1,1))</f>
        <v>309.21625451786218</v>
      </c>
      <c r="FK127" s="62">
        <f t="shared" si="102"/>
        <v>302.59481222418219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-2.2737367544323206E-13</v>
      </c>
      <c r="O128" s="14">
        <f>N128*VLOOKUP('Données projet'!$B$9,Paramètres!$A$1:$I$89,3,0)*VLOOKUP('Données projet'!$B$9,Paramètres!$A$1:$I$89,5,0)</f>
        <v>-1.8089849618263545E-13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394.70330963327166</v>
      </c>
      <c r="T128" s="62">
        <f t="shared" si="88"/>
        <v>424.06445894109982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projet'!$B$10,Paramètres!$A$1:$I$89,3,0)*VLOOKUP('Données projet'!$B$10,Paramètres!$A$1:$I$89,5,0)</f>
        <v>4.6111381379887463E-14</v>
      </c>
      <c r="AK128" s="14">
        <f t="shared" si="89"/>
        <v>7.5804141040779151E-13</v>
      </c>
      <c r="AL128" s="22">
        <f t="shared" si="58"/>
        <v>1.4005661123635408E-12</v>
      </c>
      <c r="AM128" s="62">
        <f t="shared" si="59"/>
        <v>283.04861836896993</v>
      </c>
      <c r="AN128" s="62">
        <f ca="1">AVERAGE(OFFSET($AM$3,0,0,'Données projet'!$E$10+1,1))-AVERAGE(OFFSET($H$3,0,0,'Données projet'!$E$10+1,1))</f>
        <v>319.39055628111151</v>
      </c>
      <c r="AO128" s="62">
        <f t="shared" si="90"/>
        <v>312.22190035638084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-1.1368683772161603E-13</v>
      </c>
      <c r="BE128" s="14">
        <f>BD128*VLOOKUP('Données projet'!$B$11,Paramètres!$A$1:$I$89,3,0)*VLOOKUP('Données projet'!$B$11,Paramètres!$A$1:$I$89,5,0)</f>
        <v>-8.3355189417488869E-14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257.906524944431</v>
      </c>
      <c r="BJ128" s="62">
        <f t="shared" si="92"/>
        <v>274.70390601173563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-1.1368683772161603E-13</v>
      </c>
      <c r="BZ128" s="14">
        <f>BY128*VLOOKUP('Données projet'!$B$12,Paramètres!$A$1:$I$89,3,0)*VLOOKUP('Données projet'!$B$12,Paramètres!$A$1:$I$89,5,0)</f>
        <v>-9.2222762759774927E-14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272.69564942740931</v>
      </c>
      <c r="CE128" s="62">
        <f t="shared" si="94"/>
        <v>316.57989180609252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-2.8421709430404007E-13</v>
      </c>
      <c r="CU128" s="18">
        <f>CT128*VLOOKUP('Données projet'!$B$13,Paramètres!$A$1:$I$89,3,0)*VLOOKUP('Données projet'!$B$13,Paramètres!$A$1:$I$89,5,0)</f>
        <v>-2.7046098693972454E-13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491.87038198656927</v>
      </c>
      <c r="CZ128" s="62">
        <f t="shared" si="96"/>
        <v>406.49261644949559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4.2</v>
      </c>
      <c r="DO128" s="13">
        <f>IF('Données projet'!$A$166&gt;35,DO127+DN128-DW127,IF(A128&lt;'Données projet'!$A$166,$DL$205^A128,IF(A128='Données projet'!$A$166,'Données projet'!$B$166,DO127+DN128-DW127)))</f>
        <v>372.99999999999983</v>
      </c>
      <c r="DP128" s="18">
        <f>DO128*VLOOKUP('Données projet'!$B$14,Paramètres!$A$1:$I$89,3,0)*VLOOKUP('Données projet'!$B$14,Paramètres!$A$1:$I$89,5,0)</f>
        <v>360.76559999999989</v>
      </c>
      <c r="DQ128" s="14">
        <f t="shared" si="97"/>
        <v>83.775336434983416</v>
      </c>
      <c r="DR128" s="22">
        <f t="shared" si="70"/>
        <v>774.24213095759603</v>
      </c>
      <c r="DS128" s="62">
        <f t="shared" si="71"/>
        <v>1057.2907493265645</v>
      </c>
      <c r="DT128" s="62">
        <f ca="1">AVERAGE(OFFSET($DS$3,0,0,'Données projet'!$E$14+1,1))-AVERAGE(OFFSET($H$3,0,0,'Données projet'!$E$14+1,1))</f>
        <v>603.52431522262032</v>
      </c>
      <c r="DU128" s="62">
        <f t="shared" si="98"/>
        <v>313.56299786481338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-3.4106051316484809E-13</v>
      </c>
      <c r="EK128" s="18">
        <f>EJ128*VLOOKUP('Données projet'!$B$15,Paramètres!$A$1:$I$89,3,0)*VLOOKUP('Données projet'!$B$15,Paramètres!$A$1:$I$89,5,0)</f>
        <v>-2.7134774427395314E-13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450.93388191845378</v>
      </c>
      <c r="EP128" s="62">
        <f t="shared" si="100"/>
        <v>483.33635017129325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5.6843418860808015E-14</v>
      </c>
      <c r="FF128" s="18">
        <f>FE128*VLOOKUP('Données projet'!$B$16,Paramètres!$A$1:$I$89,3,0)*VLOOKUP('Données projet'!$B$16,Paramètres!$A$1:$I$89,5,0)</f>
        <v>4.4337866711430253E-14</v>
      </c>
      <c r="FG128" s="14">
        <f t="shared" si="101"/>
        <v>7.3222115536967035E-13</v>
      </c>
      <c r="FH128" s="22">
        <f t="shared" si="76"/>
        <v>1.3525069634579169E-12</v>
      </c>
      <c r="FI128" s="62">
        <f t="shared" si="77"/>
        <v>283.04861836896987</v>
      </c>
      <c r="FJ128" s="62">
        <f ca="1">AVERAGE(OFFSET($FI$3,0,0,'Données projet'!$E$16+1,1))-AVERAGE(OFFSET($H$3,0,0,'Données projet'!$E$16+1,1))</f>
        <v>309.21625451786218</v>
      </c>
      <c r="FK128" s="62">
        <f t="shared" si="102"/>
        <v>302.59481222418219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-2.2737367544323206E-13</v>
      </c>
      <c r="O129" s="14">
        <f>N129*VLOOKUP('Données projet'!$B$9,Paramètres!$A$1:$I$89,3,0)*VLOOKUP('Données projet'!$B$9,Paramètres!$A$1:$I$89,5,0)</f>
        <v>-1.8089849618263545E-13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394.70330963327166</v>
      </c>
      <c r="T129" s="62">
        <f t="shared" si="88"/>
        <v>424.06445894109982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projet'!$B$10,Paramètres!$A$1:$I$89,3,0)*VLOOKUP('Données projet'!$B$10,Paramètres!$A$1:$I$89,5,0)</f>
        <v>4.6111381379887463E-14</v>
      </c>
      <c r="AK129" s="14">
        <f t="shared" si="89"/>
        <v>7.5804141040779151E-13</v>
      </c>
      <c r="AL129" s="22">
        <f t="shared" si="58"/>
        <v>1.4005661123635408E-12</v>
      </c>
      <c r="AM129" s="62">
        <f t="shared" si="59"/>
        <v>283.22703518042363</v>
      </c>
      <c r="AN129" s="62">
        <f ca="1">AVERAGE(OFFSET($AM$3,0,0,'Données projet'!$E$10+1,1))-AVERAGE(OFFSET($H$3,0,0,'Données projet'!$E$10+1,1))</f>
        <v>319.39055628111151</v>
      </c>
      <c r="AO129" s="62">
        <f t="shared" si="90"/>
        <v>312.22190035638084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-1.1368683772161603E-13</v>
      </c>
      <c r="BE129" s="14">
        <f>BD129*VLOOKUP('Données projet'!$B$11,Paramètres!$A$1:$I$89,3,0)*VLOOKUP('Données projet'!$B$11,Paramètres!$A$1:$I$89,5,0)</f>
        <v>-8.3355189417488869E-14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257.906524944431</v>
      </c>
      <c r="BJ129" s="62">
        <f t="shared" si="92"/>
        <v>274.70390601173563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-1.1368683772161603E-13</v>
      </c>
      <c r="BZ129" s="14">
        <f>BY129*VLOOKUP('Données projet'!$B$12,Paramètres!$A$1:$I$89,3,0)*VLOOKUP('Données projet'!$B$12,Paramètres!$A$1:$I$89,5,0)</f>
        <v>-9.2222762759774927E-14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272.69564942740931</v>
      </c>
      <c r="CE129" s="62">
        <f t="shared" si="94"/>
        <v>316.57989180609252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-2.8421709430404007E-13</v>
      </c>
      <c r="CU129" s="18">
        <f>CT129*VLOOKUP('Données projet'!$B$13,Paramètres!$A$1:$I$89,3,0)*VLOOKUP('Données projet'!$B$13,Paramètres!$A$1:$I$89,5,0)</f>
        <v>-2.7046098693972454E-13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491.87038198656927</v>
      </c>
      <c r="CZ129" s="62">
        <f t="shared" si="96"/>
        <v>406.49261644949559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4.2</v>
      </c>
      <c r="DO129" s="13">
        <f>IF('Données projet'!$A$166&gt;35,DO128+DN129-DW128,IF(A129&lt;'Données projet'!$A$166,$DL$205^A129,IF(A129='Données projet'!$A$166,'Données projet'!$B$166,DO128+DN129-DW128)))</f>
        <v>377.19999999999982</v>
      </c>
      <c r="DP129" s="18">
        <f>DO129*VLOOKUP('Données projet'!$B$14,Paramètres!$A$1:$I$89,3,0)*VLOOKUP('Données projet'!$B$14,Paramètres!$A$1:$I$89,5,0)</f>
        <v>364.82783999999987</v>
      </c>
      <c r="DQ129" s="14">
        <f t="shared" si="97"/>
        <v>84.608305419789914</v>
      </c>
      <c r="DR129" s="22">
        <f t="shared" si="70"/>
        <v>782.76795327280058</v>
      </c>
      <c r="DS129" s="62">
        <f t="shared" si="71"/>
        <v>1065.9949884532227</v>
      </c>
      <c r="DT129" s="62">
        <f ca="1">AVERAGE(OFFSET($DS$3,0,0,'Données projet'!$E$14+1,1))-AVERAGE(OFFSET($H$3,0,0,'Données projet'!$E$14+1,1))</f>
        <v>603.52431522262032</v>
      </c>
      <c r="DU129" s="62">
        <f t="shared" si="98"/>
        <v>313.56299786481338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-3.4106051316484809E-13</v>
      </c>
      <c r="EK129" s="18">
        <f>EJ129*VLOOKUP('Données projet'!$B$15,Paramètres!$A$1:$I$89,3,0)*VLOOKUP('Données projet'!$B$15,Paramètres!$A$1:$I$89,5,0)</f>
        <v>-2.7134774427395314E-13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450.93388191845378</v>
      </c>
      <c r="EP129" s="62">
        <f t="shared" si="100"/>
        <v>483.33635017129325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5.6843418860808015E-14</v>
      </c>
      <c r="FF129" s="18">
        <f>FE129*VLOOKUP('Données projet'!$B$16,Paramètres!$A$1:$I$89,3,0)*VLOOKUP('Données projet'!$B$16,Paramètres!$A$1:$I$89,5,0)</f>
        <v>4.4337866711430253E-14</v>
      </c>
      <c r="FG129" s="14">
        <f t="shared" si="101"/>
        <v>7.3222115536967035E-13</v>
      </c>
      <c r="FH129" s="22">
        <f t="shared" si="76"/>
        <v>1.3525069634579169E-12</v>
      </c>
      <c r="FI129" s="62">
        <f t="shared" si="77"/>
        <v>283.22703518042357</v>
      </c>
      <c r="FJ129" s="62">
        <f ca="1">AVERAGE(OFFSET($FI$3,0,0,'Données projet'!$E$16+1,1))-AVERAGE(OFFSET($H$3,0,0,'Données projet'!$E$16+1,1))</f>
        <v>309.21625451786218</v>
      </c>
      <c r="FK129" s="62">
        <f t="shared" si="102"/>
        <v>302.59481222418219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-2.2737367544323206E-13</v>
      </c>
      <c r="O130" s="14">
        <f>N130*VLOOKUP('Données projet'!$B$9,Paramètres!$A$1:$I$89,3,0)*VLOOKUP('Données projet'!$B$9,Paramètres!$A$1:$I$89,5,0)</f>
        <v>-1.8089849618263545E-13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394.70330963327166</v>
      </c>
      <c r="T130" s="62">
        <f t="shared" si="88"/>
        <v>424.06445894109982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projet'!$B$10,Paramètres!$A$1:$I$89,3,0)*VLOOKUP('Données projet'!$B$10,Paramètres!$A$1:$I$89,5,0)</f>
        <v>4.6111381379887463E-14</v>
      </c>
      <c r="AK130" s="14">
        <f t="shared" si="89"/>
        <v>7.5804141040779151E-13</v>
      </c>
      <c r="AL130" s="22">
        <f t="shared" si="58"/>
        <v>1.4005661123635408E-12</v>
      </c>
      <c r="AM130" s="62">
        <f t="shared" si="59"/>
        <v>283.40235685907885</v>
      </c>
      <c r="AN130" s="62">
        <f ca="1">AVERAGE(OFFSET($AM$3,0,0,'Données projet'!$E$10+1,1))-AVERAGE(OFFSET($H$3,0,0,'Données projet'!$E$10+1,1))</f>
        <v>319.39055628111151</v>
      </c>
      <c r="AO130" s="62">
        <f t="shared" si="90"/>
        <v>312.22190035638084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-1.1368683772161603E-13</v>
      </c>
      <c r="BE130" s="14">
        <f>BD130*VLOOKUP('Données projet'!$B$11,Paramètres!$A$1:$I$89,3,0)*VLOOKUP('Données projet'!$B$11,Paramètres!$A$1:$I$89,5,0)</f>
        <v>-8.3355189417488869E-14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257.906524944431</v>
      </c>
      <c r="BJ130" s="62">
        <f t="shared" si="92"/>
        <v>274.70390601173563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-1.1368683772161603E-13</v>
      </c>
      <c r="BZ130" s="14">
        <f>BY130*VLOOKUP('Données projet'!$B$12,Paramètres!$A$1:$I$89,3,0)*VLOOKUP('Données projet'!$B$12,Paramètres!$A$1:$I$89,5,0)</f>
        <v>-9.2222762759774927E-14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272.69564942740931</v>
      </c>
      <c r="CE130" s="62">
        <f t="shared" si="94"/>
        <v>316.57989180609252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-2.8421709430404007E-13</v>
      </c>
      <c r="CU130" s="18">
        <f>CT130*VLOOKUP('Données projet'!$B$13,Paramètres!$A$1:$I$89,3,0)*VLOOKUP('Données projet'!$B$13,Paramètres!$A$1:$I$89,5,0)</f>
        <v>-2.7046098693972454E-13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491.87038198656927</v>
      </c>
      <c r="CZ130" s="62">
        <f t="shared" si="96"/>
        <v>406.49261644949559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4.2</v>
      </c>
      <c r="DO130" s="13">
        <f>IF('Données projet'!$A$166&gt;35,DO129+DN130-DW129,IF(A130&lt;'Données projet'!$A$166,$DL$205^A130,IF(A130='Données projet'!$A$166,'Données projet'!$B$166,DO129+DN130-DW129)))</f>
        <v>381.39999999999981</v>
      </c>
      <c r="DP130" s="18">
        <f>DO130*VLOOKUP('Données projet'!$B$14,Paramètres!$A$1:$I$89,3,0)*VLOOKUP('Données projet'!$B$14,Paramètres!$A$1:$I$89,5,0)</f>
        <v>368.89007999999984</v>
      </c>
      <c r="DQ130" s="14">
        <f t="shared" si="97"/>
        <v>85.440195488930357</v>
      </c>
      <c r="DR130" s="22">
        <f t="shared" si="70"/>
        <v>791.29189647655346</v>
      </c>
      <c r="DS130" s="62">
        <f t="shared" si="71"/>
        <v>1074.6942533356309</v>
      </c>
      <c r="DT130" s="62">
        <f ca="1">AVERAGE(OFFSET($DS$3,0,0,'Données projet'!$E$14+1,1))-AVERAGE(OFFSET($H$3,0,0,'Données projet'!$E$14+1,1))</f>
        <v>603.52431522262032</v>
      </c>
      <c r="DU130" s="62">
        <f t="shared" si="98"/>
        <v>313.56299786481338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-3.4106051316484809E-13</v>
      </c>
      <c r="EK130" s="18">
        <f>EJ130*VLOOKUP('Données projet'!$B$15,Paramètres!$A$1:$I$89,3,0)*VLOOKUP('Données projet'!$B$15,Paramètres!$A$1:$I$89,5,0)</f>
        <v>-2.7134774427395314E-13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450.93388191845378</v>
      </c>
      <c r="EP130" s="62">
        <f t="shared" si="100"/>
        <v>483.33635017129325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5.6843418860808015E-14</v>
      </c>
      <c r="FF130" s="18">
        <f>FE130*VLOOKUP('Données projet'!$B$16,Paramètres!$A$1:$I$89,3,0)*VLOOKUP('Données projet'!$B$16,Paramètres!$A$1:$I$89,5,0)</f>
        <v>4.4337866711430253E-14</v>
      </c>
      <c r="FG130" s="14">
        <f t="shared" si="101"/>
        <v>7.3222115536967035E-13</v>
      </c>
      <c r="FH130" s="22">
        <f t="shared" si="76"/>
        <v>1.3525069634579169E-12</v>
      </c>
      <c r="FI130" s="62">
        <f t="shared" si="77"/>
        <v>283.40235685907879</v>
      </c>
      <c r="FJ130" s="62">
        <f ca="1">AVERAGE(OFFSET($FI$3,0,0,'Données projet'!$E$16+1,1))-AVERAGE(OFFSET($H$3,0,0,'Données projet'!$E$16+1,1))</f>
        <v>309.21625451786218</v>
      </c>
      <c r="FK130" s="62">
        <f t="shared" si="102"/>
        <v>302.59481222418219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-2.2737367544323206E-13</v>
      </c>
      <c r="O131" s="14">
        <f>N131*VLOOKUP('Données projet'!$B$9,Paramètres!$A$1:$I$89,3,0)*VLOOKUP('Données projet'!$B$9,Paramètres!$A$1:$I$89,5,0)</f>
        <v>-1.8089849618263545E-13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394.70330963327166</v>
      </c>
      <c r="T131" s="62">
        <f t="shared" si="88"/>
        <v>424.06445894109982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projet'!$B$10,Paramètres!$A$1:$I$89,3,0)*VLOOKUP('Données projet'!$B$10,Paramètres!$A$1:$I$89,5,0)</f>
        <v>4.6111381379887463E-14</v>
      </c>
      <c r="AK131" s="14">
        <f t="shared" si="89"/>
        <v>7.5804141040779151E-13</v>
      </c>
      <c r="AL131" s="22">
        <f t="shared" si="58"/>
        <v>1.4005661123635408E-12</v>
      </c>
      <c r="AM131" s="62">
        <f t="shared" si="59"/>
        <v>283.57463709856995</v>
      </c>
      <c r="AN131" s="62">
        <f ca="1">AVERAGE(OFFSET($AM$3,0,0,'Données projet'!$E$10+1,1))-AVERAGE(OFFSET($H$3,0,0,'Données projet'!$E$10+1,1))</f>
        <v>319.39055628111151</v>
      </c>
      <c r="AO131" s="62">
        <f t="shared" si="90"/>
        <v>312.22190035638084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-1.1368683772161603E-13</v>
      </c>
      <c r="BE131" s="14">
        <f>BD131*VLOOKUP('Données projet'!$B$11,Paramètres!$A$1:$I$89,3,0)*VLOOKUP('Données projet'!$B$11,Paramètres!$A$1:$I$89,5,0)</f>
        <v>-8.3355189417488869E-14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257.906524944431</v>
      </c>
      <c r="BJ131" s="62">
        <f t="shared" si="92"/>
        <v>274.70390601173563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-1.1368683772161603E-13</v>
      </c>
      <c r="BZ131" s="14">
        <f>BY131*VLOOKUP('Données projet'!$B$12,Paramètres!$A$1:$I$89,3,0)*VLOOKUP('Données projet'!$B$12,Paramètres!$A$1:$I$89,5,0)</f>
        <v>-9.2222762759774927E-14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272.69564942740931</v>
      </c>
      <c r="CE131" s="62">
        <f t="shared" si="94"/>
        <v>316.57989180609252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-2.8421709430404007E-13</v>
      </c>
      <c r="CU131" s="18">
        <f>CT131*VLOOKUP('Données projet'!$B$13,Paramètres!$A$1:$I$89,3,0)*VLOOKUP('Données projet'!$B$13,Paramètres!$A$1:$I$89,5,0)</f>
        <v>-2.7046098693972454E-13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491.87038198656927</v>
      </c>
      <c r="CZ131" s="62">
        <f t="shared" si="96"/>
        <v>406.49261644949559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4.2</v>
      </c>
      <c r="DO131" s="13">
        <f>IF('Données projet'!$A$166&gt;35,DO130+DN131-DW130,IF(A131&lt;'Données projet'!$A$166,$DL$205^A131,IF(A131='Données projet'!$A$166,'Données projet'!$B$166,DO130+DN131-DW130)))</f>
        <v>385.5999999999998</v>
      </c>
      <c r="DP131" s="18">
        <f>DO131*VLOOKUP('Données projet'!$B$14,Paramètres!$A$1:$I$89,3,0)*VLOOKUP('Données projet'!$B$14,Paramètres!$A$1:$I$89,5,0)</f>
        <v>372.95231999999982</v>
      </c>
      <c r="DQ131" s="14">
        <f t="shared" si="97"/>
        <v>86.271019898489143</v>
      </c>
      <c r="DR131" s="22">
        <f t="shared" si="70"/>
        <v>799.81398365653479</v>
      </c>
      <c r="DS131" s="62">
        <f t="shared" si="71"/>
        <v>1083.3886207551034</v>
      </c>
      <c r="DT131" s="62">
        <f ca="1">AVERAGE(OFFSET($DS$3,0,0,'Données projet'!$E$14+1,1))-AVERAGE(OFFSET($H$3,0,0,'Données projet'!$E$14+1,1))</f>
        <v>603.52431522262032</v>
      </c>
      <c r="DU131" s="62">
        <f t="shared" si="98"/>
        <v>313.56299786481338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-3.4106051316484809E-13</v>
      </c>
      <c r="EK131" s="18">
        <f>EJ131*VLOOKUP('Données projet'!$B$15,Paramètres!$A$1:$I$89,3,0)*VLOOKUP('Données projet'!$B$15,Paramètres!$A$1:$I$89,5,0)</f>
        <v>-2.7134774427395314E-13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450.93388191845378</v>
      </c>
      <c r="EP131" s="62">
        <f t="shared" si="100"/>
        <v>483.33635017129325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5.6843418860808015E-14</v>
      </c>
      <c r="FF131" s="18">
        <f>FE131*VLOOKUP('Données projet'!$B$16,Paramètres!$A$1:$I$89,3,0)*VLOOKUP('Données projet'!$B$16,Paramètres!$A$1:$I$89,5,0)</f>
        <v>4.4337866711430253E-14</v>
      </c>
      <c r="FG131" s="14">
        <f t="shared" si="101"/>
        <v>7.3222115536967035E-13</v>
      </c>
      <c r="FH131" s="22">
        <f t="shared" si="76"/>
        <v>1.3525069634579169E-12</v>
      </c>
      <c r="FI131" s="62">
        <f t="shared" si="77"/>
        <v>283.57463709856989</v>
      </c>
      <c r="FJ131" s="62">
        <f ca="1">AVERAGE(OFFSET($FI$3,0,0,'Données projet'!$E$16+1,1))-AVERAGE(OFFSET($H$3,0,0,'Données projet'!$E$16+1,1))</f>
        <v>309.21625451786218</v>
      </c>
      <c r="FK131" s="62">
        <f t="shared" si="102"/>
        <v>302.59481222418219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-2.2737367544323206E-13</v>
      </c>
      <c r="O132" s="14">
        <f>N132*VLOOKUP('Données projet'!$B$9,Paramètres!$A$1:$I$89,3,0)*VLOOKUP('Données projet'!$B$9,Paramètres!$A$1:$I$89,5,0)</f>
        <v>-1.8089849618263545E-13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394.70330963327166</v>
      </c>
      <c r="T132" s="62">
        <f t="shared" si="88"/>
        <v>424.06445894109982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projet'!$B$10,Paramètres!$A$1:$I$89,3,0)*VLOOKUP('Données projet'!$B$10,Paramètres!$A$1:$I$89,5,0)</f>
        <v>4.6111381379887463E-14</v>
      </c>
      <c r="AK132" s="14">
        <f t="shared" si="89"/>
        <v>7.5804141040779151E-13</v>
      </c>
      <c r="AL132" s="22">
        <f t="shared" ref="AL132:AL153" si="112">(AJ132+AK132)*0.475*44/12</f>
        <v>1.4005661123635408E-12</v>
      </c>
      <c r="AM132" s="62">
        <f t="shared" ref="AM132:AM195" si="113">AL132+(AD132+AE132)*44/12</f>
        <v>283.74392866106678</v>
      </c>
      <c r="AN132" s="62">
        <f ca="1">AVERAGE(OFFSET($AM$3,0,0,'Données projet'!$E$10+1,1))-AVERAGE(OFFSET($H$3,0,0,'Données projet'!$E$10+1,1))</f>
        <v>319.39055628111151</v>
      </c>
      <c r="AO132" s="62">
        <f t="shared" si="90"/>
        <v>312.22190035638084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-1.1368683772161603E-13</v>
      </c>
      <c r="BE132" s="14">
        <f>BD132*VLOOKUP('Données projet'!$B$11,Paramètres!$A$1:$I$89,3,0)*VLOOKUP('Données projet'!$B$11,Paramètres!$A$1:$I$89,5,0)</f>
        <v>-8.3355189417488869E-14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257.906524944431</v>
      </c>
      <c r="BJ132" s="62">
        <f t="shared" si="92"/>
        <v>274.70390601173563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-1.1368683772161603E-13</v>
      </c>
      <c r="BZ132" s="14">
        <f>BY132*VLOOKUP('Données projet'!$B$12,Paramètres!$A$1:$I$89,3,0)*VLOOKUP('Données projet'!$B$12,Paramètres!$A$1:$I$89,5,0)</f>
        <v>-9.2222762759774927E-14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272.69564942740931</v>
      </c>
      <c r="CE132" s="62">
        <f t="shared" si="94"/>
        <v>316.57989180609252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-2.8421709430404007E-13</v>
      </c>
      <c r="CU132" s="18">
        <f>CT132*VLOOKUP('Données projet'!$B$13,Paramètres!$A$1:$I$89,3,0)*VLOOKUP('Données projet'!$B$13,Paramètres!$A$1:$I$89,5,0)</f>
        <v>-2.7046098693972454E-13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491.87038198656927</v>
      </c>
      <c r="CZ132" s="62">
        <f t="shared" si="96"/>
        <v>406.49261644949559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4.2</v>
      </c>
      <c r="DO132" s="13">
        <f>IF('Données projet'!$A$166&gt;35,DO131+DN132-DW131,IF(A132&lt;'Données projet'!$A$166,$DL$205^A132,IF(A132='Données projet'!$A$166,'Données projet'!$B$166,DO131+DN132-DW131)))</f>
        <v>389.79999999999978</v>
      </c>
      <c r="DP132" s="18">
        <f>DO132*VLOOKUP('Données projet'!$B$14,Paramètres!$A$1:$I$89,3,0)*VLOOKUP('Données projet'!$B$14,Paramètres!$A$1:$I$89,5,0)</f>
        <v>377.01455999999979</v>
      </c>
      <c r="DQ132" s="14">
        <f t="shared" si="97"/>
        <v>87.100791599146149</v>
      </c>
      <c r="DR132" s="22">
        <f t="shared" ref="DR132:DR153" si="124">(DP132+DQ132)*0.475*44/12</f>
        <v>808.33423736851239</v>
      </c>
      <c r="DS132" s="62">
        <f t="shared" ref="DS132:DS195" si="125">DR132+(DJ132+DK132)*44/12</f>
        <v>1092.0781660295777</v>
      </c>
      <c r="DT132" s="62">
        <f ca="1">AVERAGE(OFFSET($DS$3,0,0,'Données projet'!$E$14+1,1))-AVERAGE(OFFSET($H$3,0,0,'Données projet'!$E$14+1,1))</f>
        <v>603.52431522262032</v>
      </c>
      <c r="DU132" s="62">
        <f t="shared" si="98"/>
        <v>313.56299786481338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-3.4106051316484809E-13</v>
      </c>
      <c r="EK132" s="18">
        <f>EJ132*VLOOKUP('Données projet'!$B$15,Paramètres!$A$1:$I$89,3,0)*VLOOKUP('Données projet'!$B$15,Paramètres!$A$1:$I$89,5,0)</f>
        <v>-2.7134774427395314E-13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450.93388191845378</v>
      </c>
      <c r="EP132" s="62">
        <f t="shared" si="100"/>
        <v>483.33635017129325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5.6843418860808015E-14</v>
      </c>
      <c r="FF132" s="18">
        <f>FE132*VLOOKUP('Données projet'!$B$16,Paramètres!$A$1:$I$89,3,0)*VLOOKUP('Données projet'!$B$16,Paramètres!$A$1:$I$89,5,0)</f>
        <v>4.4337866711430253E-14</v>
      </c>
      <c r="FG132" s="14">
        <f t="shared" si="101"/>
        <v>7.3222115536967035E-13</v>
      </c>
      <c r="FH132" s="22">
        <f t="shared" ref="FH132:FH153" si="130">(FF132+FG132)*0.475*44/12</f>
        <v>1.3525069634579169E-12</v>
      </c>
      <c r="FI132" s="62">
        <f t="shared" ref="FI132:FI195" si="131">FH132+(EZ132+FA132)*44/12</f>
        <v>283.74392866106672</v>
      </c>
      <c r="FJ132" s="62">
        <f ca="1">AVERAGE(OFFSET($FI$3,0,0,'Données projet'!$E$16+1,1))-AVERAGE(OFFSET($H$3,0,0,'Données projet'!$E$16+1,1))</f>
        <v>309.21625451786218</v>
      </c>
      <c r="FK132" s="62">
        <f t="shared" si="102"/>
        <v>302.59481222418219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-2.2737367544323206E-13</v>
      </c>
      <c r="O133" s="14">
        <f>N133*VLOOKUP('Données projet'!$B$9,Paramètres!$A$1:$I$89,3,0)*VLOOKUP('Données projet'!$B$9,Paramètres!$A$1:$I$89,5,0)</f>
        <v>-1.8089849618263545E-13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394.70330963327166</v>
      </c>
      <c r="T133" s="62">
        <f t="shared" ref="T133:T196" si="142">$T$3</f>
        <v>424.06445894109982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projet'!$B$10,Paramètres!$A$1:$I$89,3,0)*VLOOKUP('Données projet'!$B$10,Paramètres!$A$1:$I$89,5,0)</f>
        <v>4.6111381379887463E-14</v>
      </c>
      <c r="AK133" s="14">
        <f t="shared" ref="AK133:AK153" si="143">EXP(-1.0587+0.8836*LN(AJ133)+0.284)</f>
        <v>7.5804141040779151E-13</v>
      </c>
      <c r="AL133" s="22">
        <f t="shared" si="112"/>
        <v>1.4005661123635408E-12</v>
      </c>
      <c r="AM133" s="62">
        <f t="shared" si="113"/>
        <v>283.91028339343353</v>
      </c>
      <c r="AN133" s="62">
        <f ca="1">AVERAGE(OFFSET($AM$3,0,0,'Données projet'!$E$10+1,1))-AVERAGE(OFFSET($H$3,0,0,'Données projet'!$E$10+1,1))</f>
        <v>319.39055628111151</v>
      </c>
      <c r="AO133" s="62">
        <f t="shared" ref="AO133:AO196" si="144">$AO$3</f>
        <v>312.22190035638084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-1.1368683772161603E-13</v>
      </c>
      <c r="BE133" s="14">
        <f>BD133*VLOOKUP('Données projet'!$B$11,Paramètres!$A$1:$I$89,3,0)*VLOOKUP('Données projet'!$B$11,Paramètres!$A$1:$I$89,5,0)</f>
        <v>-8.3355189417488869E-14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257.906524944431</v>
      </c>
      <c r="BJ133" s="62">
        <f t="shared" ref="BJ133:BJ196" si="146">$BJ$3</f>
        <v>274.70390601173563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-1.1368683772161603E-13</v>
      </c>
      <c r="BZ133" s="14">
        <f>BY133*VLOOKUP('Données projet'!$B$12,Paramètres!$A$1:$I$89,3,0)*VLOOKUP('Données projet'!$B$12,Paramètres!$A$1:$I$89,5,0)</f>
        <v>-9.2222762759774927E-14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272.69564942740931</v>
      </c>
      <c r="CE133" s="62">
        <f t="shared" ref="CE133:CE196" si="148">$CE$3</f>
        <v>316.57989180609252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-2.8421709430404007E-13</v>
      </c>
      <c r="CU133" s="18">
        <f>CT133*VLOOKUP('Données projet'!$B$13,Paramètres!$A$1:$I$89,3,0)*VLOOKUP('Données projet'!$B$13,Paramètres!$A$1:$I$89,5,0)</f>
        <v>-2.7046098693972454E-13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491.87038198656927</v>
      </c>
      <c r="CZ133" s="62">
        <f t="shared" ref="CZ133:CZ196" si="150">$CZ$3</f>
        <v>406.49261644949559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>
        <f>VLOOKUP(A133,'Données projet'!$A$165:$I$185,2,0)</f>
        <v>394</v>
      </c>
      <c r="DM133" s="13">
        <f>VLOOKUP(A133,'Données projet'!$A$165:$I$185,9,0)</f>
        <v>4.2</v>
      </c>
      <c r="DN133" s="13">
        <f t="array" ref="DN133">INDEX(DM:DM,MIN(IF(ISNUMBER(DM133:DM329),ROW(DM133:DM329),"")))</f>
        <v>4.2</v>
      </c>
      <c r="DO133" s="13">
        <f>IF('Données projet'!$A$166&gt;35,DO132+DN133-DW132,IF(A133&lt;'Données projet'!$A$166,$DL$205^A133,IF(A133='Données projet'!$A$166,'Données projet'!$B$166,DO132+DN133-DW132)))</f>
        <v>393.99999999999977</v>
      </c>
      <c r="DP133" s="18">
        <f>DO133*VLOOKUP('Données projet'!$B$14,Paramètres!$A$1:$I$89,3,0)*VLOOKUP('Données projet'!$B$14,Paramètres!$A$1:$I$89,5,0)</f>
        <v>381.07679999999982</v>
      </c>
      <c r="DQ133" s="14">
        <f t="shared" ref="DQ133:DQ153" si="151">EXP(-1.0587+0.8836*LN(DP133)+0.284)</f>
        <v>87.929523246425944</v>
      </c>
      <c r="DR133" s="22">
        <f t="shared" si="124"/>
        <v>816.85267965419155</v>
      </c>
      <c r="DS133" s="62">
        <f t="shared" si="125"/>
        <v>1100.7629630476235</v>
      </c>
      <c r="DT133" s="62">
        <f ca="1">AVERAGE(OFFSET($DS$3,0,0,'Données projet'!$E$14+1,1))-AVERAGE(OFFSET($H$3,0,0,'Données projet'!$E$14+1,1))</f>
        <v>603.52431522262032</v>
      </c>
      <c r="DU133" s="62">
        <f t="shared" ref="DU133:DU196" si="152">$DU$3</f>
        <v>313.56299786481338</v>
      </c>
      <c r="DV133" s="16">
        <f>IF(ISNA(VLOOKUP(A133,'Données projet'!$A$165:$I$185,3,0)),0,VLOOKUP(A133,'Données projet'!$A$165:$I$185,3,0))</f>
        <v>9</v>
      </c>
      <c r="DW133" s="16">
        <f>IF(ISNA(VLOOKUP(A133,'Données projet'!$A$165:$I$185,4,0)),0,VLOOKUP(A133,'Données projet'!$A$165:$I$185,4,0))</f>
        <v>91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-3.4106051316484809E-13</v>
      </c>
      <c r="EK133" s="18">
        <f>EJ133*VLOOKUP('Données projet'!$B$15,Paramètres!$A$1:$I$89,3,0)*VLOOKUP('Données projet'!$B$15,Paramètres!$A$1:$I$89,5,0)</f>
        <v>-2.7134774427395314E-13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450.93388191845378</v>
      </c>
      <c r="EP133" s="62">
        <f t="shared" ref="EP133:EP196" si="154">$EP$3</f>
        <v>483.33635017129325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5.6843418860808015E-14</v>
      </c>
      <c r="FF133" s="18">
        <f>FE133*VLOOKUP('Données projet'!$B$16,Paramètres!$A$1:$I$89,3,0)*VLOOKUP('Données projet'!$B$16,Paramètres!$A$1:$I$89,5,0)</f>
        <v>4.4337866711430253E-14</v>
      </c>
      <c r="FG133" s="14">
        <f t="shared" ref="FG133:FG153" si="155">EXP(-1.0587+0.8836*LN(FF133)+0.284)</f>
        <v>7.3222115536967035E-13</v>
      </c>
      <c r="FH133" s="22">
        <f t="shared" si="130"/>
        <v>1.3525069634579169E-12</v>
      </c>
      <c r="FI133" s="62">
        <f t="shared" si="131"/>
        <v>283.91028339343347</v>
      </c>
      <c r="FJ133" s="62">
        <f ca="1">AVERAGE(OFFSET($FI$3,0,0,'Données projet'!$E$16+1,1))-AVERAGE(OFFSET($H$3,0,0,'Données projet'!$E$16+1,1))</f>
        <v>309.21625451786218</v>
      </c>
      <c r="FK133" s="62">
        <f t="shared" ref="FK133:FK196" si="156">$FK$3</f>
        <v>302.59481222418219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-2.2737367544323206E-13</v>
      </c>
      <c r="O134" s="14">
        <f>N134*VLOOKUP('Données projet'!$B$9,Paramètres!$A$1:$I$89,3,0)*VLOOKUP('Données projet'!$B$9,Paramètres!$A$1:$I$89,5,0)</f>
        <v>-1.8089849618263545E-13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394.70330963327166</v>
      </c>
      <c r="T134" s="62">
        <f t="shared" si="142"/>
        <v>424.06445894109982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projet'!$B$10,Paramètres!$A$1:$I$89,3,0)*VLOOKUP('Données projet'!$B$10,Paramètres!$A$1:$I$89,5,0)</f>
        <v>4.6111381379887463E-14</v>
      </c>
      <c r="AK134" s="14">
        <f t="shared" si="143"/>
        <v>7.5804141040779151E-13</v>
      </c>
      <c r="AL134" s="22">
        <f t="shared" si="112"/>
        <v>1.4005661123635408E-12</v>
      </c>
      <c r="AM134" s="62">
        <f t="shared" si="113"/>
        <v>284.07375224310715</v>
      </c>
      <c r="AN134" s="62">
        <f ca="1">AVERAGE(OFFSET($AM$3,0,0,'Données projet'!$E$10+1,1))-AVERAGE(OFFSET($H$3,0,0,'Données projet'!$E$10+1,1))</f>
        <v>319.39055628111151</v>
      </c>
      <c r="AO134" s="62">
        <f t="shared" si="144"/>
        <v>312.22190035638084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-1.1368683772161603E-13</v>
      </c>
      <c r="BE134" s="14">
        <f>BD134*VLOOKUP('Données projet'!$B$11,Paramètres!$A$1:$I$89,3,0)*VLOOKUP('Données projet'!$B$11,Paramètres!$A$1:$I$89,5,0)</f>
        <v>-8.3355189417488869E-14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257.906524944431</v>
      </c>
      <c r="BJ134" s="62">
        <f t="shared" si="146"/>
        <v>274.70390601173563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-1.1368683772161603E-13</v>
      </c>
      <c r="BZ134" s="14">
        <f>BY134*VLOOKUP('Données projet'!$B$12,Paramètres!$A$1:$I$89,3,0)*VLOOKUP('Données projet'!$B$12,Paramètres!$A$1:$I$89,5,0)</f>
        <v>-9.2222762759774927E-14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272.69564942740931</v>
      </c>
      <c r="CE134" s="62">
        <f t="shared" si="148"/>
        <v>316.57989180609252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-2.8421709430404007E-13</v>
      </c>
      <c r="CU134" s="18">
        <f>CT134*VLOOKUP('Données projet'!$B$13,Paramètres!$A$1:$I$89,3,0)*VLOOKUP('Données projet'!$B$13,Paramètres!$A$1:$I$89,5,0)</f>
        <v>-2.7046098693972454E-13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491.87038198656927</v>
      </c>
      <c r="CZ134" s="62">
        <f t="shared" si="150"/>
        <v>406.49261644949559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3.8</v>
      </c>
      <c r="DO134" s="13">
        <f>IF('Données projet'!$A$166&gt;35,DO133+DN134-DW133,IF(A134&lt;'Données projet'!$A$166,$DL$205^A134,IF(A134='Données projet'!$A$166,'Données projet'!$B$166,DO133+DN134-DW133)))</f>
        <v>306.79999999999978</v>
      </c>
      <c r="DP134" s="18">
        <f>DO134*VLOOKUP('Données projet'!$B$14,Paramètres!$A$1:$I$89,3,0)*VLOOKUP('Données projet'!$B$14,Paramètres!$A$1:$I$89,5,0)</f>
        <v>296.73695999999978</v>
      </c>
      <c r="DQ134" s="14">
        <f t="shared" si="151"/>
        <v>70.491970164645096</v>
      </c>
      <c r="DR134" s="22">
        <f t="shared" si="124"/>
        <v>639.59038670342318</v>
      </c>
      <c r="DS134" s="62">
        <f t="shared" si="125"/>
        <v>923.66413894652896</v>
      </c>
      <c r="DT134" s="62">
        <f ca="1">AVERAGE(OFFSET($DS$3,0,0,'Données projet'!$E$14+1,1))-AVERAGE(OFFSET($H$3,0,0,'Données projet'!$E$14+1,1))</f>
        <v>603.52431522262032</v>
      </c>
      <c r="DU134" s="62">
        <f t="shared" si="152"/>
        <v>313.56299786481338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-3.4106051316484809E-13</v>
      </c>
      <c r="EK134" s="18">
        <f>EJ134*VLOOKUP('Données projet'!$B$15,Paramètres!$A$1:$I$89,3,0)*VLOOKUP('Données projet'!$B$15,Paramètres!$A$1:$I$89,5,0)</f>
        <v>-2.7134774427395314E-13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450.93388191845378</v>
      </c>
      <c r="EP134" s="62">
        <f t="shared" si="154"/>
        <v>483.33635017129325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5.6843418860808015E-14</v>
      </c>
      <c r="FF134" s="18">
        <f>FE134*VLOOKUP('Données projet'!$B$16,Paramètres!$A$1:$I$89,3,0)*VLOOKUP('Données projet'!$B$16,Paramètres!$A$1:$I$89,5,0)</f>
        <v>4.4337866711430253E-14</v>
      </c>
      <c r="FG134" s="14">
        <f t="shared" si="155"/>
        <v>7.3222115536967035E-13</v>
      </c>
      <c r="FH134" s="22">
        <f t="shared" si="130"/>
        <v>1.3525069634579169E-12</v>
      </c>
      <c r="FI134" s="62">
        <f t="shared" si="131"/>
        <v>284.07375224310709</v>
      </c>
      <c r="FJ134" s="62">
        <f ca="1">AVERAGE(OFFSET($FI$3,0,0,'Données projet'!$E$16+1,1))-AVERAGE(OFFSET($H$3,0,0,'Données projet'!$E$16+1,1))</f>
        <v>309.21625451786218</v>
      </c>
      <c r="FK134" s="62">
        <f t="shared" si="156"/>
        <v>302.59481222418219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-2.2737367544323206E-13</v>
      </c>
      <c r="O135" s="14">
        <f>N135*VLOOKUP('Données projet'!$B$9,Paramètres!$A$1:$I$89,3,0)*VLOOKUP('Données projet'!$B$9,Paramètres!$A$1:$I$89,5,0)</f>
        <v>-1.8089849618263545E-13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394.70330963327166</v>
      </c>
      <c r="T135" s="62">
        <f t="shared" si="142"/>
        <v>424.06445894109982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projet'!$B$10,Paramètres!$A$1:$I$89,3,0)*VLOOKUP('Données projet'!$B$10,Paramètres!$A$1:$I$89,5,0)</f>
        <v>4.6111381379887463E-14</v>
      </c>
      <c r="AK135" s="14">
        <f t="shared" si="143"/>
        <v>7.5804141040779151E-13</v>
      </c>
      <c r="AL135" s="22">
        <f t="shared" si="112"/>
        <v>1.4005661123635408E-12</v>
      </c>
      <c r="AM135" s="62">
        <f t="shared" si="113"/>
        <v>284.23438527370058</v>
      </c>
      <c r="AN135" s="62">
        <f ca="1">AVERAGE(OFFSET($AM$3,0,0,'Données projet'!$E$10+1,1))-AVERAGE(OFFSET($H$3,0,0,'Données projet'!$E$10+1,1))</f>
        <v>319.39055628111151</v>
      </c>
      <c r="AO135" s="62">
        <f t="shared" si="144"/>
        <v>312.22190035638084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-1.1368683772161603E-13</v>
      </c>
      <c r="BE135" s="14">
        <f>BD135*VLOOKUP('Données projet'!$B$11,Paramètres!$A$1:$I$89,3,0)*VLOOKUP('Données projet'!$B$11,Paramètres!$A$1:$I$89,5,0)</f>
        <v>-8.3355189417488869E-14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257.906524944431</v>
      </c>
      <c r="BJ135" s="62">
        <f t="shared" si="146"/>
        <v>274.70390601173563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-1.1368683772161603E-13</v>
      </c>
      <c r="BZ135" s="14">
        <f>BY135*VLOOKUP('Données projet'!$B$12,Paramètres!$A$1:$I$89,3,0)*VLOOKUP('Données projet'!$B$12,Paramètres!$A$1:$I$89,5,0)</f>
        <v>-9.2222762759774927E-14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272.69564942740931</v>
      </c>
      <c r="CE135" s="62">
        <f t="shared" si="148"/>
        <v>316.57989180609252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-2.8421709430404007E-13</v>
      </c>
      <c r="CU135" s="18">
        <f>CT135*VLOOKUP('Données projet'!$B$13,Paramètres!$A$1:$I$89,3,0)*VLOOKUP('Données projet'!$B$13,Paramètres!$A$1:$I$89,5,0)</f>
        <v>-2.7046098693972454E-13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491.87038198656927</v>
      </c>
      <c r="CZ135" s="62">
        <f t="shared" si="150"/>
        <v>406.49261644949559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3.8</v>
      </c>
      <c r="DO135" s="13">
        <f>IF('Données projet'!$A$166&gt;35,DO134+DN135-DW134,IF(A135&lt;'Données projet'!$A$166,$DL$205^A135,IF(A135='Données projet'!$A$166,'Données projet'!$B$166,DO134+DN135-DW134)))</f>
        <v>310.5999999999998</v>
      </c>
      <c r="DP135" s="18">
        <f>DO135*VLOOKUP('Données projet'!$B$14,Paramètres!$A$1:$I$89,3,0)*VLOOKUP('Données projet'!$B$14,Paramètres!$A$1:$I$89,5,0)</f>
        <v>300.4123199999998</v>
      </c>
      <c r="DQ135" s="14">
        <f t="shared" si="151"/>
        <v>71.262894674416614</v>
      </c>
      <c r="DR135" s="22">
        <f t="shared" si="124"/>
        <v>647.33433222460849</v>
      </c>
      <c r="DS135" s="62">
        <f t="shared" si="125"/>
        <v>931.56871749830771</v>
      </c>
      <c r="DT135" s="62">
        <f ca="1">AVERAGE(OFFSET($DS$3,0,0,'Données projet'!$E$14+1,1))-AVERAGE(OFFSET($H$3,0,0,'Données projet'!$E$14+1,1))</f>
        <v>603.52431522262032</v>
      </c>
      <c r="DU135" s="62">
        <f t="shared" si="152"/>
        <v>313.56299786481338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-3.4106051316484809E-13</v>
      </c>
      <c r="EK135" s="18">
        <f>EJ135*VLOOKUP('Données projet'!$B$15,Paramètres!$A$1:$I$89,3,0)*VLOOKUP('Données projet'!$B$15,Paramètres!$A$1:$I$89,5,0)</f>
        <v>-2.7134774427395314E-13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450.93388191845378</v>
      </c>
      <c r="EP135" s="62">
        <f t="shared" si="154"/>
        <v>483.33635017129325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5.6843418860808015E-14</v>
      </c>
      <c r="FF135" s="18">
        <f>FE135*VLOOKUP('Données projet'!$B$16,Paramètres!$A$1:$I$89,3,0)*VLOOKUP('Données projet'!$B$16,Paramètres!$A$1:$I$89,5,0)</f>
        <v>4.4337866711430253E-14</v>
      </c>
      <c r="FG135" s="14">
        <f t="shared" si="155"/>
        <v>7.3222115536967035E-13</v>
      </c>
      <c r="FH135" s="22">
        <f t="shared" si="130"/>
        <v>1.3525069634579169E-12</v>
      </c>
      <c r="FI135" s="62">
        <f t="shared" si="131"/>
        <v>284.23438527370052</v>
      </c>
      <c r="FJ135" s="62">
        <f ca="1">AVERAGE(OFFSET($FI$3,0,0,'Données projet'!$E$16+1,1))-AVERAGE(OFFSET($H$3,0,0,'Données projet'!$E$16+1,1))</f>
        <v>309.21625451786218</v>
      </c>
      <c r="FK135" s="62">
        <f t="shared" si="156"/>
        <v>302.59481222418219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-2.2737367544323206E-13</v>
      </c>
      <c r="O136" s="14">
        <f>N136*VLOOKUP('Données projet'!$B$9,Paramètres!$A$1:$I$89,3,0)*VLOOKUP('Données projet'!$B$9,Paramètres!$A$1:$I$89,5,0)</f>
        <v>-1.8089849618263545E-13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394.70330963327166</v>
      </c>
      <c r="T136" s="62">
        <f t="shared" si="142"/>
        <v>424.06445894109982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projet'!$B$10,Paramètres!$A$1:$I$89,3,0)*VLOOKUP('Données projet'!$B$10,Paramètres!$A$1:$I$89,5,0)</f>
        <v>4.6111381379887463E-14</v>
      </c>
      <c r="AK136" s="14">
        <f t="shared" si="143"/>
        <v>7.5804141040779151E-13</v>
      </c>
      <c r="AL136" s="22">
        <f t="shared" si="112"/>
        <v>1.4005661123635408E-12</v>
      </c>
      <c r="AM136" s="62">
        <f t="shared" si="113"/>
        <v>284.39223168033482</v>
      </c>
      <c r="AN136" s="62">
        <f ca="1">AVERAGE(OFFSET($AM$3,0,0,'Données projet'!$E$10+1,1))-AVERAGE(OFFSET($H$3,0,0,'Données projet'!$E$10+1,1))</f>
        <v>319.39055628111151</v>
      </c>
      <c r="AO136" s="62">
        <f t="shared" si="144"/>
        <v>312.22190035638084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-1.1368683772161603E-13</v>
      </c>
      <c r="BE136" s="14">
        <f>BD136*VLOOKUP('Données projet'!$B$11,Paramètres!$A$1:$I$89,3,0)*VLOOKUP('Données projet'!$B$11,Paramètres!$A$1:$I$89,5,0)</f>
        <v>-8.3355189417488869E-14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257.906524944431</v>
      </c>
      <c r="BJ136" s="62">
        <f t="shared" si="146"/>
        <v>274.70390601173563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-1.1368683772161603E-13</v>
      </c>
      <c r="BZ136" s="14">
        <f>BY136*VLOOKUP('Données projet'!$B$12,Paramètres!$A$1:$I$89,3,0)*VLOOKUP('Données projet'!$B$12,Paramètres!$A$1:$I$89,5,0)</f>
        <v>-9.2222762759774927E-14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272.69564942740931</v>
      </c>
      <c r="CE136" s="62">
        <f t="shared" si="148"/>
        <v>316.57989180609252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-2.8421709430404007E-13</v>
      </c>
      <c r="CU136" s="18">
        <f>CT136*VLOOKUP('Données projet'!$B$13,Paramètres!$A$1:$I$89,3,0)*VLOOKUP('Données projet'!$B$13,Paramètres!$A$1:$I$89,5,0)</f>
        <v>-2.7046098693972454E-13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491.87038198656927</v>
      </c>
      <c r="CZ136" s="62">
        <f t="shared" si="150"/>
        <v>406.49261644949559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3.8</v>
      </c>
      <c r="DO136" s="13">
        <f>IF('Données projet'!$A$166&gt;35,DO135+DN136-DW135,IF(A136&lt;'Données projet'!$A$166,$DL$205^A136,IF(A136='Données projet'!$A$166,'Données projet'!$B$166,DO135+DN136-DW135)))</f>
        <v>314.39999999999981</v>
      </c>
      <c r="DP136" s="18">
        <f>DO136*VLOOKUP('Données projet'!$B$14,Paramètres!$A$1:$I$89,3,0)*VLOOKUP('Données projet'!$B$14,Paramètres!$A$1:$I$89,5,0)</f>
        <v>304.08767999999981</v>
      </c>
      <c r="DQ136" s="14">
        <f t="shared" si="151"/>
        <v>72.032722076553924</v>
      </c>
      <c r="DR136" s="22">
        <f t="shared" si="124"/>
        <v>655.07636694999781</v>
      </c>
      <c r="DS136" s="62">
        <f t="shared" si="125"/>
        <v>939.46859863033114</v>
      </c>
      <c r="DT136" s="62">
        <f ca="1">AVERAGE(OFFSET($DS$3,0,0,'Données projet'!$E$14+1,1))-AVERAGE(OFFSET($H$3,0,0,'Données projet'!$E$14+1,1))</f>
        <v>603.52431522262032</v>
      </c>
      <c r="DU136" s="62">
        <f t="shared" si="152"/>
        <v>313.56299786481338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-3.4106051316484809E-13</v>
      </c>
      <c r="EK136" s="18">
        <f>EJ136*VLOOKUP('Données projet'!$B$15,Paramètres!$A$1:$I$89,3,0)*VLOOKUP('Données projet'!$B$15,Paramètres!$A$1:$I$89,5,0)</f>
        <v>-2.7134774427395314E-13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450.93388191845378</v>
      </c>
      <c r="EP136" s="62">
        <f t="shared" si="154"/>
        <v>483.33635017129325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5.6843418860808015E-14</v>
      </c>
      <c r="FF136" s="18">
        <f>FE136*VLOOKUP('Données projet'!$B$16,Paramètres!$A$1:$I$89,3,0)*VLOOKUP('Données projet'!$B$16,Paramètres!$A$1:$I$89,5,0)</f>
        <v>4.4337866711430253E-14</v>
      </c>
      <c r="FG136" s="14">
        <f t="shared" si="155"/>
        <v>7.3222115536967035E-13</v>
      </c>
      <c r="FH136" s="22">
        <f t="shared" si="130"/>
        <v>1.3525069634579169E-12</v>
      </c>
      <c r="FI136" s="62">
        <f t="shared" si="131"/>
        <v>284.39223168033476</v>
      </c>
      <c r="FJ136" s="62">
        <f ca="1">AVERAGE(OFFSET($FI$3,0,0,'Données projet'!$E$16+1,1))-AVERAGE(OFFSET($H$3,0,0,'Données projet'!$E$16+1,1))</f>
        <v>309.21625451786218</v>
      </c>
      <c r="FK136" s="62">
        <f t="shared" si="156"/>
        <v>302.59481222418219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-2.2737367544323206E-13</v>
      </c>
      <c r="O137" s="14">
        <f>N137*VLOOKUP('Données projet'!$B$9,Paramètres!$A$1:$I$89,3,0)*VLOOKUP('Données projet'!$B$9,Paramètres!$A$1:$I$89,5,0)</f>
        <v>-1.8089849618263545E-13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394.70330963327166</v>
      </c>
      <c r="T137" s="62">
        <f t="shared" si="142"/>
        <v>424.06445894109982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projet'!$B$10,Paramètres!$A$1:$I$89,3,0)*VLOOKUP('Données projet'!$B$10,Paramètres!$A$1:$I$89,5,0)</f>
        <v>4.6111381379887463E-14</v>
      </c>
      <c r="AK137" s="14">
        <f t="shared" si="143"/>
        <v>7.5804141040779151E-13</v>
      </c>
      <c r="AL137" s="22">
        <f t="shared" si="112"/>
        <v>1.4005661123635408E-12</v>
      </c>
      <c r="AM137" s="62">
        <f t="shared" si="113"/>
        <v>284.5473398047057</v>
      </c>
      <c r="AN137" s="62">
        <f ca="1">AVERAGE(OFFSET($AM$3,0,0,'Données projet'!$E$10+1,1))-AVERAGE(OFFSET($H$3,0,0,'Données projet'!$E$10+1,1))</f>
        <v>319.39055628111151</v>
      </c>
      <c r="AO137" s="62">
        <f t="shared" si="144"/>
        <v>312.22190035638084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-1.1368683772161603E-13</v>
      </c>
      <c r="BE137" s="14">
        <f>BD137*VLOOKUP('Données projet'!$B$11,Paramètres!$A$1:$I$89,3,0)*VLOOKUP('Données projet'!$B$11,Paramètres!$A$1:$I$89,5,0)</f>
        <v>-8.3355189417488869E-14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257.906524944431</v>
      </c>
      <c r="BJ137" s="62">
        <f t="shared" si="146"/>
        <v>274.70390601173563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-1.1368683772161603E-13</v>
      </c>
      <c r="BZ137" s="14">
        <f>BY137*VLOOKUP('Données projet'!$B$12,Paramètres!$A$1:$I$89,3,0)*VLOOKUP('Données projet'!$B$12,Paramètres!$A$1:$I$89,5,0)</f>
        <v>-9.2222762759774927E-14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272.69564942740931</v>
      </c>
      <c r="CE137" s="62">
        <f t="shared" si="148"/>
        <v>316.57989180609252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-2.8421709430404007E-13</v>
      </c>
      <c r="CU137" s="18">
        <f>CT137*VLOOKUP('Données projet'!$B$13,Paramètres!$A$1:$I$89,3,0)*VLOOKUP('Données projet'!$B$13,Paramètres!$A$1:$I$89,5,0)</f>
        <v>-2.7046098693972454E-13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491.87038198656927</v>
      </c>
      <c r="CZ137" s="62">
        <f t="shared" si="150"/>
        <v>406.49261644949559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3.8</v>
      </c>
      <c r="DO137" s="13">
        <f>IF('Données projet'!$A$166&gt;35,DO136+DN137-DW136,IF(A137&lt;'Données projet'!$A$166,$DL$205^A137,IF(A137='Données projet'!$A$166,'Données projet'!$B$166,DO136+DN137-DW136)))</f>
        <v>318.19999999999982</v>
      </c>
      <c r="DP137" s="18">
        <f>DO137*VLOOKUP('Données projet'!$B$14,Paramètres!$A$1:$I$89,3,0)*VLOOKUP('Données projet'!$B$14,Paramètres!$A$1:$I$89,5,0)</f>
        <v>307.76303999999982</v>
      </c>
      <c r="DQ137" s="14">
        <f t="shared" si="151"/>
        <v>72.801467165067464</v>
      </c>
      <c r="DR137" s="22">
        <f t="shared" si="124"/>
        <v>662.81651664582557</v>
      </c>
      <c r="DS137" s="62">
        <f t="shared" si="125"/>
        <v>947.36385645052985</v>
      </c>
      <c r="DT137" s="62">
        <f ca="1">AVERAGE(OFFSET($DS$3,0,0,'Données projet'!$E$14+1,1))-AVERAGE(OFFSET($H$3,0,0,'Données projet'!$E$14+1,1))</f>
        <v>603.52431522262032</v>
      </c>
      <c r="DU137" s="62">
        <f t="shared" si="152"/>
        <v>313.56299786481338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-3.4106051316484809E-13</v>
      </c>
      <c r="EK137" s="18">
        <f>EJ137*VLOOKUP('Données projet'!$B$15,Paramètres!$A$1:$I$89,3,0)*VLOOKUP('Données projet'!$B$15,Paramètres!$A$1:$I$89,5,0)</f>
        <v>-2.7134774427395314E-13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450.93388191845378</v>
      </c>
      <c r="EP137" s="62">
        <f t="shared" si="154"/>
        <v>483.33635017129325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5.6843418860808015E-14</v>
      </c>
      <c r="FF137" s="18">
        <f>FE137*VLOOKUP('Données projet'!$B$16,Paramètres!$A$1:$I$89,3,0)*VLOOKUP('Données projet'!$B$16,Paramètres!$A$1:$I$89,5,0)</f>
        <v>4.4337866711430253E-14</v>
      </c>
      <c r="FG137" s="14">
        <f t="shared" si="155"/>
        <v>7.3222115536967035E-13</v>
      </c>
      <c r="FH137" s="22">
        <f t="shared" si="130"/>
        <v>1.3525069634579169E-12</v>
      </c>
      <c r="FI137" s="62">
        <f t="shared" si="131"/>
        <v>284.54733980470564</v>
      </c>
      <c r="FJ137" s="62">
        <f ca="1">AVERAGE(OFFSET($FI$3,0,0,'Données projet'!$E$16+1,1))-AVERAGE(OFFSET($H$3,0,0,'Données projet'!$E$16+1,1))</f>
        <v>309.21625451786218</v>
      </c>
      <c r="FK137" s="62">
        <f t="shared" si="156"/>
        <v>302.59481222418219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-2.2737367544323206E-13</v>
      </c>
      <c r="O138" s="14">
        <f>N138*VLOOKUP('Données projet'!$B$9,Paramètres!$A$1:$I$89,3,0)*VLOOKUP('Données projet'!$B$9,Paramètres!$A$1:$I$89,5,0)</f>
        <v>-1.8089849618263545E-13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394.70330963327166</v>
      </c>
      <c r="T138" s="62">
        <f t="shared" si="142"/>
        <v>424.06445894109982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projet'!$B$10,Paramètres!$A$1:$I$89,3,0)*VLOOKUP('Données projet'!$B$10,Paramètres!$A$1:$I$89,5,0)</f>
        <v>4.6111381379887463E-14</v>
      </c>
      <c r="AK138" s="14">
        <f t="shared" si="143"/>
        <v>7.5804141040779151E-13</v>
      </c>
      <c r="AL138" s="22">
        <f t="shared" si="112"/>
        <v>1.4005661123635408E-12</v>
      </c>
      <c r="AM138" s="62">
        <f t="shared" si="113"/>
        <v>284.69975714988857</v>
      </c>
      <c r="AN138" s="62">
        <f ca="1">AVERAGE(OFFSET($AM$3,0,0,'Données projet'!$E$10+1,1))-AVERAGE(OFFSET($H$3,0,0,'Données projet'!$E$10+1,1))</f>
        <v>319.39055628111151</v>
      </c>
      <c r="AO138" s="62">
        <f t="shared" si="144"/>
        <v>312.22190035638084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-1.1368683772161603E-13</v>
      </c>
      <c r="BE138" s="14">
        <f>BD138*VLOOKUP('Données projet'!$B$11,Paramètres!$A$1:$I$89,3,0)*VLOOKUP('Données projet'!$B$11,Paramètres!$A$1:$I$89,5,0)</f>
        <v>-8.3355189417488869E-14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257.906524944431</v>
      </c>
      <c r="BJ138" s="62">
        <f t="shared" si="146"/>
        <v>274.70390601173563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-1.1368683772161603E-13</v>
      </c>
      <c r="BZ138" s="14">
        <f>BY138*VLOOKUP('Données projet'!$B$12,Paramètres!$A$1:$I$89,3,0)*VLOOKUP('Données projet'!$B$12,Paramètres!$A$1:$I$89,5,0)</f>
        <v>-9.2222762759774927E-14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272.69564942740931</v>
      </c>
      <c r="CE138" s="62">
        <f t="shared" si="148"/>
        <v>316.57989180609252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-2.8421709430404007E-13</v>
      </c>
      <c r="CU138" s="18">
        <f>CT138*VLOOKUP('Données projet'!$B$13,Paramètres!$A$1:$I$89,3,0)*VLOOKUP('Données projet'!$B$13,Paramètres!$A$1:$I$89,5,0)</f>
        <v>-2.7046098693972454E-13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491.87038198656927</v>
      </c>
      <c r="CZ138" s="62">
        <f t="shared" si="150"/>
        <v>406.49261644949559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3.8</v>
      </c>
      <c r="DO138" s="13">
        <f>IF('Données projet'!$A$166&gt;35,DO137+DN138-DW137,IF(A138&lt;'Données projet'!$A$166,$DL$205^A138,IF(A138='Données projet'!$A$166,'Données projet'!$B$166,DO137+DN138-DW137)))</f>
        <v>321.99999999999983</v>
      </c>
      <c r="DP138" s="18">
        <f>DO138*VLOOKUP('Données projet'!$B$14,Paramètres!$A$1:$I$89,3,0)*VLOOKUP('Données projet'!$B$14,Paramètres!$A$1:$I$89,5,0)</f>
        <v>311.43839999999983</v>
      </c>
      <c r="DQ138" s="14">
        <f t="shared" si="151"/>
        <v>73.569144360291361</v>
      </c>
      <c r="DR138" s="22">
        <f t="shared" si="124"/>
        <v>670.55480642750706</v>
      </c>
      <c r="DS138" s="62">
        <f t="shared" si="125"/>
        <v>955.25456357739426</v>
      </c>
      <c r="DT138" s="62">
        <f ca="1">AVERAGE(OFFSET($DS$3,0,0,'Données projet'!$E$14+1,1))-AVERAGE(OFFSET($H$3,0,0,'Données projet'!$E$14+1,1))</f>
        <v>603.52431522262032</v>
      </c>
      <c r="DU138" s="62">
        <f t="shared" si="152"/>
        <v>313.56299786481338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-3.4106051316484809E-13</v>
      </c>
      <c r="EK138" s="18">
        <f>EJ138*VLOOKUP('Données projet'!$B$15,Paramètres!$A$1:$I$89,3,0)*VLOOKUP('Données projet'!$B$15,Paramètres!$A$1:$I$89,5,0)</f>
        <v>-2.7134774427395314E-13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450.93388191845378</v>
      </c>
      <c r="EP138" s="62">
        <f t="shared" si="154"/>
        <v>483.33635017129325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5.6843418860808015E-14</v>
      </c>
      <c r="FF138" s="18">
        <f>FE138*VLOOKUP('Données projet'!$B$16,Paramètres!$A$1:$I$89,3,0)*VLOOKUP('Données projet'!$B$16,Paramètres!$A$1:$I$89,5,0)</f>
        <v>4.4337866711430253E-14</v>
      </c>
      <c r="FG138" s="14">
        <f t="shared" si="155"/>
        <v>7.3222115536967035E-13</v>
      </c>
      <c r="FH138" s="22">
        <f t="shared" si="130"/>
        <v>1.3525069634579169E-12</v>
      </c>
      <c r="FI138" s="62">
        <f t="shared" si="131"/>
        <v>284.69975714988851</v>
      </c>
      <c r="FJ138" s="62">
        <f ca="1">AVERAGE(OFFSET($FI$3,0,0,'Données projet'!$E$16+1,1))-AVERAGE(OFFSET($H$3,0,0,'Données projet'!$E$16+1,1))</f>
        <v>309.21625451786218</v>
      </c>
      <c r="FK138" s="62">
        <f t="shared" si="156"/>
        <v>302.59481222418219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-2.2737367544323206E-13</v>
      </c>
      <c r="O139" s="14">
        <f>N139*VLOOKUP('Données projet'!$B$9,Paramètres!$A$1:$I$89,3,0)*VLOOKUP('Données projet'!$B$9,Paramètres!$A$1:$I$89,5,0)</f>
        <v>-1.8089849618263545E-13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394.70330963327166</v>
      </c>
      <c r="T139" s="62">
        <f t="shared" si="142"/>
        <v>424.06445894109982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projet'!$B$10,Paramètres!$A$1:$I$89,3,0)*VLOOKUP('Données projet'!$B$10,Paramètres!$A$1:$I$89,5,0)</f>
        <v>4.6111381379887463E-14</v>
      </c>
      <c r="AK139" s="14">
        <f t="shared" si="143"/>
        <v>7.5804141040779151E-13</v>
      </c>
      <c r="AL139" s="22">
        <f t="shared" si="112"/>
        <v>1.4005661123635408E-12</v>
      </c>
      <c r="AM139" s="62">
        <f t="shared" si="113"/>
        <v>284.84953039488664</v>
      </c>
      <c r="AN139" s="62">
        <f ca="1">AVERAGE(OFFSET($AM$3,0,0,'Données projet'!$E$10+1,1))-AVERAGE(OFFSET($H$3,0,0,'Données projet'!$E$10+1,1))</f>
        <v>319.39055628111151</v>
      </c>
      <c r="AO139" s="62">
        <f t="shared" si="144"/>
        <v>312.22190035638084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-1.1368683772161603E-13</v>
      </c>
      <c r="BE139" s="14">
        <f>BD139*VLOOKUP('Données projet'!$B$11,Paramètres!$A$1:$I$89,3,0)*VLOOKUP('Données projet'!$B$11,Paramètres!$A$1:$I$89,5,0)</f>
        <v>-8.3355189417488869E-14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257.906524944431</v>
      </c>
      <c r="BJ139" s="62">
        <f t="shared" si="146"/>
        <v>274.70390601173563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-1.1368683772161603E-13</v>
      </c>
      <c r="BZ139" s="14">
        <f>BY139*VLOOKUP('Données projet'!$B$12,Paramètres!$A$1:$I$89,3,0)*VLOOKUP('Données projet'!$B$12,Paramètres!$A$1:$I$89,5,0)</f>
        <v>-9.2222762759774927E-14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272.69564942740931</v>
      </c>
      <c r="CE139" s="62">
        <f t="shared" si="148"/>
        <v>316.57989180609252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-2.8421709430404007E-13</v>
      </c>
      <c r="CU139" s="18">
        <f>CT139*VLOOKUP('Données projet'!$B$13,Paramètres!$A$1:$I$89,3,0)*VLOOKUP('Données projet'!$B$13,Paramètres!$A$1:$I$89,5,0)</f>
        <v>-2.7046098693972454E-13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491.87038198656927</v>
      </c>
      <c r="CZ139" s="62">
        <f t="shared" si="150"/>
        <v>406.49261644949559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3.8</v>
      </c>
      <c r="DO139" s="13">
        <f>IF('Données projet'!$A$166&gt;35,DO138+DN139-DW138,IF(A139&lt;'Données projet'!$A$166,$DL$205^A139,IF(A139='Données projet'!$A$166,'Données projet'!$B$166,DO138+DN139-DW138)))</f>
        <v>325.79999999999984</v>
      </c>
      <c r="DP139" s="18">
        <f>DO139*VLOOKUP('Données projet'!$B$14,Paramètres!$A$1:$I$89,3,0)*VLOOKUP('Données projet'!$B$14,Paramètres!$A$1:$I$89,5,0)</f>
        <v>315.11375999999984</v>
      </c>
      <c r="DQ139" s="14">
        <f t="shared" si="151"/>
        <v>74.335767722617277</v>
      </c>
      <c r="DR139" s="22">
        <f t="shared" si="124"/>
        <v>678.29126078355807</v>
      </c>
      <c r="DS139" s="62">
        <f t="shared" si="125"/>
        <v>963.14079117844335</v>
      </c>
      <c r="DT139" s="62">
        <f ca="1">AVERAGE(OFFSET($DS$3,0,0,'Données projet'!$E$14+1,1))-AVERAGE(OFFSET($H$3,0,0,'Données projet'!$E$14+1,1))</f>
        <v>603.52431522262032</v>
      </c>
      <c r="DU139" s="62">
        <f t="shared" si="152"/>
        <v>313.56299786481338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-3.4106051316484809E-13</v>
      </c>
      <c r="EK139" s="18">
        <f>EJ139*VLOOKUP('Données projet'!$B$15,Paramètres!$A$1:$I$89,3,0)*VLOOKUP('Données projet'!$B$15,Paramètres!$A$1:$I$89,5,0)</f>
        <v>-2.7134774427395314E-13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450.93388191845378</v>
      </c>
      <c r="EP139" s="62">
        <f t="shared" si="154"/>
        <v>483.33635017129325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5.6843418860808015E-14</v>
      </c>
      <c r="FF139" s="18">
        <f>FE139*VLOOKUP('Données projet'!$B$16,Paramètres!$A$1:$I$89,3,0)*VLOOKUP('Données projet'!$B$16,Paramètres!$A$1:$I$89,5,0)</f>
        <v>4.4337866711430253E-14</v>
      </c>
      <c r="FG139" s="14">
        <f t="shared" si="155"/>
        <v>7.3222115536967035E-13</v>
      </c>
      <c r="FH139" s="22">
        <f t="shared" si="130"/>
        <v>1.3525069634579169E-12</v>
      </c>
      <c r="FI139" s="62">
        <f t="shared" si="131"/>
        <v>284.84953039488659</v>
      </c>
      <c r="FJ139" s="62">
        <f ca="1">AVERAGE(OFFSET($FI$3,0,0,'Données projet'!$E$16+1,1))-AVERAGE(OFFSET($H$3,0,0,'Données projet'!$E$16+1,1))</f>
        <v>309.21625451786218</v>
      </c>
      <c r="FK139" s="62">
        <f t="shared" si="156"/>
        <v>302.59481222418219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-2.2737367544323206E-13</v>
      </c>
      <c r="O140" s="14">
        <f>N140*VLOOKUP('Données projet'!$B$9,Paramètres!$A$1:$I$89,3,0)*VLOOKUP('Données projet'!$B$9,Paramètres!$A$1:$I$89,5,0)</f>
        <v>-1.8089849618263545E-13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394.70330963327166</v>
      </c>
      <c r="T140" s="62">
        <f t="shared" si="142"/>
        <v>424.06445894109982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projet'!$B$10,Paramètres!$A$1:$I$89,3,0)*VLOOKUP('Données projet'!$B$10,Paramètres!$A$1:$I$89,5,0)</f>
        <v>4.6111381379887463E-14</v>
      </c>
      <c r="AK140" s="14">
        <f t="shared" si="143"/>
        <v>7.5804141040779151E-13</v>
      </c>
      <c r="AL140" s="22">
        <f t="shared" si="112"/>
        <v>1.4005661123635408E-12</v>
      </c>
      <c r="AM140" s="62">
        <f t="shared" si="113"/>
        <v>284.9967054089268</v>
      </c>
      <c r="AN140" s="62">
        <f ca="1">AVERAGE(OFFSET($AM$3,0,0,'Données projet'!$E$10+1,1))-AVERAGE(OFFSET($H$3,0,0,'Données projet'!$E$10+1,1))</f>
        <v>319.39055628111151</v>
      </c>
      <c r="AO140" s="62">
        <f t="shared" si="144"/>
        <v>312.22190035638084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-1.1368683772161603E-13</v>
      </c>
      <c r="BE140" s="14">
        <f>BD140*VLOOKUP('Données projet'!$B$11,Paramètres!$A$1:$I$89,3,0)*VLOOKUP('Données projet'!$B$11,Paramètres!$A$1:$I$89,5,0)</f>
        <v>-8.3355189417488869E-14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257.906524944431</v>
      </c>
      <c r="BJ140" s="62">
        <f t="shared" si="146"/>
        <v>274.70390601173563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-1.1368683772161603E-13</v>
      </c>
      <c r="BZ140" s="14">
        <f>BY140*VLOOKUP('Données projet'!$B$12,Paramètres!$A$1:$I$89,3,0)*VLOOKUP('Données projet'!$B$12,Paramètres!$A$1:$I$89,5,0)</f>
        <v>-9.2222762759774927E-14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272.69564942740931</v>
      </c>
      <c r="CE140" s="62">
        <f t="shared" si="148"/>
        <v>316.57989180609252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-2.8421709430404007E-13</v>
      </c>
      <c r="CU140" s="18">
        <f>CT140*VLOOKUP('Données projet'!$B$13,Paramètres!$A$1:$I$89,3,0)*VLOOKUP('Données projet'!$B$13,Paramètres!$A$1:$I$89,5,0)</f>
        <v>-2.7046098693972454E-13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491.87038198656927</v>
      </c>
      <c r="CZ140" s="62">
        <f t="shared" si="150"/>
        <v>406.49261644949559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3.8</v>
      </c>
      <c r="DO140" s="13">
        <f>IF('Données projet'!$A$166&gt;35,DO139+DN140-DW139,IF(A140&lt;'Données projet'!$A$166,$DL$205^A140,IF(A140='Données projet'!$A$166,'Données projet'!$B$166,DO139+DN140-DW139)))</f>
        <v>329.59999999999985</v>
      </c>
      <c r="DP140" s="18">
        <f>DO140*VLOOKUP('Données projet'!$B$14,Paramètres!$A$1:$I$89,3,0)*VLOOKUP('Données projet'!$B$14,Paramètres!$A$1:$I$89,5,0)</f>
        <v>318.78911999999991</v>
      </c>
      <c r="DQ140" s="14">
        <f t="shared" si="151"/>
        <v>75.101350965570944</v>
      </c>
      <c r="DR140" s="22">
        <f t="shared" si="124"/>
        <v>686.02590359836915</v>
      </c>
      <c r="DS140" s="62">
        <f t="shared" si="125"/>
        <v>971.02260900729448</v>
      </c>
      <c r="DT140" s="62">
        <f ca="1">AVERAGE(OFFSET($DS$3,0,0,'Données projet'!$E$14+1,1))-AVERAGE(OFFSET($H$3,0,0,'Données projet'!$E$14+1,1))</f>
        <v>603.52431522262032</v>
      </c>
      <c r="DU140" s="62">
        <f t="shared" si="152"/>
        <v>313.56299786481338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-3.4106051316484809E-13</v>
      </c>
      <c r="EK140" s="18">
        <f>EJ140*VLOOKUP('Données projet'!$B$15,Paramètres!$A$1:$I$89,3,0)*VLOOKUP('Données projet'!$B$15,Paramètres!$A$1:$I$89,5,0)</f>
        <v>-2.7134774427395314E-13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450.93388191845378</v>
      </c>
      <c r="EP140" s="62">
        <f t="shared" si="154"/>
        <v>483.33635017129325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5.6843418860808015E-14</v>
      </c>
      <c r="FF140" s="18">
        <f>FE140*VLOOKUP('Données projet'!$B$16,Paramètres!$A$1:$I$89,3,0)*VLOOKUP('Données projet'!$B$16,Paramètres!$A$1:$I$89,5,0)</f>
        <v>4.4337866711430253E-14</v>
      </c>
      <c r="FG140" s="14">
        <f t="shared" si="155"/>
        <v>7.3222115536967035E-13</v>
      </c>
      <c r="FH140" s="22">
        <f t="shared" si="130"/>
        <v>1.3525069634579169E-12</v>
      </c>
      <c r="FI140" s="62">
        <f t="shared" si="131"/>
        <v>284.99670540892674</v>
      </c>
      <c r="FJ140" s="62">
        <f ca="1">AVERAGE(OFFSET($FI$3,0,0,'Données projet'!$E$16+1,1))-AVERAGE(OFFSET($H$3,0,0,'Données projet'!$E$16+1,1))</f>
        <v>309.21625451786218</v>
      </c>
      <c r="FK140" s="62">
        <f t="shared" si="156"/>
        <v>302.59481222418219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-2.2737367544323206E-13</v>
      </c>
      <c r="O141" s="14">
        <f>N141*VLOOKUP('Données projet'!$B$9,Paramètres!$A$1:$I$89,3,0)*VLOOKUP('Données projet'!$B$9,Paramètres!$A$1:$I$89,5,0)</f>
        <v>-1.8089849618263545E-13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394.70330963327166</v>
      </c>
      <c r="T141" s="62">
        <f t="shared" si="142"/>
        <v>424.06445894109982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projet'!$B$10,Paramètres!$A$1:$I$89,3,0)*VLOOKUP('Données projet'!$B$10,Paramètres!$A$1:$I$89,5,0)</f>
        <v>4.6111381379887463E-14</v>
      </c>
      <c r="AK141" s="14">
        <f t="shared" si="143"/>
        <v>7.5804141040779151E-13</v>
      </c>
      <c r="AL141" s="22">
        <f t="shared" si="112"/>
        <v>1.4005661123635408E-12</v>
      </c>
      <c r="AM141" s="62">
        <f t="shared" si="113"/>
        <v>285.14132726550736</v>
      </c>
      <c r="AN141" s="62">
        <f ca="1">AVERAGE(OFFSET($AM$3,0,0,'Données projet'!$E$10+1,1))-AVERAGE(OFFSET($H$3,0,0,'Données projet'!$E$10+1,1))</f>
        <v>319.39055628111151</v>
      </c>
      <c r="AO141" s="62">
        <f t="shared" si="144"/>
        <v>312.22190035638084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-1.1368683772161603E-13</v>
      </c>
      <c r="BE141" s="14">
        <f>BD141*VLOOKUP('Données projet'!$B$11,Paramètres!$A$1:$I$89,3,0)*VLOOKUP('Données projet'!$B$11,Paramètres!$A$1:$I$89,5,0)</f>
        <v>-8.3355189417488869E-14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257.906524944431</v>
      </c>
      <c r="BJ141" s="62">
        <f t="shared" si="146"/>
        <v>274.70390601173563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-1.1368683772161603E-13</v>
      </c>
      <c r="BZ141" s="14">
        <f>BY141*VLOOKUP('Données projet'!$B$12,Paramètres!$A$1:$I$89,3,0)*VLOOKUP('Données projet'!$B$12,Paramètres!$A$1:$I$89,5,0)</f>
        <v>-9.2222762759774927E-14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272.69564942740931</v>
      </c>
      <c r="CE141" s="62">
        <f t="shared" si="148"/>
        <v>316.57989180609252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-2.8421709430404007E-13</v>
      </c>
      <c r="CU141" s="18">
        <f>CT141*VLOOKUP('Données projet'!$B$13,Paramètres!$A$1:$I$89,3,0)*VLOOKUP('Données projet'!$B$13,Paramètres!$A$1:$I$89,5,0)</f>
        <v>-2.7046098693972454E-13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491.87038198656927</v>
      </c>
      <c r="CZ141" s="62">
        <f t="shared" si="150"/>
        <v>406.49261644949559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3.8</v>
      </c>
      <c r="DO141" s="13">
        <f>IF('Données projet'!$A$166&gt;35,DO140+DN141-DW140,IF(A141&lt;'Données projet'!$A$166,$DL$205^A141,IF(A141='Données projet'!$A$166,'Données projet'!$B$166,DO140+DN141-DW140)))</f>
        <v>333.39999999999986</v>
      </c>
      <c r="DP141" s="18">
        <f>DO141*VLOOKUP('Données projet'!$B$14,Paramètres!$A$1:$I$89,3,0)*VLOOKUP('Données projet'!$B$14,Paramètres!$A$1:$I$89,5,0)</f>
        <v>322.46447999999987</v>
      </c>
      <c r="DQ141" s="14">
        <f t="shared" si="151"/>
        <v>75.865907468266684</v>
      </c>
      <c r="DR141" s="22">
        <f t="shared" si="124"/>
        <v>693.7587581738976</v>
      </c>
      <c r="DS141" s="62">
        <f t="shared" si="125"/>
        <v>978.90008543940348</v>
      </c>
      <c r="DT141" s="62">
        <f ca="1">AVERAGE(OFFSET($DS$3,0,0,'Données projet'!$E$14+1,1))-AVERAGE(OFFSET($H$3,0,0,'Données projet'!$E$14+1,1))</f>
        <v>603.52431522262032</v>
      </c>
      <c r="DU141" s="62">
        <f t="shared" si="152"/>
        <v>313.56299786481338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-3.4106051316484809E-13</v>
      </c>
      <c r="EK141" s="18">
        <f>EJ141*VLOOKUP('Données projet'!$B$15,Paramètres!$A$1:$I$89,3,0)*VLOOKUP('Données projet'!$B$15,Paramètres!$A$1:$I$89,5,0)</f>
        <v>-2.7134774427395314E-13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450.93388191845378</v>
      </c>
      <c r="EP141" s="62">
        <f t="shared" si="154"/>
        <v>483.33635017129325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5.6843418860808015E-14</v>
      </c>
      <c r="FF141" s="18">
        <f>FE141*VLOOKUP('Données projet'!$B$16,Paramètres!$A$1:$I$89,3,0)*VLOOKUP('Données projet'!$B$16,Paramètres!$A$1:$I$89,5,0)</f>
        <v>4.4337866711430253E-14</v>
      </c>
      <c r="FG141" s="14">
        <f t="shared" si="155"/>
        <v>7.3222115536967035E-13</v>
      </c>
      <c r="FH141" s="22">
        <f t="shared" si="130"/>
        <v>1.3525069634579169E-12</v>
      </c>
      <c r="FI141" s="62">
        <f t="shared" si="131"/>
        <v>285.1413272655073</v>
      </c>
      <c r="FJ141" s="62">
        <f ca="1">AVERAGE(OFFSET($FI$3,0,0,'Données projet'!$E$16+1,1))-AVERAGE(OFFSET($H$3,0,0,'Données projet'!$E$16+1,1))</f>
        <v>309.21625451786218</v>
      </c>
      <c r="FK141" s="62">
        <f t="shared" si="156"/>
        <v>302.59481222418219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-2.2737367544323206E-13</v>
      </c>
      <c r="O142" s="14">
        <f>N142*VLOOKUP('Données projet'!$B$9,Paramètres!$A$1:$I$89,3,0)*VLOOKUP('Données projet'!$B$9,Paramètres!$A$1:$I$89,5,0)</f>
        <v>-1.8089849618263545E-13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394.70330963327166</v>
      </c>
      <c r="T142" s="62">
        <f t="shared" si="142"/>
        <v>424.06445894109982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projet'!$B$10,Paramètres!$A$1:$I$89,3,0)*VLOOKUP('Données projet'!$B$10,Paramètres!$A$1:$I$89,5,0)</f>
        <v>4.6111381379887463E-14</v>
      </c>
      <c r="AK142" s="14">
        <f t="shared" si="143"/>
        <v>7.5804141040779151E-13</v>
      </c>
      <c r="AL142" s="22">
        <f t="shared" si="112"/>
        <v>1.4005661123635408E-12</v>
      </c>
      <c r="AM142" s="62">
        <f t="shared" si="113"/>
        <v>285.28344025620231</v>
      </c>
      <c r="AN142" s="62">
        <f ca="1">AVERAGE(OFFSET($AM$3,0,0,'Données projet'!$E$10+1,1))-AVERAGE(OFFSET($H$3,0,0,'Données projet'!$E$10+1,1))</f>
        <v>319.39055628111151</v>
      </c>
      <c r="AO142" s="62">
        <f t="shared" si="144"/>
        <v>312.22190035638084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-1.1368683772161603E-13</v>
      </c>
      <c r="BE142" s="14">
        <f>BD142*VLOOKUP('Données projet'!$B$11,Paramètres!$A$1:$I$89,3,0)*VLOOKUP('Données projet'!$B$11,Paramètres!$A$1:$I$89,5,0)</f>
        <v>-8.3355189417488869E-14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257.906524944431</v>
      </c>
      <c r="BJ142" s="62">
        <f t="shared" si="146"/>
        <v>274.70390601173563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-1.1368683772161603E-13</v>
      </c>
      <c r="BZ142" s="14">
        <f>BY142*VLOOKUP('Données projet'!$B$12,Paramètres!$A$1:$I$89,3,0)*VLOOKUP('Données projet'!$B$12,Paramètres!$A$1:$I$89,5,0)</f>
        <v>-9.2222762759774927E-14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272.69564942740931</v>
      </c>
      <c r="CE142" s="62">
        <f t="shared" si="148"/>
        <v>316.57989180609252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-2.8421709430404007E-13</v>
      </c>
      <c r="CU142" s="18">
        <f>CT142*VLOOKUP('Données projet'!$B$13,Paramètres!$A$1:$I$89,3,0)*VLOOKUP('Données projet'!$B$13,Paramètres!$A$1:$I$89,5,0)</f>
        <v>-2.7046098693972454E-13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491.87038198656927</v>
      </c>
      <c r="CZ142" s="62">
        <f t="shared" si="150"/>
        <v>406.49261644949559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3.8</v>
      </c>
      <c r="DO142" s="13">
        <f>IF('Données projet'!$A$166&gt;35,DO141+DN142-DW141,IF(A142&lt;'Données projet'!$A$166,$DL$205^A142,IF(A142='Données projet'!$A$166,'Données projet'!$B$166,DO141+DN142-DW141)))</f>
        <v>337.19999999999987</v>
      </c>
      <c r="DP142" s="18">
        <f>DO142*VLOOKUP('Données projet'!$B$14,Paramètres!$A$1:$I$89,3,0)*VLOOKUP('Données projet'!$B$14,Paramètres!$A$1:$I$89,5,0)</f>
        <v>326.13983999999988</v>
      </c>
      <c r="DQ142" s="14">
        <f t="shared" si="151"/>
        <v>76.62945028727961</v>
      </c>
      <c r="DR142" s="22">
        <f t="shared" si="124"/>
        <v>701.48984725034506</v>
      </c>
      <c r="DS142" s="62">
        <f t="shared" si="125"/>
        <v>986.77328750654601</v>
      </c>
      <c r="DT142" s="62">
        <f ca="1">AVERAGE(OFFSET($DS$3,0,0,'Données projet'!$E$14+1,1))-AVERAGE(OFFSET($H$3,0,0,'Données projet'!$E$14+1,1))</f>
        <v>603.52431522262032</v>
      </c>
      <c r="DU142" s="62">
        <f t="shared" si="152"/>
        <v>313.56299786481338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-3.4106051316484809E-13</v>
      </c>
      <c r="EK142" s="18">
        <f>EJ142*VLOOKUP('Données projet'!$B$15,Paramètres!$A$1:$I$89,3,0)*VLOOKUP('Données projet'!$B$15,Paramètres!$A$1:$I$89,5,0)</f>
        <v>-2.7134774427395314E-13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450.93388191845378</v>
      </c>
      <c r="EP142" s="62">
        <f t="shared" si="154"/>
        <v>483.33635017129325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5.6843418860808015E-14</v>
      </c>
      <c r="FF142" s="18">
        <f>FE142*VLOOKUP('Données projet'!$B$16,Paramètres!$A$1:$I$89,3,0)*VLOOKUP('Données projet'!$B$16,Paramètres!$A$1:$I$89,5,0)</f>
        <v>4.4337866711430253E-14</v>
      </c>
      <c r="FG142" s="14">
        <f t="shared" si="155"/>
        <v>7.3222115536967035E-13</v>
      </c>
      <c r="FH142" s="22">
        <f t="shared" si="130"/>
        <v>1.3525069634579169E-12</v>
      </c>
      <c r="FI142" s="62">
        <f t="shared" si="131"/>
        <v>285.28344025620225</v>
      </c>
      <c r="FJ142" s="62">
        <f ca="1">AVERAGE(OFFSET($FI$3,0,0,'Données projet'!$E$16+1,1))-AVERAGE(OFFSET($H$3,0,0,'Données projet'!$E$16+1,1))</f>
        <v>309.21625451786218</v>
      </c>
      <c r="FK142" s="62">
        <f t="shared" si="156"/>
        <v>302.59481222418219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-2.2737367544323206E-13</v>
      </c>
      <c r="O143" s="14">
        <f>N143*VLOOKUP('Données projet'!$B$9,Paramètres!$A$1:$I$89,3,0)*VLOOKUP('Données projet'!$B$9,Paramètres!$A$1:$I$89,5,0)</f>
        <v>-1.8089849618263545E-13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394.70330963327166</v>
      </c>
      <c r="T143" s="62">
        <f t="shared" si="142"/>
        <v>424.06445894109982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projet'!$B$10,Paramètres!$A$1:$I$89,3,0)*VLOOKUP('Données projet'!$B$10,Paramètres!$A$1:$I$89,5,0)</f>
        <v>4.6111381379887463E-14</v>
      </c>
      <c r="AK143" s="14">
        <f t="shared" si="143"/>
        <v>7.5804141040779151E-13</v>
      </c>
      <c r="AL143" s="22">
        <f t="shared" si="112"/>
        <v>1.4005661123635408E-12</v>
      </c>
      <c r="AM143" s="62">
        <f t="shared" si="113"/>
        <v>285.42308790422578</v>
      </c>
      <c r="AN143" s="62">
        <f ca="1">AVERAGE(OFFSET($AM$3,0,0,'Données projet'!$E$10+1,1))-AVERAGE(OFFSET($H$3,0,0,'Données projet'!$E$10+1,1))</f>
        <v>319.39055628111151</v>
      </c>
      <c r="AO143" s="62">
        <f t="shared" si="144"/>
        <v>312.22190035638084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-1.1368683772161603E-13</v>
      </c>
      <c r="BE143" s="14">
        <f>BD143*VLOOKUP('Données projet'!$B$11,Paramètres!$A$1:$I$89,3,0)*VLOOKUP('Données projet'!$B$11,Paramètres!$A$1:$I$89,5,0)</f>
        <v>-8.3355189417488869E-14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257.906524944431</v>
      </c>
      <c r="BJ143" s="62">
        <f t="shared" si="146"/>
        <v>274.70390601173563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-1.1368683772161603E-13</v>
      </c>
      <c r="BZ143" s="14">
        <f>BY143*VLOOKUP('Données projet'!$B$12,Paramètres!$A$1:$I$89,3,0)*VLOOKUP('Données projet'!$B$12,Paramètres!$A$1:$I$89,5,0)</f>
        <v>-9.2222762759774927E-14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272.69564942740931</v>
      </c>
      <c r="CE143" s="62">
        <f t="shared" si="148"/>
        <v>316.57989180609252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-2.8421709430404007E-13</v>
      </c>
      <c r="CU143" s="18">
        <f>CT143*VLOOKUP('Données projet'!$B$13,Paramètres!$A$1:$I$89,3,0)*VLOOKUP('Données projet'!$B$13,Paramètres!$A$1:$I$89,5,0)</f>
        <v>-2.7046098693972454E-13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491.87038198656927</v>
      </c>
      <c r="CZ143" s="62">
        <f t="shared" si="150"/>
        <v>406.49261644949559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>
        <f>VLOOKUP(A143,'Données projet'!$A$165:$I$185,2,0)</f>
        <v>341</v>
      </c>
      <c r="DM143" s="13">
        <f>VLOOKUP(A143,'Données projet'!$A$165:$I$185,9,0)</f>
        <v>3.8</v>
      </c>
      <c r="DN143" s="13">
        <f t="array" ref="DN143">INDEX(DM:DM,MIN(IF(ISNUMBER(DM143:DM339),ROW(DM143:DM339),"")))</f>
        <v>3.8</v>
      </c>
      <c r="DO143" s="13">
        <f>IF('Données projet'!$A$166&gt;35,DO142+DN143-DW142,IF(A143&lt;'Données projet'!$A$166,$DL$205^A143,IF(A143='Données projet'!$A$166,'Données projet'!$B$166,DO142+DN143-DW142)))</f>
        <v>340.99999999999989</v>
      </c>
      <c r="DP143" s="18">
        <f>DO143*VLOOKUP('Données projet'!$B$14,Paramètres!$A$1:$I$89,3,0)*VLOOKUP('Données projet'!$B$14,Paramètres!$A$1:$I$89,5,0)</f>
        <v>329.81519999999989</v>
      </c>
      <c r="DQ143" s="14">
        <f t="shared" si="151"/>
        <v>77.391992167966066</v>
      </c>
      <c r="DR143" s="22">
        <f t="shared" si="124"/>
        <v>709.21919302587401</v>
      </c>
      <c r="DS143" s="62">
        <f t="shared" si="125"/>
        <v>994.64228093009842</v>
      </c>
      <c r="DT143" s="62">
        <f ca="1">AVERAGE(OFFSET($DS$3,0,0,'Données projet'!$E$14+1,1))-AVERAGE(OFFSET($H$3,0,0,'Données projet'!$E$14+1,1))</f>
        <v>603.52431522262032</v>
      </c>
      <c r="DU143" s="62">
        <f t="shared" si="152"/>
        <v>313.56299786481338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-3.4106051316484809E-13</v>
      </c>
      <c r="EK143" s="18">
        <f>EJ143*VLOOKUP('Données projet'!$B$15,Paramètres!$A$1:$I$89,3,0)*VLOOKUP('Données projet'!$B$15,Paramètres!$A$1:$I$89,5,0)</f>
        <v>-2.7134774427395314E-13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450.93388191845378</v>
      </c>
      <c r="EP143" s="62">
        <f t="shared" si="154"/>
        <v>483.33635017129325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5.6843418860808015E-14</v>
      </c>
      <c r="FF143" s="18">
        <f>FE143*VLOOKUP('Données projet'!$B$16,Paramètres!$A$1:$I$89,3,0)*VLOOKUP('Données projet'!$B$16,Paramètres!$A$1:$I$89,5,0)</f>
        <v>4.4337866711430253E-14</v>
      </c>
      <c r="FG143" s="14">
        <f t="shared" si="155"/>
        <v>7.3222115536967035E-13</v>
      </c>
      <c r="FH143" s="22">
        <f t="shared" si="130"/>
        <v>1.3525069634579169E-12</v>
      </c>
      <c r="FI143" s="62">
        <f t="shared" si="131"/>
        <v>285.42308790422572</v>
      </c>
      <c r="FJ143" s="62">
        <f ca="1">AVERAGE(OFFSET($FI$3,0,0,'Données projet'!$E$16+1,1))-AVERAGE(OFFSET($H$3,0,0,'Données projet'!$E$16+1,1))</f>
        <v>309.21625451786218</v>
      </c>
      <c r="FK143" s="62">
        <f t="shared" si="156"/>
        <v>302.59481222418219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-2.2737367544323206E-13</v>
      </c>
      <c r="O144" s="14">
        <f>N144*VLOOKUP('Données projet'!$B$9,Paramètres!$A$1:$I$89,3,0)*VLOOKUP('Données projet'!$B$9,Paramètres!$A$1:$I$89,5,0)</f>
        <v>-1.8089849618263545E-13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394.70330963327166</v>
      </c>
      <c r="T144" s="62">
        <f t="shared" si="142"/>
        <v>424.06445894109982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projet'!$B$10,Paramètres!$A$1:$I$89,3,0)*VLOOKUP('Données projet'!$B$10,Paramètres!$A$1:$I$89,5,0)</f>
        <v>4.6111381379887463E-14</v>
      </c>
      <c r="AK144" s="14">
        <f t="shared" si="143"/>
        <v>7.5804141040779151E-13</v>
      </c>
      <c r="AL144" s="22">
        <f t="shared" si="112"/>
        <v>1.4005661123635408E-12</v>
      </c>
      <c r="AM144" s="62">
        <f t="shared" si="113"/>
        <v>285.56031297776144</v>
      </c>
      <c r="AN144" s="62">
        <f ca="1">AVERAGE(OFFSET($AM$3,0,0,'Données projet'!$E$10+1,1))-AVERAGE(OFFSET($H$3,0,0,'Données projet'!$E$10+1,1))</f>
        <v>319.39055628111151</v>
      </c>
      <c r="AO144" s="62">
        <f t="shared" si="144"/>
        <v>312.22190035638084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-1.1368683772161603E-13</v>
      </c>
      <c r="BE144" s="14">
        <f>BD144*VLOOKUP('Données projet'!$B$11,Paramètres!$A$1:$I$89,3,0)*VLOOKUP('Données projet'!$B$11,Paramètres!$A$1:$I$89,5,0)</f>
        <v>-8.3355189417488869E-14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257.906524944431</v>
      </c>
      <c r="BJ144" s="62">
        <f t="shared" si="146"/>
        <v>274.70390601173563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-1.1368683772161603E-13</v>
      </c>
      <c r="BZ144" s="14">
        <f>BY144*VLOOKUP('Données projet'!$B$12,Paramètres!$A$1:$I$89,3,0)*VLOOKUP('Données projet'!$B$12,Paramètres!$A$1:$I$89,5,0)</f>
        <v>-9.2222762759774927E-14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272.69564942740931</v>
      </c>
      <c r="CE144" s="62">
        <f t="shared" si="148"/>
        <v>316.57989180609252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-2.8421709430404007E-13</v>
      </c>
      <c r="CU144" s="18">
        <f>CT144*VLOOKUP('Données projet'!$B$13,Paramètres!$A$1:$I$89,3,0)*VLOOKUP('Données projet'!$B$13,Paramètres!$A$1:$I$89,5,0)</f>
        <v>-2.7046098693972454E-13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491.87038198656927</v>
      </c>
      <c r="CZ144" s="62">
        <f t="shared" si="150"/>
        <v>406.49261644949559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3.5</v>
      </c>
      <c r="DO144" s="13">
        <f>IF('Données projet'!$A$166&gt;35,DO143+DN144-DW143,IF(A144&lt;'Données projet'!$A$166,$DL$205^A144,IF(A144='Données projet'!$A$166,'Données projet'!$B$166,DO143+DN144-DW143)))</f>
        <v>344.49999999999989</v>
      </c>
      <c r="DP144" s="18">
        <f>DO144*VLOOKUP('Données projet'!$B$14,Paramètres!$A$1:$I$89,3,0)*VLOOKUP('Données projet'!$B$14,Paramètres!$A$1:$I$89,5,0)</f>
        <v>333.20039999999989</v>
      </c>
      <c r="DQ144" s="14">
        <f t="shared" si="151"/>
        <v>78.093458573649713</v>
      </c>
      <c r="DR144" s="22">
        <f t="shared" si="124"/>
        <v>716.33680368243961</v>
      </c>
      <c r="DS144" s="62">
        <f t="shared" si="125"/>
        <v>1001.8971166601996</v>
      </c>
      <c r="DT144" s="62">
        <f ca="1">AVERAGE(OFFSET($DS$3,0,0,'Données projet'!$E$14+1,1))-AVERAGE(OFFSET($H$3,0,0,'Données projet'!$E$14+1,1))</f>
        <v>603.52431522262032</v>
      </c>
      <c r="DU144" s="62">
        <f t="shared" si="152"/>
        <v>313.56299786481338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-3.4106051316484809E-13</v>
      </c>
      <c r="EK144" s="18">
        <f>EJ144*VLOOKUP('Données projet'!$B$15,Paramètres!$A$1:$I$89,3,0)*VLOOKUP('Données projet'!$B$15,Paramètres!$A$1:$I$89,5,0)</f>
        <v>-2.7134774427395314E-13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450.93388191845378</v>
      </c>
      <c r="EP144" s="62">
        <f t="shared" si="154"/>
        <v>483.33635017129325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5.6843418860808015E-14</v>
      </c>
      <c r="FF144" s="18">
        <f>FE144*VLOOKUP('Données projet'!$B$16,Paramètres!$A$1:$I$89,3,0)*VLOOKUP('Données projet'!$B$16,Paramètres!$A$1:$I$89,5,0)</f>
        <v>4.4337866711430253E-14</v>
      </c>
      <c r="FG144" s="14">
        <f t="shared" si="155"/>
        <v>7.3222115536967035E-13</v>
      </c>
      <c r="FH144" s="22">
        <f t="shared" si="130"/>
        <v>1.3525069634579169E-12</v>
      </c>
      <c r="FI144" s="62">
        <f t="shared" si="131"/>
        <v>285.56031297776138</v>
      </c>
      <c r="FJ144" s="62">
        <f ca="1">AVERAGE(OFFSET($FI$3,0,0,'Données projet'!$E$16+1,1))-AVERAGE(OFFSET($H$3,0,0,'Données projet'!$E$16+1,1))</f>
        <v>309.21625451786218</v>
      </c>
      <c r="FK144" s="62">
        <f t="shared" si="156"/>
        <v>302.59481222418219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-2.2737367544323206E-13</v>
      </c>
      <c r="O145" s="14">
        <f>N145*VLOOKUP('Données projet'!$B$9,Paramètres!$A$1:$I$89,3,0)*VLOOKUP('Données projet'!$B$9,Paramètres!$A$1:$I$89,5,0)</f>
        <v>-1.8089849618263545E-13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394.70330963327166</v>
      </c>
      <c r="T145" s="62">
        <f t="shared" si="142"/>
        <v>424.06445894109982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projet'!$B$10,Paramètres!$A$1:$I$89,3,0)*VLOOKUP('Données projet'!$B$10,Paramètres!$A$1:$I$89,5,0)</f>
        <v>4.6111381379887463E-14</v>
      </c>
      <c r="AK145" s="14">
        <f t="shared" si="143"/>
        <v>7.5804141040779151E-13</v>
      </c>
      <c r="AL145" s="22">
        <f t="shared" si="112"/>
        <v>1.4005661123635408E-12</v>
      </c>
      <c r="AM145" s="62">
        <f t="shared" si="113"/>
        <v>285.6951575030605</v>
      </c>
      <c r="AN145" s="62">
        <f ca="1">AVERAGE(OFFSET($AM$3,0,0,'Données projet'!$E$10+1,1))-AVERAGE(OFFSET($H$3,0,0,'Données projet'!$E$10+1,1))</f>
        <v>319.39055628111151</v>
      </c>
      <c r="AO145" s="62">
        <f t="shared" si="144"/>
        <v>312.22190035638084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-1.1368683772161603E-13</v>
      </c>
      <c r="BE145" s="14">
        <f>BD145*VLOOKUP('Données projet'!$B$11,Paramètres!$A$1:$I$89,3,0)*VLOOKUP('Données projet'!$B$11,Paramètres!$A$1:$I$89,5,0)</f>
        <v>-8.3355189417488869E-14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257.906524944431</v>
      </c>
      <c r="BJ145" s="62">
        <f t="shared" si="146"/>
        <v>274.70390601173563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-1.1368683772161603E-13</v>
      </c>
      <c r="BZ145" s="14">
        <f>BY145*VLOOKUP('Données projet'!$B$12,Paramètres!$A$1:$I$89,3,0)*VLOOKUP('Données projet'!$B$12,Paramètres!$A$1:$I$89,5,0)</f>
        <v>-9.2222762759774927E-14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272.69564942740931</v>
      </c>
      <c r="CE145" s="62">
        <f t="shared" si="148"/>
        <v>316.57989180609252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-2.8421709430404007E-13</v>
      </c>
      <c r="CU145" s="18">
        <f>CT145*VLOOKUP('Données projet'!$B$13,Paramètres!$A$1:$I$89,3,0)*VLOOKUP('Données projet'!$B$13,Paramètres!$A$1:$I$89,5,0)</f>
        <v>-2.7046098693972454E-13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491.87038198656927</v>
      </c>
      <c r="CZ145" s="62">
        <f t="shared" si="150"/>
        <v>406.49261644949559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3.5</v>
      </c>
      <c r="DO145" s="13">
        <f>IF('Données projet'!$A$166&gt;35,DO144+DN145-DW144,IF(A145&lt;'Données projet'!$A$166,$DL$205^A145,IF(A145='Données projet'!$A$166,'Données projet'!$B$166,DO144+DN145-DW144)))</f>
        <v>347.99999999999989</v>
      </c>
      <c r="DP145" s="18">
        <f>DO145*VLOOKUP('Données projet'!$B$14,Paramètres!$A$1:$I$89,3,0)*VLOOKUP('Données projet'!$B$14,Paramètres!$A$1:$I$89,5,0)</f>
        <v>336.58559999999989</v>
      </c>
      <c r="DQ145" s="14">
        <f t="shared" si="151"/>
        <v>78.794095911992599</v>
      </c>
      <c r="DR145" s="22">
        <f t="shared" si="124"/>
        <v>723.45297038005356</v>
      </c>
      <c r="DS145" s="62">
        <f t="shared" si="125"/>
        <v>1009.1481278831127</v>
      </c>
      <c r="DT145" s="62">
        <f ca="1">AVERAGE(OFFSET($DS$3,0,0,'Données projet'!$E$14+1,1))-AVERAGE(OFFSET($H$3,0,0,'Données projet'!$E$14+1,1))</f>
        <v>603.52431522262032</v>
      </c>
      <c r="DU145" s="62">
        <f t="shared" si="152"/>
        <v>313.56299786481338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-3.4106051316484809E-13</v>
      </c>
      <c r="EK145" s="18">
        <f>EJ145*VLOOKUP('Données projet'!$B$15,Paramètres!$A$1:$I$89,3,0)*VLOOKUP('Données projet'!$B$15,Paramètres!$A$1:$I$89,5,0)</f>
        <v>-2.7134774427395314E-13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450.93388191845378</v>
      </c>
      <c r="EP145" s="62">
        <f t="shared" si="154"/>
        <v>483.33635017129325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5.6843418860808015E-14</v>
      </c>
      <c r="FF145" s="18">
        <f>FE145*VLOOKUP('Données projet'!$B$16,Paramètres!$A$1:$I$89,3,0)*VLOOKUP('Données projet'!$B$16,Paramètres!$A$1:$I$89,5,0)</f>
        <v>4.4337866711430253E-14</v>
      </c>
      <c r="FG145" s="14">
        <f t="shared" si="155"/>
        <v>7.3222115536967035E-13</v>
      </c>
      <c r="FH145" s="22">
        <f t="shared" si="130"/>
        <v>1.3525069634579169E-12</v>
      </c>
      <c r="FI145" s="62">
        <f t="shared" si="131"/>
        <v>285.69515750306044</v>
      </c>
      <c r="FJ145" s="62">
        <f ca="1">AVERAGE(OFFSET($FI$3,0,0,'Données projet'!$E$16+1,1))-AVERAGE(OFFSET($H$3,0,0,'Données projet'!$E$16+1,1))</f>
        <v>309.21625451786218</v>
      </c>
      <c r="FK145" s="62">
        <f t="shared" si="156"/>
        <v>302.59481222418219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-2.2737367544323206E-13</v>
      </c>
      <c r="O146" s="14">
        <f>N146*VLOOKUP('Données projet'!$B$9,Paramètres!$A$1:$I$89,3,0)*VLOOKUP('Données projet'!$B$9,Paramètres!$A$1:$I$89,5,0)</f>
        <v>-1.8089849618263545E-13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394.70330963327166</v>
      </c>
      <c r="T146" s="62">
        <f t="shared" si="142"/>
        <v>424.06445894109982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projet'!$B$10,Paramètres!$A$1:$I$89,3,0)*VLOOKUP('Données projet'!$B$10,Paramètres!$A$1:$I$89,5,0)</f>
        <v>4.6111381379887463E-14</v>
      </c>
      <c r="AK146" s="14">
        <f t="shared" si="143"/>
        <v>7.5804141040779151E-13</v>
      </c>
      <c r="AL146" s="22">
        <f t="shared" si="112"/>
        <v>1.4005661123635408E-12</v>
      </c>
      <c r="AM146" s="62">
        <f t="shared" si="113"/>
        <v>285.82766277731287</v>
      </c>
      <c r="AN146" s="62">
        <f ca="1">AVERAGE(OFFSET($AM$3,0,0,'Données projet'!$E$10+1,1))-AVERAGE(OFFSET($H$3,0,0,'Données projet'!$E$10+1,1))</f>
        <v>319.39055628111151</v>
      </c>
      <c r="AO146" s="62">
        <f t="shared" si="144"/>
        <v>312.22190035638084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-1.1368683772161603E-13</v>
      </c>
      <c r="BE146" s="14">
        <f>BD146*VLOOKUP('Données projet'!$B$11,Paramètres!$A$1:$I$89,3,0)*VLOOKUP('Données projet'!$B$11,Paramètres!$A$1:$I$89,5,0)</f>
        <v>-8.3355189417488869E-14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257.906524944431</v>
      </c>
      <c r="BJ146" s="62">
        <f t="shared" si="146"/>
        <v>274.70390601173563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-1.1368683772161603E-13</v>
      </c>
      <c r="BZ146" s="14">
        <f>BY146*VLOOKUP('Données projet'!$B$12,Paramètres!$A$1:$I$89,3,0)*VLOOKUP('Données projet'!$B$12,Paramètres!$A$1:$I$89,5,0)</f>
        <v>-9.2222762759774927E-14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272.69564942740931</v>
      </c>
      <c r="CE146" s="62">
        <f t="shared" si="148"/>
        <v>316.57989180609252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-2.8421709430404007E-13</v>
      </c>
      <c r="CU146" s="18">
        <f>CT146*VLOOKUP('Données projet'!$B$13,Paramètres!$A$1:$I$89,3,0)*VLOOKUP('Données projet'!$B$13,Paramètres!$A$1:$I$89,5,0)</f>
        <v>-2.7046098693972454E-13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491.87038198656927</v>
      </c>
      <c r="CZ146" s="62">
        <f t="shared" si="150"/>
        <v>406.49261644949559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3.5</v>
      </c>
      <c r="DO146" s="13">
        <f>IF('Données projet'!$A$166&gt;35,DO145+DN146-DW145,IF(A146&lt;'Données projet'!$A$166,$DL$205^A146,IF(A146='Données projet'!$A$166,'Données projet'!$B$166,DO145+DN146-DW145)))</f>
        <v>351.49999999999989</v>
      </c>
      <c r="DP146" s="18">
        <f>DO146*VLOOKUP('Données projet'!$B$14,Paramètres!$A$1:$I$89,3,0)*VLOOKUP('Données projet'!$B$14,Paramètres!$A$1:$I$89,5,0)</f>
        <v>339.97079999999988</v>
      </c>
      <c r="DQ146" s="14">
        <f t="shared" si="151"/>
        <v>79.493913486764498</v>
      </c>
      <c r="DR146" s="22">
        <f t="shared" si="124"/>
        <v>730.5677093227813</v>
      </c>
      <c r="DS146" s="62">
        <f t="shared" si="125"/>
        <v>1016.3953721000928</v>
      </c>
      <c r="DT146" s="62">
        <f ca="1">AVERAGE(OFFSET($DS$3,0,0,'Données projet'!$E$14+1,1))-AVERAGE(OFFSET($H$3,0,0,'Données projet'!$E$14+1,1))</f>
        <v>603.52431522262032</v>
      </c>
      <c r="DU146" s="62">
        <f t="shared" si="152"/>
        <v>313.56299786481338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-3.4106051316484809E-13</v>
      </c>
      <c r="EK146" s="18">
        <f>EJ146*VLOOKUP('Données projet'!$B$15,Paramètres!$A$1:$I$89,3,0)*VLOOKUP('Données projet'!$B$15,Paramètres!$A$1:$I$89,5,0)</f>
        <v>-2.7134774427395314E-13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450.93388191845378</v>
      </c>
      <c r="EP146" s="62">
        <f t="shared" si="154"/>
        <v>483.33635017129325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5.6843418860808015E-14</v>
      </c>
      <c r="FF146" s="18">
        <f>FE146*VLOOKUP('Données projet'!$B$16,Paramètres!$A$1:$I$89,3,0)*VLOOKUP('Données projet'!$B$16,Paramètres!$A$1:$I$89,5,0)</f>
        <v>4.4337866711430253E-14</v>
      </c>
      <c r="FG146" s="14">
        <f t="shared" si="155"/>
        <v>7.3222115536967035E-13</v>
      </c>
      <c r="FH146" s="22">
        <f t="shared" si="130"/>
        <v>1.3525069634579169E-12</v>
      </c>
      <c r="FI146" s="62">
        <f t="shared" si="131"/>
        <v>285.82766277731281</v>
      </c>
      <c r="FJ146" s="62">
        <f ca="1">AVERAGE(OFFSET($FI$3,0,0,'Données projet'!$E$16+1,1))-AVERAGE(OFFSET($H$3,0,0,'Données projet'!$E$16+1,1))</f>
        <v>309.21625451786218</v>
      </c>
      <c r="FK146" s="62">
        <f t="shared" si="156"/>
        <v>302.59481222418219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-2.2737367544323206E-13</v>
      </c>
      <c r="O147" s="14">
        <f>N147*VLOOKUP('Données projet'!$B$9,Paramètres!$A$1:$I$89,3,0)*VLOOKUP('Données projet'!$B$9,Paramètres!$A$1:$I$89,5,0)</f>
        <v>-1.8089849618263545E-13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394.70330963327166</v>
      </c>
      <c r="T147" s="62">
        <f t="shared" si="142"/>
        <v>424.06445894109982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projet'!$B$10,Paramètres!$A$1:$I$89,3,0)*VLOOKUP('Données projet'!$B$10,Paramètres!$A$1:$I$89,5,0)</f>
        <v>4.6111381379887463E-14</v>
      </c>
      <c r="AK147" s="14">
        <f t="shared" si="143"/>
        <v>7.5804141040779151E-13</v>
      </c>
      <c r="AL147" s="22">
        <f t="shared" si="112"/>
        <v>1.4005661123635408E-12</v>
      </c>
      <c r="AM147" s="62">
        <f t="shared" si="113"/>
        <v>285.9578693812943</v>
      </c>
      <c r="AN147" s="62">
        <f ca="1">AVERAGE(OFFSET($AM$3,0,0,'Données projet'!$E$10+1,1))-AVERAGE(OFFSET($H$3,0,0,'Données projet'!$E$10+1,1))</f>
        <v>319.39055628111151</v>
      </c>
      <c r="AO147" s="62">
        <f t="shared" si="144"/>
        <v>312.22190035638084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-1.1368683772161603E-13</v>
      </c>
      <c r="BE147" s="14">
        <f>BD147*VLOOKUP('Données projet'!$B$11,Paramètres!$A$1:$I$89,3,0)*VLOOKUP('Données projet'!$B$11,Paramètres!$A$1:$I$89,5,0)</f>
        <v>-8.3355189417488869E-14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257.906524944431</v>
      </c>
      <c r="BJ147" s="62">
        <f t="shared" si="146"/>
        <v>274.70390601173563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-1.1368683772161603E-13</v>
      </c>
      <c r="BZ147" s="14">
        <f>BY147*VLOOKUP('Données projet'!$B$12,Paramètres!$A$1:$I$89,3,0)*VLOOKUP('Données projet'!$B$12,Paramètres!$A$1:$I$89,5,0)</f>
        <v>-9.2222762759774927E-14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272.69564942740931</v>
      </c>
      <c r="CE147" s="62">
        <f t="shared" si="148"/>
        <v>316.57989180609252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-2.8421709430404007E-13</v>
      </c>
      <c r="CU147" s="18">
        <f>CT147*VLOOKUP('Données projet'!$B$13,Paramètres!$A$1:$I$89,3,0)*VLOOKUP('Données projet'!$B$13,Paramètres!$A$1:$I$89,5,0)</f>
        <v>-2.7046098693972454E-13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491.87038198656927</v>
      </c>
      <c r="CZ147" s="62">
        <f t="shared" si="150"/>
        <v>406.49261644949559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3.5</v>
      </c>
      <c r="DO147" s="13">
        <f>IF('Données projet'!$A$166&gt;35,DO146+DN147-DW146,IF(A147&lt;'Données projet'!$A$166,$DL$205^A147,IF(A147='Données projet'!$A$166,'Données projet'!$B$166,DO146+DN147-DW146)))</f>
        <v>354.99999999999989</v>
      </c>
      <c r="DP147" s="18">
        <f>DO147*VLOOKUP('Données projet'!$B$14,Paramètres!$A$1:$I$89,3,0)*VLOOKUP('Données projet'!$B$14,Paramètres!$A$1:$I$89,5,0)</f>
        <v>343.35599999999994</v>
      </c>
      <c r="DQ147" s="14">
        <f t="shared" si="151"/>
        <v>80.192920405774515</v>
      </c>
      <c r="DR147" s="22">
        <f t="shared" si="124"/>
        <v>737.68103637339038</v>
      </c>
      <c r="DS147" s="62">
        <f t="shared" si="125"/>
        <v>1023.6389057546833</v>
      </c>
      <c r="DT147" s="62">
        <f ca="1">AVERAGE(OFFSET($DS$3,0,0,'Données projet'!$E$14+1,1))-AVERAGE(OFFSET($H$3,0,0,'Données projet'!$E$14+1,1))</f>
        <v>603.52431522262032</v>
      </c>
      <c r="DU147" s="62">
        <f t="shared" si="152"/>
        <v>313.56299786481338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-3.4106051316484809E-13</v>
      </c>
      <c r="EK147" s="18">
        <f>EJ147*VLOOKUP('Données projet'!$B$15,Paramètres!$A$1:$I$89,3,0)*VLOOKUP('Données projet'!$B$15,Paramètres!$A$1:$I$89,5,0)</f>
        <v>-2.7134774427395314E-13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450.93388191845378</v>
      </c>
      <c r="EP147" s="62">
        <f t="shared" si="154"/>
        <v>483.33635017129325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5.6843418860808015E-14</v>
      </c>
      <c r="FF147" s="18">
        <f>FE147*VLOOKUP('Données projet'!$B$16,Paramètres!$A$1:$I$89,3,0)*VLOOKUP('Données projet'!$B$16,Paramètres!$A$1:$I$89,5,0)</f>
        <v>4.4337866711430253E-14</v>
      </c>
      <c r="FG147" s="14">
        <f t="shared" si="155"/>
        <v>7.3222115536967035E-13</v>
      </c>
      <c r="FH147" s="22">
        <f t="shared" si="130"/>
        <v>1.3525069634579169E-12</v>
      </c>
      <c r="FI147" s="62">
        <f t="shared" si="131"/>
        <v>285.95786938129424</v>
      </c>
      <c r="FJ147" s="62">
        <f ca="1">AVERAGE(OFFSET($FI$3,0,0,'Données projet'!$E$16+1,1))-AVERAGE(OFFSET($H$3,0,0,'Données projet'!$E$16+1,1))</f>
        <v>309.21625451786218</v>
      </c>
      <c r="FK147" s="62">
        <f t="shared" si="156"/>
        <v>302.59481222418219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-2.2737367544323206E-13</v>
      </c>
      <c r="O148" s="14">
        <f>N148*VLOOKUP('Données projet'!$B$9,Paramètres!$A$1:$I$89,3,0)*VLOOKUP('Données projet'!$B$9,Paramètres!$A$1:$I$89,5,0)</f>
        <v>-1.8089849618263545E-13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394.70330963327166</v>
      </c>
      <c r="T148" s="62">
        <f t="shared" si="142"/>
        <v>424.06445894109982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projet'!$B$10,Paramètres!$A$1:$I$89,3,0)*VLOOKUP('Données projet'!$B$10,Paramètres!$A$1:$I$89,5,0)</f>
        <v>4.6111381379887463E-14</v>
      </c>
      <c r="AK148" s="14">
        <f t="shared" si="143"/>
        <v>7.5804141040779151E-13</v>
      </c>
      <c r="AL148" s="22">
        <f t="shared" si="112"/>
        <v>1.4005661123635408E-12</v>
      </c>
      <c r="AM148" s="62">
        <f t="shared" si="113"/>
        <v>286.085817191795</v>
      </c>
      <c r="AN148" s="62">
        <f ca="1">AVERAGE(OFFSET($AM$3,0,0,'Données projet'!$E$10+1,1))-AVERAGE(OFFSET($H$3,0,0,'Données projet'!$E$10+1,1))</f>
        <v>319.39055628111151</v>
      </c>
      <c r="AO148" s="62">
        <f t="shared" si="144"/>
        <v>312.22190035638084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-1.1368683772161603E-13</v>
      </c>
      <c r="BE148" s="14">
        <f>BD148*VLOOKUP('Données projet'!$B$11,Paramètres!$A$1:$I$89,3,0)*VLOOKUP('Données projet'!$B$11,Paramètres!$A$1:$I$89,5,0)</f>
        <v>-8.3355189417488869E-14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257.906524944431</v>
      </c>
      <c r="BJ148" s="62">
        <f t="shared" si="146"/>
        <v>274.70390601173563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-1.1368683772161603E-13</v>
      </c>
      <c r="BZ148" s="14">
        <f>BY148*VLOOKUP('Données projet'!$B$12,Paramètres!$A$1:$I$89,3,0)*VLOOKUP('Données projet'!$B$12,Paramètres!$A$1:$I$89,5,0)</f>
        <v>-9.2222762759774927E-14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272.69564942740931</v>
      </c>
      <c r="CE148" s="62">
        <f t="shared" si="148"/>
        <v>316.57989180609252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-2.8421709430404007E-13</v>
      </c>
      <c r="CU148" s="18">
        <f>CT148*VLOOKUP('Données projet'!$B$13,Paramètres!$A$1:$I$89,3,0)*VLOOKUP('Données projet'!$B$13,Paramètres!$A$1:$I$89,5,0)</f>
        <v>-2.7046098693972454E-13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491.87038198656927</v>
      </c>
      <c r="CZ148" s="62">
        <f t="shared" si="150"/>
        <v>406.49261644949559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3.5</v>
      </c>
      <c r="DO148" s="13">
        <f>IF('Données projet'!$A$166&gt;35,DO147+DN148-DW147,IF(A148&lt;'Données projet'!$A$166,$DL$205^A148,IF(A148='Données projet'!$A$166,'Données projet'!$B$166,DO147+DN148-DW147)))</f>
        <v>358.49999999999989</v>
      </c>
      <c r="DP148" s="18">
        <f>DO148*VLOOKUP('Données projet'!$B$14,Paramètres!$A$1:$I$89,3,0)*VLOOKUP('Données projet'!$B$14,Paramètres!$A$1:$I$89,5,0)</f>
        <v>346.74119999999988</v>
      </c>
      <c r="DQ148" s="14">
        <f t="shared" si="151"/>
        <v>80.891125586888961</v>
      </c>
      <c r="DR148" s="22">
        <f t="shared" si="124"/>
        <v>744.79296706383138</v>
      </c>
      <c r="DS148" s="62">
        <f t="shared" si="125"/>
        <v>1030.8787842556249</v>
      </c>
      <c r="DT148" s="62">
        <f ca="1">AVERAGE(OFFSET($DS$3,0,0,'Données projet'!$E$14+1,1))-AVERAGE(OFFSET($H$3,0,0,'Données projet'!$E$14+1,1))</f>
        <v>603.52431522262032</v>
      </c>
      <c r="DU148" s="62">
        <f t="shared" si="152"/>
        <v>313.56299786481338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-3.4106051316484809E-13</v>
      </c>
      <c r="EK148" s="18">
        <f>EJ148*VLOOKUP('Données projet'!$B$15,Paramètres!$A$1:$I$89,3,0)*VLOOKUP('Données projet'!$B$15,Paramètres!$A$1:$I$89,5,0)</f>
        <v>-2.7134774427395314E-13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450.93388191845378</v>
      </c>
      <c r="EP148" s="62">
        <f t="shared" si="154"/>
        <v>483.33635017129325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5.6843418860808015E-14</v>
      </c>
      <c r="FF148" s="18">
        <f>FE148*VLOOKUP('Données projet'!$B$16,Paramètres!$A$1:$I$89,3,0)*VLOOKUP('Données projet'!$B$16,Paramètres!$A$1:$I$89,5,0)</f>
        <v>4.4337866711430253E-14</v>
      </c>
      <c r="FG148" s="14">
        <f t="shared" si="155"/>
        <v>7.3222115536967035E-13</v>
      </c>
      <c r="FH148" s="22">
        <f t="shared" si="130"/>
        <v>1.3525069634579169E-12</v>
      </c>
      <c r="FI148" s="62">
        <f t="shared" si="131"/>
        <v>286.08581719179494</v>
      </c>
      <c r="FJ148" s="62">
        <f ca="1">AVERAGE(OFFSET($FI$3,0,0,'Données projet'!$E$16+1,1))-AVERAGE(OFFSET($H$3,0,0,'Données projet'!$E$16+1,1))</f>
        <v>309.21625451786218</v>
      </c>
      <c r="FK148" s="62">
        <f t="shared" si="156"/>
        <v>302.59481222418219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-2.2737367544323206E-13</v>
      </c>
      <c r="O149" s="14">
        <f>N149*VLOOKUP('Données projet'!$B$9,Paramètres!$A$1:$I$89,3,0)*VLOOKUP('Données projet'!$B$9,Paramètres!$A$1:$I$89,5,0)</f>
        <v>-1.8089849618263545E-13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394.70330963327166</v>
      </c>
      <c r="T149" s="62">
        <f t="shared" si="142"/>
        <v>424.06445894109982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projet'!$B$10,Paramètres!$A$1:$I$89,3,0)*VLOOKUP('Données projet'!$B$10,Paramètres!$A$1:$I$89,5,0)</f>
        <v>4.6111381379887463E-14</v>
      </c>
      <c r="AK149" s="14">
        <f t="shared" si="143"/>
        <v>7.5804141040779151E-13</v>
      </c>
      <c r="AL149" s="22">
        <f t="shared" si="112"/>
        <v>1.4005661123635408E-12</v>
      </c>
      <c r="AM149" s="62">
        <f t="shared" si="113"/>
        <v>286.21154539383207</v>
      </c>
      <c r="AN149" s="62">
        <f ca="1">AVERAGE(OFFSET($AM$3,0,0,'Données projet'!$E$10+1,1))-AVERAGE(OFFSET($H$3,0,0,'Données projet'!$E$10+1,1))</f>
        <v>319.39055628111151</v>
      </c>
      <c r="AO149" s="62">
        <f t="shared" si="144"/>
        <v>312.22190035638084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-1.1368683772161603E-13</v>
      </c>
      <c r="BE149" s="14">
        <f>BD149*VLOOKUP('Données projet'!$B$11,Paramètres!$A$1:$I$89,3,0)*VLOOKUP('Données projet'!$B$11,Paramètres!$A$1:$I$89,5,0)</f>
        <v>-8.3355189417488869E-14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257.906524944431</v>
      </c>
      <c r="BJ149" s="62">
        <f t="shared" si="146"/>
        <v>274.70390601173563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-1.1368683772161603E-13</v>
      </c>
      <c r="BZ149" s="14">
        <f>BY149*VLOOKUP('Données projet'!$B$12,Paramètres!$A$1:$I$89,3,0)*VLOOKUP('Données projet'!$B$12,Paramètres!$A$1:$I$89,5,0)</f>
        <v>-9.2222762759774927E-14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272.69564942740931</v>
      </c>
      <c r="CE149" s="62">
        <f t="shared" si="148"/>
        <v>316.57989180609252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-2.8421709430404007E-13</v>
      </c>
      <c r="CU149" s="18">
        <f>CT149*VLOOKUP('Données projet'!$B$13,Paramètres!$A$1:$I$89,3,0)*VLOOKUP('Données projet'!$B$13,Paramètres!$A$1:$I$89,5,0)</f>
        <v>-2.7046098693972454E-13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491.87038198656927</v>
      </c>
      <c r="CZ149" s="62">
        <f t="shared" si="150"/>
        <v>406.49261644949559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3.5</v>
      </c>
      <c r="DO149" s="13">
        <f>IF('Données projet'!$A$166&gt;35,DO148+DN149-DW148,IF(A149&lt;'Données projet'!$A$166,$DL$205^A149,IF(A149='Données projet'!$A$166,'Données projet'!$B$166,DO148+DN149-DW148)))</f>
        <v>361.99999999999989</v>
      </c>
      <c r="DP149" s="18">
        <f>DO149*VLOOKUP('Données projet'!$B$14,Paramètres!$A$1:$I$89,3,0)*VLOOKUP('Données projet'!$B$14,Paramètres!$A$1:$I$89,5,0)</f>
        <v>350.12639999999993</v>
      </c>
      <c r="DQ149" s="14">
        <f t="shared" si="151"/>
        <v>81.588537763807025</v>
      </c>
      <c r="DR149" s="22">
        <f t="shared" si="124"/>
        <v>751.90351660529711</v>
      </c>
      <c r="DS149" s="62">
        <f t="shared" si="125"/>
        <v>1038.1150619991276</v>
      </c>
      <c r="DT149" s="62">
        <f ca="1">AVERAGE(OFFSET($DS$3,0,0,'Données projet'!$E$14+1,1))-AVERAGE(OFFSET($H$3,0,0,'Données projet'!$E$14+1,1))</f>
        <v>603.52431522262032</v>
      </c>
      <c r="DU149" s="62">
        <f t="shared" si="152"/>
        <v>313.56299786481338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-3.4106051316484809E-13</v>
      </c>
      <c r="EK149" s="18">
        <f>EJ149*VLOOKUP('Données projet'!$B$15,Paramètres!$A$1:$I$89,3,0)*VLOOKUP('Données projet'!$B$15,Paramètres!$A$1:$I$89,5,0)</f>
        <v>-2.7134774427395314E-13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450.93388191845378</v>
      </c>
      <c r="EP149" s="62">
        <f t="shared" si="154"/>
        <v>483.33635017129325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5.6843418860808015E-14</v>
      </c>
      <c r="FF149" s="18">
        <f>FE149*VLOOKUP('Données projet'!$B$16,Paramètres!$A$1:$I$89,3,0)*VLOOKUP('Données projet'!$B$16,Paramètres!$A$1:$I$89,5,0)</f>
        <v>4.4337866711430253E-14</v>
      </c>
      <c r="FG149" s="14">
        <f t="shared" si="155"/>
        <v>7.3222115536967035E-13</v>
      </c>
      <c r="FH149" s="22">
        <f t="shared" si="130"/>
        <v>1.3525069634579169E-12</v>
      </c>
      <c r="FI149" s="62">
        <f t="shared" si="131"/>
        <v>286.21154539383201</v>
      </c>
      <c r="FJ149" s="62">
        <f ca="1">AVERAGE(OFFSET($FI$3,0,0,'Données projet'!$E$16+1,1))-AVERAGE(OFFSET($H$3,0,0,'Données projet'!$E$16+1,1))</f>
        <v>309.21625451786218</v>
      </c>
      <c r="FK149" s="62">
        <f t="shared" si="156"/>
        <v>302.59481222418219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-2.2737367544323206E-13</v>
      </c>
      <c r="O150" s="14">
        <f>N150*VLOOKUP('Données projet'!$B$9,Paramètres!$A$1:$I$89,3,0)*VLOOKUP('Données projet'!$B$9,Paramètres!$A$1:$I$89,5,0)</f>
        <v>-1.8089849618263545E-13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394.70330963327166</v>
      </c>
      <c r="T150" s="62">
        <f t="shared" si="142"/>
        <v>424.06445894109982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projet'!$B$10,Paramètres!$A$1:$I$89,3,0)*VLOOKUP('Données projet'!$B$10,Paramètres!$A$1:$I$89,5,0)</f>
        <v>4.6111381379887463E-14</v>
      </c>
      <c r="AK150" s="14">
        <f t="shared" si="143"/>
        <v>7.5804141040779151E-13</v>
      </c>
      <c r="AL150" s="22">
        <f t="shared" si="112"/>
        <v>1.4005661123635408E-12</v>
      </c>
      <c r="AM150" s="62">
        <f t="shared" si="113"/>
        <v>286.33509249264984</v>
      </c>
      <c r="AN150" s="62">
        <f ca="1">AVERAGE(OFFSET($AM$3,0,0,'Données projet'!$E$10+1,1))-AVERAGE(OFFSET($H$3,0,0,'Données projet'!$E$10+1,1))</f>
        <v>319.39055628111151</v>
      </c>
      <c r="AO150" s="62">
        <f t="shared" si="144"/>
        <v>312.22190035638084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-1.1368683772161603E-13</v>
      </c>
      <c r="BE150" s="14">
        <f>BD150*VLOOKUP('Données projet'!$B$11,Paramètres!$A$1:$I$89,3,0)*VLOOKUP('Données projet'!$B$11,Paramètres!$A$1:$I$89,5,0)</f>
        <v>-8.3355189417488869E-14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257.906524944431</v>
      </c>
      <c r="BJ150" s="62">
        <f t="shared" si="146"/>
        <v>274.70390601173563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-1.1368683772161603E-13</v>
      </c>
      <c r="BZ150" s="14">
        <f>BY150*VLOOKUP('Données projet'!$B$12,Paramètres!$A$1:$I$89,3,0)*VLOOKUP('Données projet'!$B$12,Paramètres!$A$1:$I$89,5,0)</f>
        <v>-9.2222762759774927E-14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272.69564942740931</v>
      </c>
      <c r="CE150" s="62">
        <f t="shared" si="148"/>
        <v>316.57989180609252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-2.8421709430404007E-13</v>
      </c>
      <c r="CU150" s="18">
        <f>CT150*VLOOKUP('Données projet'!$B$13,Paramètres!$A$1:$I$89,3,0)*VLOOKUP('Données projet'!$B$13,Paramètres!$A$1:$I$89,5,0)</f>
        <v>-2.7046098693972454E-13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491.87038198656927</v>
      </c>
      <c r="CZ150" s="62">
        <f t="shared" si="150"/>
        <v>406.49261644949559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3.5</v>
      </c>
      <c r="DO150" s="13">
        <f>IF('Données projet'!$A$166&gt;35,DO149+DN150-DW149,IF(A150&lt;'Données projet'!$A$166,$DL$205^A150,IF(A150='Données projet'!$A$166,'Données projet'!$B$166,DO149+DN150-DW149)))</f>
        <v>365.49999999999989</v>
      </c>
      <c r="DP150" s="18">
        <f>DO150*VLOOKUP('Données projet'!$B$14,Paramètres!$A$1:$I$89,3,0)*VLOOKUP('Données projet'!$B$14,Paramètres!$A$1:$I$89,5,0)</f>
        <v>353.51159999999987</v>
      </c>
      <c r="DQ150" s="14">
        <f t="shared" si="151"/>
        <v>82.285165491607756</v>
      </c>
      <c r="DR150" s="22">
        <f t="shared" si="124"/>
        <v>759.01269989788318</v>
      </c>
      <c r="DS150" s="62">
        <f t="shared" si="125"/>
        <v>1045.3477923905316</v>
      </c>
      <c r="DT150" s="62">
        <f ca="1">AVERAGE(OFFSET($DS$3,0,0,'Données projet'!$E$14+1,1))-AVERAGE(OFFSET($H$3,0,0,'Données projet'!$E$14+1,1))</f>
        <v>603.52431522262032</v>
      </c>
      <c r="DU150" s="62">
        <f t="shared" si="152"/>
        <v>313.56299786481338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-3.4106051316484809E-13</v>
      </c>
      <c r="EK150" s="18">
        <f>EJ150*VLOOKUP('Données projet'!$B$15,Paramètres!$A$1:$I$89,3,0)*VLOOKUP('Données projet'!$B$15,Paramètres!$A$1:$I$89,5,0)</f>
        <v>-2.7134774427395314E-13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450.93388191845378</v>
      </c>
      <c r="EP150" s="62">
        <f t="shared" si="154"/>
        <v>483.33635017129325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5.6843418860808015E-14</v>
      </c>
      <c r="FF150" s="18">
        <f>FE150*VLOOKUP('Données projet'!$B$16,Paramètres!$A$1:$I$89,3,0)*VLOOKUP('Données projet'!$B$16,Paramètres!$A$1:$I$89,5,0)</f>
        <v>4.4337866711430253E-14</v>
      </c>
      <c r="FG150" s="14">
        <f t="shared" si="155"/>
        <v>7.3222115536967035E-13</v>
      </c>
      <c r="FH150" s="22">
        <f t="shared" si="130"/>
        <v>1.3525069634579169E-12</v>
      </c>
      <c r="FI150" s="62">
        <f t="shared" si="131"/>
        <v>286.33509249264978</v>
      </c>
      <c r="FJ150" s="62">
        <f ca="1">AVERAGE(OFFSET($FI$3,0,0,'Données projet'!$E$16+1,1))-AVERAGE(OFFSET($H$3,0,0,'Données projet'!$E$16+1,1))</f>
        <v>309.21625451786218</v>
      </c>
      <c r="FK150" s="62">
        <f t="shared" si="156"/>
        <v>302.59481222418219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-2.2737367544323206E-13</v>
      </c>
      <c r="O151" s="14">
        <f>N151*VLOOKUP('Données projet'!$B$9,Paramètres!$A$1:$I$89,3,0)*VLOOKUP('Données projet'!$B$9,Paramètres!$A$1:$I$89,5,0)</f>
        <v>-1.8089849618263545E-13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394.70330963327166</v>
      </c>
      <c r="T151" s="62">
        <f t="shared" si="142"/>
        <v>424.06445894109982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projet'!$B$10,Paramètres!$A$1:$I$89,3,0)*VLOOKUP('Données projet'!$B$10,Paramètres!$A$1:$I$89,5,0)</f>
        <v>4.6111381379887463E-14</v>
      </c>
      <c r="AK151" s="14">
        <f t="shared" si="143"/>
        <v>7.5804141040779151E-13</v>
      </c>
      <c r="AL151" s="22">
        <f t="shared" si="112"/>
        <v>1.4005661123635408E-12</v>
      </c>
      <c r="AM151" s="62">
        <f t="shared" si="113"/>
        <v>286.45649632551311</v>
      </c>
      <c r="AN151" s="62">
        <f ca="1">AVERAGE(OFFSET($AM$3,0,0,'Données projet'!$E$10+1,1))-AVERAGE(OFFSET($H$3,0,0,'Données projet'!$E$10+1,1))</f>
        <v>319.39055628111151</v>
      </c>
      <c r="AO151" s="62">
        <f t="shared" si="144"/>
        <v>312.22190035638084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-1.1368683772161603E-13</v>
      </c>
      <c r="BE151" s="14">
        <f>BD151*VLOOKUP('Données projet'!$B$11,Paramètres!$A$1:$I$89,3,0)*VLOOKUP('Données projet'!$B$11,Paramètres!$A$1:$I$89,5,0)</f>
        <v>-8.3355189417488869E-14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257.906524944431</v>
      </c>
      <c r="BJ151" s="62">
        <f t="shared" si="146"/>
        <v>274.70390601173563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-1.1368683772161603E-13</v>
      </c>
      <c r="BZ151" s="14">
        <f>BY151*VLOOKUP('Données projet'!$B$12,Paramètres!$A$1:$I$89,3,0)*VLOOKUP('Données projet'!$B$12,Paramètres!$A$1:$I$89,5,0)</f>
        <v>-9.2222762759774927E-14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272.69564942740931</v>
      </c>
      <c r="CE151" s="62">
        <f t="shared" si="148"/>
        <v>316.57989180609252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-2.8421709430404007E-13</v>
      </c>
      <c r="CU151" s="18">
        <f>CT151*VLOOKUP('Données projet'!$B$13,Paramètres!$A$1:$I$89,3,0)*VLOOKUP('Données projet'!$B$13,Paramètres!$A$1:$I$89,5,0)</f>
        <v>-2.7046098693972454E-13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491.87038198656927</v>
      </c>
      <c r="CZ151" s="62">
        <f t="shared" si="150"/>
        <v>406.49261644949559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3.5</v>
      </c>
      <c r="DO151" s="13">
        <f>IF('Données projet'!$A$166&gt;35,DO150+DN151-DW150,IF(A151&lt;'Données projet'!$A$166,$DL$205^A151,IF(A151='Données projet'!$A$166,'Données projet'!$B$166,DO150+DN151-DW150)))</f>
        <v>368.99999999999989</v>
      </c>
      <c r="DP151" s="18">
        <f>DO151*VLOOKUP('Données projet'!$B$14,Paramètres!$A$1:$I$89,3,0)*VLOOKUP('Données projet'!$B$14,Paramètres!$A$1:$I$89,5,0)</f>
        <v>356.89679999999987</v>
      </c>
      <c r="DQ151" s="14">
        <f t="shared" si="151"/>
        <v>82.981017152077499</v>
      </c>
      <c r="DR151" s="22">
        <f t="shared" si="124"/>
        <v>766.12053153986801</v>
      </c>
      <c r="DS151" s="62">
        <f t="shared" si="125"/>
        <v>1052.5770278653797</v>
      </c>
      <c r="DT151" s="62">
        <f ca="1">AVERAGE(OFFSET($DS$3,0,0,'Données projet'!$E$14+1,1))-AVERAGE(OFFSET($H$3,0,0,'Données projet'!$E$14+1,1))</f>
        <v>603.52431522262032</v>
      </c>
      <c r="DU151" s="62">
        <f t="shared" si="152"/>
        <v>313.56299786481338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-3.4106051316484809E-13</v>
      </c>
      <c r="EK151" s="18">
        <f>EJ151*VLOOKUP('Données projet'!$B$15,Paramètres!$A$1:$I$89,3,0)*VLOOKUP('Données projet'!$B$15,Paramètres!$A$1:$I$89,5,0)</f>
        <v>-2.7134774427395314E-13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450.93388191845378</v>
      </c>
      <c r="EP151" s="62">
        <f t="shared" si="154"/>
        <v>483.33635017129325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5.6843418860808015E-14</v>
      </c>
      <c r="FF151" s="18">
        <f>FE151*VLOOKUP('Données projet'!$B$16,Paramètres!$A$1:$I$89,3,0)*VLOOKUP('Données projet'!$B$16,Paramètres!$A$1:$I$89,5,0)</f>
        <v>4.4337866711430253E-14</v>
      </c>
      <c r="FG151" s="14">
        <f t="shared" si="155"/>
        <v>7.3222115536967035E-13</v>
      </c>
      <c r="FH151" s="22">
        <f t="shared" si="130"/>
        <v>1.3525069634579169E-12</v>
      </c>
      <c r="FI151" s="62">
        <f t="shared" si="131"/>
        <v>286.45649632551306</v>
      </c>
      <c r="FJ151" s="62">
        <f ca="1">AVERAGE(OFFSET($FI$3,0,0,'Données projet'!$E$16+1,1))-AVERAGE(OFFSET($H$3,0,0,'Données projet'!$E$16+1,1))</f>
        <v>309.21625451786218</v>
      </c>
      <c r="FK151" s="62">
        <f t="shared" si="156"/>
        <v>302.59481222418219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-2.2737367544323206E-13</v>
      </c>
      <c r="O152" s="14">
        <f>N152*VLOOKUP('Données projet'!$B$9,Paramètres!$A$1:$I$89,3,0)*VLOOKUP('Données projet'!$B$9,Paramètres!$A$1:$I$89,5,0)</f>
        <v>-1.8089849618263545E-13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394.70330963327166</v>
      </c>
      <c r="T152" s="62">
        <f t="shared" si="142"/>
        <v>424.06445894109982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projet'!$B$10,Paramètres!$A$1:$I$89,3,0)*VLOOKUP('Données projet'!$B$10,Paramètres!$A$1:$I$89,5,0)</f>
        <v>4.6111381379887463E-14</v>
      </c>
      <c r="AK152" s="14">
        <f t="shared" si="143"/>
        <v>7.5804141040779151E-13</v>
      </c>
      <c r="AL152" s="22">
        <f t="shared" si="112"/>
        <v>1.4005661123635408E-12</v>
      </c>
      <c r="AM152" s="62">
        <f t="shared" si="113"/>
        <v>286.5757940732945</v>
      </c>
      <c r="AN152" s="62">
        <f ca="1">AVERAGE(OFFSET($AM$3,0,0,'Données projet'!$E$10+1,1))-AVERAGE(OFFSET($H$3,0,0,'Données projet'!$E$10+1,1))</f>
        <v>319.39055628111151</v>
      </c>
      <c r="AO152" s="62">
        <f t="shared" si="144"/>
        <v>312.22190035638084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-1.1368683772161603E-13</v>
      </c>
      <c r="BE152" s="14">
        <f>BD152*VLOOKUP('Données projet'!$B$11,Paramètres!$A$1:$I$89,3,0)*VLOOKUP('Données projet'!$B$11,Paramètres!$A$1:$I$89,5,0)</f>
        <v>-8.3355189417488869E-14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257.906524944431</v>
      </c>
      <c r="BJ152" s="62">
        <f t="shared" si="146"/>
        <v>274.70390601173563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-1.1368683772161603E-13</v>
      </c>
      <c r="BZ152" s="14">
        <f>BY152*VLOOKUP('Données projet'!$B$12,Paramètres!$A$1:$I$89,3,0)*VLOOKUP('Données projet'!$B$12,Paramètres!$A$1:$I$89,5,0)</f>
        <v>-9.2222762759774927E-14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272.69564942740931</v>
      </c>
      <c r="CE152" s="62">
        <f t="shared" si="148"/>
        <v>316.57989180609252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-2.8421709430404007E-13</v>
      </c>
      <c r="CU152" s="18">
        <f>CT152*VLOOKUP('Données projet'!$B$13,Paramètres!$A$1:$I$89,3,0)*VLOOKUP('Données projet'!$B$13,Paramètres!$A$1:$I$89,5,0)</f>
        <v>-2.7046098693972454E-13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491.87038198656927</v>
      </c>
      <c r="CZ152" s="62">
        <f t="shared" si="150"/>
        <v>406.49261644949559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3.5</v>
      </c>
      <c r="DO152" s="13">
        <f>IF('Données projet'!$A$166&gt;35,DO151+DN152-DW151,IF(A152&lt;'Données projet'!$A$166,$DL$205^A152,IF(A152='Données projet'!$A$166,'Données projet'!$B$166,DO151+DN152-DW151)))</f>
        <v>372.49999999999989</v>
      </c>
      <c r="DP152" s="18">
        <f>DO152*VLOOKUP('Données projet'!$B$14,Paramètres!$A$1:$I$89,3,0)*VLOOKUP('Données projet'!$B$14,Paramètres!$A$1:$I$89,5,0)</f>
        <v>360.28199999999993</v>
      </c>
      <c r="DQ152" s="14">
        <f t="shared" si="151"/>
        <v>83.676100958829579</v>
      </c>
      <c r="DR152" s="22">
        <f t="shared" si="124"/>
        <v>773.22702583662794</v>
      </c>
      <c r="DS152" s="62">
        <f t="shared" si="125"/>
        <v>1059.802819909921</v>
      </c>
      <c r="DT152" s="62">
        <f ca="1">AVERAGE(OFFSET($DS$3,0,0,'Données projet'!$E$14+1,1))-AVERAGE(OFFSET($H$3,0,0,'Données projet'!$E$14+1,1))</f>
        <v>603.52431522262032</v>
      </c>
      <c r="DU152" s="62">
        <f t="shared" si="152"/>
        <v>313.56299786481338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-3.4106051316484809E-13</v>
      </c>
      <c r="EK152" s="18">
        <f>EJ152*VLOOKUP('Données projet'!$B$15,Paramètres!$A$1:$I$89,3,0)*VLOOKUP('Données projet'!$B$15,Paramètres!$A$1:$I$89,5,0)</f>
        <v>-2.7134774427395314E-13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450.93388191845378</v>
      </c>
      <c r="EP152" s="62">
        <f t="shared" si="154"/>
        <v>483.33635017129325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5.6843418860808015E-14</v>
      </c>
      <c r="FF152" s="18">
        <f>FE152*VLOOKUP('Données projet'!$B$16,Paramètres!$A$1:$I$89,3,0)*VLOOKUP('Données projet'!$B$16,Paramètres!$A$1:$I$89,5,0)</f>
        <v>4.4337866711430253E-14</v>
      </c>
      <c r="FG152" s="14">
        <f t="shared" si="155"/>
        <v>7.3222115536967035E-13</v>
      </c>
      <c r="FH152" s="22">
        <f t="shared" si="130"/>
        <v>1.3525069634579169E-12</v>
      </c>
      <c r="FI152" s="62">
        <f t="shared" si="131"/>
        <v>286.57579407329445</v>
      </c>
      <c r="FJ152" s="62">
        <f ca="1">AVERAGE(OFFSET($FI$3,0,0,'Données projet'!$E$16+1,1))-AVERAGE(OFFSET($H$3,0,0,'Données projet'!$E$16+1,1))</f>
        <v>309.21625451786218</v>
      </c>
      <c r="FK152" s="62">
        <f t="shared" si="156"/>
        <v>302.59481222418219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-2.2737367544323206E-13</v>
      </c>
      <c r="O153" s="14">
        <f>N153*VLOOKUP('Données projet'!$B$9,Paramètres!$A$1:$I$89,3,0)*VLOOKUP('Données projet'!$B$9,Paramètres!$A$1:$I$89,5,0)</f>
        <v>-1.8089849618263545E-13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394.70330963327166</v>
      </c>
      <c r="T153" s="62">
        <f t="shared" si="142"/>
        <v>424.06445894109982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projet'!$B$10,Paramètres!$A$1:$I$89,3,0)*VLOOKUP('Données projet'!$B$10,Paramètres!$A$1:$I$89,5,0)</f>
        <v>4.6111381379887463E-14</v>
      </c>
      <c r="AK153" s="14">
        <f t="shared" si="143"/>
        <v>7.5804141040779151E-13</v>
      </c>
      <c r="AL153" s="22">
        <f t="shared" si="112"/>
        <v>1.4005661123635408E-12</v>
      </c>
      <c r="AM153" s="62">
        <f t="shared" si="113"/>
        <v>286.69302227186176</v>
      </c>
      <c r="AN153" s="62">
        <f ca="1">AVERAGE(OFFSET($AM$3,0,0,'Données projet'!$E$10+1,1))-AVERAGE(OFFSET($H$3,0,0,'Données projet'!$E$10+1,1))</f>
        <v>319.39055628111151</v>
      </c>
      <c r="AO153" s="62">
        <f t="shared" si="144"/>
        <v>312.22190035638084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-1.1368683772161603E-13</v>
      </c>
      <c r="BE153" s="14">
        <f>BD153*VLOOKUP('Données projet'!$B$11,Paramètres!$A$1:$I$89,3,0)*VLOOKUP('Données projet'!$B$11,Paramètres!$A$1:$I$89,5,0)</f>
        <v>-8.3355189417488869E-14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257.906524944431</v>
      </c>
      <c r="BJ153" s="62">
        <f t="shared" si="146"/>
        <v>274.70390601173563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-1.1368683772161603E-13</v>
      </c>
      <c r="BZ153" s="14">
        <f>BY153*VLOOKUP('Données projet'!$B$12,Paramètres!$A$1:$I$89,3,0)*VLOOKUP('Données projet'!$B$12,Paramètres!$A$1:$I$89,5,0)</f>
        <v>-9.2222762759774927E-14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272.69564942740931</v>
      </c>
      <c r="CE153" s="62">
        <f t="shared" si="148"/>
        <v>316.57989180609252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-2.8421709430404007E-13</v>
      </c>
      <c r="CU153" s="18">
        <f>CT153*VLOOKUP('Données projet'!$B$13,Paramètres!$A$1:$I$89,3,0)*VLOOKUP('Données projet'!$B$13,Paramètres!$A$1:$I$89,5,0)</f>
        <v>-2.7046098693972454E-13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491.87038198656927</v>
      </c>
      <c r="CZ153" s="62">
        <f t="shared" si="150"/>
        <v>406.49261644949559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>
        <f>VLOOKUP(A153,'Données projet'!$A$165:$I$185,2,0)</f>
        <v>376</v>
      </c>
      <c r="DM153" s="13">
        <f>VLOOKUP(A153,'Données projet'!$A$165:$I$185,9,0)</f>
        <v>3.5</v>
      </c>
      <c r="DN153" s="13">
        <f t="array" ref="DN153">INDEX(DM:DM,MIN(IF(ISNUMBER(DM153:DM349),ROW(DM153:DM349),"")))</f>
        <v>3.5</v>
      </c>
      <c r="DO153" s="13">
        <f>IF('Données projet'!$A$166&gt;35,DO152+DN153-DW152,IF(A153&lt;'Données projet'!$A$166,$DL$205^A153,IF(A153='Données projet'!$A$166,'Données projet'!$B$166,DO152+DN153-DW152)))</f>
        <v>375.99999999999989</v>
      </c>
      <c r="DP153" s="18">
        <f>DO153*VLOOKUP('Données projet'!$B$14,Paramètres!$A$1:$I$89,3,0)*VLOOKUP('Données projet'!$B$14,Paramètres!$A$1:$I$89,5,0)</f>
        <v>363.66719999999987</v>
      </c>
      <c r="DQ153" s="14">
        <f t="shared" si="151"/>
        <v>84.370424962226963</v>
      </c>
      <c r="DR153" s="22">
        <f t="shared" si="124"/>
        <v>780.33219680921172</v>
      </c>
      <c r="DS153" s="62">
        <f t="shared" si="125"/>
        <v>1067.025219081072</v>
      </c>
      <c r="DT153" s="62">
        <f ca="1">AVERAGE(OFFSET($DS$3,0,0,'Données projet'!$E$14+1,1))-AVERAGE(OFFSET($H$3,0,0,'Données projet'!$E$14+1,1))</f>
        <v>603.52431522262032</v>
      </c>
      <c r="DU153" s="62">
        <f t="shared" si="152"/>
        <v>313.56299786481338</v>
      </c>
      <c r="DV153" s="16">
        <f>IF(ISNA(VLOOKUP(A153,'Données projet'!$A$165:$I$185,3,0)),0,VLOOKUP(A153,'Données projet'!$A$165:$I$185,3,0))</f>
        <v>10</v>
      </c>
      <c r="DW153" s="16">
        <f>IF(ISNA(VLOOKUP(A153,'Données projet'!$A$165:$I$185,4,0)),0,VLOOKUP(A153,'Données projet'!$A$165:$I$185,4,0))</f>
        <v>376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-3.4106051316484809E-13</v>
      </c>
      <c r="EK153" s="18">
        <f>EJ153*VLOOKUP('Données projet'!$B$15,Paramètres!$A$1:$I$89,3,0)*VLOOKUP('Données projet'!$B$15,Paramètres!$A$1:$I$89,5,0)</f>
        <v>-2.7134774427395314E-13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450.93388191845378</v>
      </c>
      <c r="EP153" s="62">
        <f t="shared" si="154"/>
        <v>483.33635017129325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5.6843418860808015E-14</v>
      </c>
      <c r="FF153" s="18">
        <f>FE153*VLOOKUP('Données projet'!$B$16,Paramètres!$A$1:$I$89,3,0)*VLOOKUP('Données projet'!$B$16,Paramètres!$A$1:$I$89,5,0)</f>
        <v>4.4337866711430253E-14</v>
      </c>
      <c r="FG153" s="14">
        <f t="shared" si="155"/>
        <v>7.3222115536967035E-13</v>
      </c>
      <c r="FH153" s="22">
        <f t="shared" si="130"/>
        <v>1.3525069634579169E-12</v>
      </c>
      <c r="FI153" s="62">
        <f t="shared" si="131"/>
        <v>286.69302227186171</v>
      </c>
      <c r="FJ153" s="62">
        <f ca="1">AVERAGE(OFFSET($FI$3,0,0,'Données projet'!$E$16+1,1))-AVERAGE(OFFSET($H$3,0,0,'Données projet'!$E$16+1,1))</f>
        <v>309.21625451786218</v>
      </c>
      <c r="FK153" s="62">
        <f t="shared" si="156"/>
        <v>302.59481222418219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-2.2737367544323206E-13</v>
      </c>
      <c r="O154" s="14">
        <f>N154*VLOOKUP('Données projet'!$B$9,Paramètres!$A$1:$I$89,3,0)*VLOOKUP('Données projet'!$B$9,Paramètres!$A$1:$I$89,5,0)</f>
        <v>-1.8089849618263545E-13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394.70330963327166</v>
      </c>
      <c r="T154" s="62">
        <f t="shared" si="142"/>
        <v>424.06445894109982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4.6111381379887463E-14</v>
      </c>
      <c r="AK154" s="14">
        <f t="shared" ref="AK154:AK203" si="164">EXP(-1.0587+0.8836*LN(AJ154)+0.284)</f>
        <v>7.5804141040779151E-13</v>
      </c>
      <c r="AL154" s="22">
        <f t="shared" ref="AL154:AL203" si="165">(AJ154+AK154)*0.475*44/12</f>
        <v>1.4005661123635408E-12</v>
      </c>
      <c r="AM154" s="62">
        <f t="shared" si="113"/>
        <v>286.80821682326678</v>
      </c>
      <c r="AN154" s="62">
        <f ca="1">AVERAGE(OFFSET($AM$3,0,0,'Données projet'!$E$10+1,1))-AVERAGE(OFFSET($H$3,0,0,'Données projet'!$E$10+1,1))</f>
        <v>319.39055628111151</v>
      </c>
      <c r="AO154" s="62">
        <f t="shared" si="144"/>
        <v>312.22190035638084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>
        <f>BD154*VLOOKUP('Données projet'!$B$11,Paramètres!$A$1:$I$89,3,0)*VLOOKUP('Données projet'!$B$11,Paramètres!$A$1:$I$89,5,0)</f>
        <v>-8.3355189417488869E-14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257.906524944431</v>
      </c>
      <c r="BJ154" s="62">
        <f t="shared" si="146"/>
        <v>274.70390601173563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-1.1368683772161603E-13</v>
      </c>
      <c r="BZ154" s="14">
        <f>BY154*VLOOKUP('Données projet'!$B$12,Paramètres!$A$1:$I$89,3,0)*VLOOKUP('Données projet'!$B$12,Paramètres!$A$1:$I$89,5,0)</f>
        <v>-9.2222762759774927E-14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272.69564942740931</v>
      </c>
      <c r="CE154" s="62">
        <f t="shared" si="148"/>
        <v>316.57989180609252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-2.8421709430404007E-13</v>
      </c>
      <c r="CU154" s="18">
        <f>CT154*VLOOKUP('Données projet'!$B$13,Paramètres!$A$1:$I$89,3,0)*VLOOKUP('Données projet'!$B$13,Paramètres!$A$1:$I$89,5,0)</f>
        <v>-2.7046098693972454E-13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491.87038198656927</v>
      </c>
      <c r="CZ154" s="62">
        <f t="shared" si="150"/>
        <v>406.49261644949559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-1.1368683772161603E-13</v>
      </c>
      <c r="DP154" s="18">
        <f>DO154*VLOOKUP('Données projet'!$B$14,Paramètres!$A$1:$I$89,3,0)*VLOOKUP('Données projet'!$B$14,Paramètres!$A$1:$I$89,5,0)</f>
        <v>-1.0995790944434703E-13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603.52431522262032</v>
      </c>
      <c r="DU154" s="62">
        <f t="shared" si="152"/>
        <v>313.56299786481338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-3.4106051316484809E-13</v>
      </c>
      <c r="EK154" s="18">
        <f>EJ154*VLOOKUP('Données projet'!$B$15,Paramètres!$A$1:$I$89,3,0)*VLOOKUP('Données projet'!$B$15,Paramètres!$A$1:$I$89,5,0)</f>
        <v>-2.7134774427395314E-13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450.93388191845378</v>
      </c>
      <c r="EP154" s="62">
        <f t="shared" si="154"/>
        <v>483.33635017129325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5.6843418860808015E-14</v>
      </c>
      <c r="FF154" s="18">
        <f>FE154*VLOOKUP('Données projet'!$B$16,Paramètres!$A$1:$I$89,3,0)*VLOOKUP('Données projet'!$B$16,Paramètres!$A$1:$I$89,5,0)</f>
        <v>4.4337866711430253E-14</v>
      </c>
      <c r="FG154" s="14">
        <f t="shared" ref="FG154:FG203" si="182">EXP(-1.0587+0.8836*LN(FF154)+0.284)</f>
        <v>7.3222115536967035E-13</v>
      </c>
      <c r="FH154" s="22">
        <f t="shared" ref="FH154:FH203" si="183">(FF154+FG154)*0.475*44/12</f>
        <v>1.3525069634579169E-12</v>
      </c>
      <c r="FI154" s="62">
        <f t="shared" si="131"/>
        <v>286.80821682326672</v>
      </c>
      <c r="FJ154" s="62">
        <f ca="1">AVERAGE(OFFSET($FI$3,0,0,'Données projet'!$E$16+1,1))-AVERAGE(OFFSET($H$3,0,0,'Données projet'!$E$16+1,1))</f>
        <v>309.21625451786218</v>
      </c>
      <c r="FK154" s="62">
        <f t="shared" si="156"/>
        <v>302.59481222418219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-2.2737367544323206E-13</v>
      </c>
      <c r="O155" s="14">
        <f>N155*VLOOKUP('Données projet'!$B$9,Paramètres!$A$1:$I$89,3,0)*VLOOKUP('Données projet'!$B$9,Paramètres!$A$1:$I$89,5,0)</f>
        <v>-1.8089849618263545E-13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394.70330963327166</v>
      </c>
      <c r="T155" s="62">
        <f t="shared" si="142"/>
        <v>424.06445894109982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4.6111381379887463E-14</v>
      </c>
      <c r="AK155" s="14">
        <f t="shared" si="164"/>
        <v>7.5804141040779151E-13</v>
      </c>
      <c r="AL155" s="22">
        <f t="shared" si="165"/>
        <v>1.4005661123635408E-12</v>
      </c>
      <c r="AM155" s="62">
        <f t="shared" si="113"/>
        <v>286.92141300674132</v>
      </c>
      <c r="AN155" s="62">
        <f ca="1">AVERAGE(OFFSET($AM$3,0,0,'Données projet'!$E$10+1,1))-AVERAGE(OFFSET($H$3,0,0,'Données projet'!$E$10+1,1))</f>
        <v>319.39055628111151</v>
      </c>
      <c r="AO155" s="62">
        <f t="shared" si="144"/>
        <v>312.22190035638084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>
        <f>BD155*VLOOKUP('Données projet'!$B$11,Paramètres!$A$1:$I$89,3,0)*VLOOKUP('Données projet'!$B$11,Paramètres!$A$1:$I$89,5,0)</f>
        <v>-8.3355189417488869E-14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257.906524944431</v>
      </c>
      <c r="BJ155" s="62">
        <f t="shared" si="146"/>
        <v>274.70390601173563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-1.1368683772161603E-13</v>
      </c>
      <c r="BZ155" s="14">
        <f>BY155*VLOOKUP('Données projet'!$B$12,Paramètres!$A$1:$I$89,3,0)*VLOOKUP('Données projet'!$B$12,Paramètres!$A$1:$I$89,5,0)</f>
        <v>-9.2222762759774927E-14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272.69564942740931</v>
      </c>
      <c r="CE155" s="62">
        <f t="shared" si="148"/>
        <v>316.57989180609252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-2.8421709430404007E-13</v>
      </c>
      <c r="CU155" s="18">
        <f>CT155*VLOOKUP('Données projet'!$B$13,Paramètres!$A$1:$I$89,3,0)*VLOOKUP('Données projet'!$B$13,Paramètres!$A$1:$I$89,5,0)</f>
        <v>-2.7046098693972454E-13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491.87038198656927</v>
      </c>
      <c r="CZ155" s="62">
        <f t="shared" si="150"/>
        <v>406.49261644949559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-1.1368683772161603E-13</v>
      </c>
      <c r="DP155" s="18">
        <f>DO155*VLOOKUP('Données projet'!$B$14,Paramètres!$A$1:$I$89,3,0)*VLOOKUP('Données projet'!$B$14,Paramètres!$A$1:$I$89,5,0)</f>
        <v>-1.0995790944434703E-13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603.52431522262032</v>
      </c>
      <c r="DU155" s="62">
        <f t="shared" si="152"/>
        <v>313.56299786481338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-3.4106051316484809E-13</v>
      </c>
      <c r="EK155" s="18">
        <f>EJ155*VLOOKUP('Données projet'!$B$15,Paramètres!$A$1:$I$89,3,0)*VLOOKUP('Données projet'!$B$15,Paramètres!$A$1:$I$89,5,0)</f>
        <v>-2.7134774427395314E-13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450.93388191845378</v>
      </c>
      <c r="EP155" s="62">
        <f t="shared" si="154"/>
        <v>483.33635017129325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5.6843418860808015E-14</v>
      </c>
      <c r="FF155" s="18">
        <f>FE155*VLOOKUP('Données projet'!$B$16,Paramètres!$A$1:$I$89,3,0)*VLOOKUP('Données projet'!$B$16,Paramètres!$A$1:$I$89,5,0)</f>
        <v>4.4337866711430253E-14</v>
      </c>
      <c r="FG155" s="14">
        <f t="shared" si="182"/>
        <v>7.3222115536967035E-13</v>
      </c>
      <c r="FH155" s="22">
        <f t="shared" si="183"/>
        <v>1.3525069634579169E-12</v>
      </c>
      <c r="FI155" s="62">
        <f t="shared" si="131"/>
        <v>286.92141300674126</v>
      </c>
      <c r="FJ155" s="62">
        <f ca="1">AVERAGE(OFFSET($FI$3,0,0,'Données projet'!$E$16+1,1))-AVERAGE(OFFSET($H$3,0,0,'Données projet'!$E$16+1,1))</f>
        <v>309.21625451786218</v>
      </c>
      <c r="FK155" s="62">
        <f t="shared" si="156"/>
        <v>302.59481222418219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-2.2737367544323206E-13</v>
      </c>
      <c r="O156" s="14">
        <f>N156*VLOOKUP('Données projet'!$B$9,Paramètres!$A$1:$I$89,3,0)*VLOOKUP('Données projet'!$B$9,Paramètres!$A$1:$I$89,5,0)</f>
        <v>-1.8089849618263545E-13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394.70330963327166</v>
      </c>
      <c r="T156" s="62">
        <f t="shared" si="142"/>
        <v>424.06445894109982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4.6111381379887463E-14</v>
      </c>
      <c r="AK156" s="14">
        <f t="shared" si="164"/>
        <v>7.5804141040779151E-13</v>
      </c>
      <c r="AL156" s="22">
        <f t="shared" si="165"/>
        <v>1.4005661123635408E-12</v>
      </c>
      <c r="AM156" s="62">
        <f t="shared" si="113"/>
        <v>287.03264548950142</v>
      </c>
      <c r="AN156" s="62">
        <f ca="1">AVERAGE(OFFSET($AM$3,0,0,'Données projet'!$E$10+1,1))-AVERAGE(OFFSET($H$3,0,0,'Données projet'!$E$10+1,1))</f>
        <v>319.39055628111151</v>
      </c>
      <c r="AO156" s="62">
        <f t="shared" si="144"/>
        <v>312.22190035638084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>
        <f>BD156*VLOOKUP('Données projet'!$B$11,Paramètres!$A$1:$I$89,3,0)*VLOOKUP('Données projet'!$B$11,Paramètres!$A$1:$I$89,5,0)</f>
        <v>-8.3355189417488869E-14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257.906524944431</v>
      </c>
      <c r="BJ156" s="62">
        <f t="shared" si="146"/>
        <v>274.70390601173563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-1.1368683772161603E-13</v>
      </c>
      <c r="BZ156" s="14">
        <f>BY156*VLOOKUP('Données projet'!$B$12,Paramètres!$A$1:$I$89,3,0)*VLOOKUP('Données projet'!$B$12,Paramètres!$A$1:$I$89,5,0)</f>
        <v>-9.2222762759774927E-14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272.69564942740931</v>
      </c>
      <c r="CE156" s="62">
        <f t="shared" si="148"/>
        <v>316.57989180609252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-2.8421709430404007E-13</v>
      </c>
      <c r="CU156" s="18">
        <f>CT156*VLOOKUP('Données projet'!$B$13,Paramètres!$A$1:$I$89,3,0)*VLOOKUP('Données projet'!$B$13,Paramètres!$A$1:$I$89,5,0)</f>
        <v>-2.7046098693972454E-13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491.87038198656927</v>
      </c>
      <c r="CZ156" s="62">
        <f t="shared" si="150"/>
        <v>406.49261644949559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-1.1368683772161603E-13</v>
      </c>
      <c r="DP156" s="18">
        <f>DO156*VLOOKUP('Données projet'!$B$14,Paramètres!$A$1:$I$89,3,0)*VLOOKUP('Données projet'!$B$14,Paramètres!$A$1:$I$89,5,0)</f>
        <v>-1.0995790944434703E-13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603.52431522262032</v>
      </c>
      <c r="DU156" s="62">
        <f t="shared" si="152"/>
        <v>313.56299786481338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-3.4106051316484809E-13</v>
      </c>
      <c r="EK156" s="18">
        <f>EJ156*VLOOKUP('Données projet'!$B$15,Paramètres!$A$1:$I$89,3,0)*VLOOKUP('Données projet'!$B$15,Paramètres!$A$1:$I$89,5,0)</f>
        <v>-2.7134774427395314E-13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450.93388191845378</v>
      </c>
      <c r="EP156" s="62">
        <f t="shared" si="154"/>
        <v>483.33635017129325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5.6843418860808015E-14</v>
      </c>
      <c r="FF156" s="18">
        <f>FE156*VLOOKUP('Données projet'!$B$16,Paramètres!$A$1:$I$89,3,0)*VLOOKUP('Données projet'!$B$16,Paramètres!$A$1:$I$89,5,0)</f>
        <v>4.4337866711430253E-14</v>
      </c>
      <c r="FG156" s="14">
        <f t="shared" si="182"/>
        <v>7.3222115536967035E-13</v>
      </c>
      <c r="FH156" s="22">
        <f t="shared" si="183"/>
        <v>1.3525069634579169E-12</v>
      </c>
      <c r="FI156" s="62">
        <f t="shared" si="131"/>
        <v>287.03264548950136</v>
      </c>
      <c r="FJ156" s="62">
        <f ca="1">AVERAGE(OFFSET($FI$3,0,0,'Données projet'!$E$16+1,1))-AVERAGE(OFFSET($H$3,0,0,'Données projet'!$E$16+1,1))</f>
        <v>309.21625451786218</v>
      </c>
      <c r="FK156" s="62">
        <f t="shared" si="156"/>
        <v>302.59481222418219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-2.2737367544323206E-13</v>
      </c>
      <c r="O157" s="14">
        <f>N157*VLOOKUP('Données projet'!$B$9,Paramètres!$A$1:$I$89,3,0)*VLOOKUP('Données projet'!$B$9,Paramètres!$A$1:$I$89,5,0)</f>
        <v>-1.8089849618263545E-13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394.70330963327166</v>
      </c>
      <c r="T157" s="62">
        <f t="shared" si="142"/>
        <v>424.06445894109982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4.6111381379887463E-14</v>
      </c>
      <c r="AK157" s="14">
        <f t="shared" si="164"/>
        <v>7.5804141040779151E-13</v>
      </c>
      <c r="AL157" s="22">
        <f t="shared" si="165"/>
        <v>1.4005661123635408E-12</v>
      </c>
      <c r="AM157" s="62">
        <f t="shared" si="113"/>
        <v>287.14194833736417</v>
      </c>
      <c r="AN157" s="62">
        <f ca="1">AVERAGE(OFFSET($AM$3,0,0,'Données projet'!$E$10+1,1))-AVERAGE(OFFSET($H$3,0,0,'Données projet'!$E$10+1,1))</f>
        <v>319.39055628111151</v>
      </c>
      <c r="AO157" s="62">
        <f t="shared" si="144"/>
        <v>312.22190035638084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>
        <f>BD157*VLOOKUP('Données projet'!$B$11,Paramètres!$A$1:$I$89,3,0)*VLOOKUP('Données projet'!$B$11,Paramètres!$A$1:$I$89,5,0)</f>
        <v>-8.3355189417488869E-14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257.906524944431</v>
      </c>
      <c r="BJ157" s="62">
        <f t="shared" si="146"/>
        <v>274.70390601173563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-1.1368683772161603E-13</v>
      </c>
      <c r="BZ157" s="14">
        <f>BY157*VLOOKUP('Données projet'!$B$12,Paramètres!$A$1:$I$89,3,0)*VLOOKUP('Données projet'!$B$12,Paramètres!$A$1:$I$89,5,0)</f>
        <v>-9.2222762759774927E-14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272.69564942740931</v>
      </c>
      <c r="CE157" s="62">
        <f t="shared" si="148"/>
        <v>316.57989180609252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-2.8421709430404007E-13</v>
      </c>
      <c r="CU157" s="18">
        <f>CT157*VLOOKUP('Données projet'!$B$13,Paramètres!$A$1:$I$89,3,0)*VLOOKUP('Données projet'!$B$13,Paramètres!$A$1:$I$89,5,0)</f>
        <v>-2.7046098693972454E-13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491.87038198656927</v>
      </c>
      <c r="CZ157" s="62">
        <f t="shared" si="150"/>
        <v>406.49261644949559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-1.1368683772161603E-13</v>
      </c>
      <c r="DP157" s="18">
        <f>DO157*VLOOKUP('Données projet'!$B$14,Paramètres!$A$1:$I$89,3,0)*VLOOKUP('Données projet'!$B$14,Paramètres!$A$1:$I$89,5,0)</f>
        <v>-1.0995790944434703E-13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603.52431522262032</v>
      </c>
      <c r="DU157" s="62">
        <f t="shared" si="152"/>
        <v>313.56299786481338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-3.4106051316484809E-13</v>
      </c>
      <c r="EK157" s="18">
        <f>EJ157*VLOOKUP('Données projet'!$B$15,Paramètres!$A$1:$I$89,3,0)*VLOOKUP('Données projet'!$B$15,Paramètres!$A$1:$I$89,5,0)</f>
        <v>-2.7134774427395314E-13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450.93388191845378</v>
      </c>
      <c r="EP157" s="62">
        <f t="shared" si="154"/>
        <v>483.33635017129325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5.6843418860808015E-14</v>
      </c>
      <c r="FF157" s="18">
        <f>FE157*VLOOKUP('Données projet'!$B$16,Paramètres!$A$1:$I$89,3,0)*VLOOKUP('Données projet'!$B$16,Paramètres!$A$1:$I$89,5,0)</f>
        <v>4.4337866711430253E-14</v>
      </c>
      <c r="FG157" s="14">
        <f t="shared" si="182"/>
        <v>7.3222115536967035E-13</v>
      </c>
      <c r="FH157" s="22">
        <f t="shared" si="183"/>
        <v>1.3525069634579169E-12</v>
      </c>
      <c r="FI157" s="62">
        <f t="shared" si="131"/>
        <v>287.14194833736411</v>
      </c>
      <c r="FJ157" s="62">
        <f ca="1">AVERAGE(OFFSET($FI$3,0,0,'Données projet'!$E$16+1,1))-AVERAGE(OFFSET($H$3,0,0,'Données projet'!$E$16+1,1))</f>
        <v>309.21625451786218</v>
      </c>
      <c r="FK157" s="62">
        <f t="shared" si="156"/>
        <v>302.59481222418219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-2.2737367544323206E-13</v>
      </c>
      <c r="O158" s="14">
        <f>N158*VLOOKUP('Données projet'!$B$9,Paramètres!$A$1:$I$89,3,0)*VLOOKUP('Données projet'!$B$9,Paramètres!$A$1:$I$89,5,0)</f>
        <v>-1.8089849618263545E-13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394.70330963327166</v>
      </c>
      <c r="T158" s="62">
        <f t="shared" si="142"/>
        <v>424.06445894109982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4.6111381379887463E-14</v>
      </c>
      <c r="AK158" s="14">
        <f t="shared" si="164"/>
        <v>7.5804141040779151E-13</v>
      </c>
      <c r="AL158" s="22">
        <f t="shared" si="165"/>
        <v>1.4005661123635408E-12</v>
      </c>
      <c r="AM158" s="62">
        <f t="shared" si="113"/>
        <v>287.2493550251811</v>
      </c>
      <c r="AN158" s="62">
        <f ca="1">AVERAGE(OFFSET($AM$3,0,0,'Données projet'!$E$10+1,1))-AVERAGE(OFFSET($H$3,0,0,'Données projet'!$E$10+1,1))</f>
        <v>319.39055628111151</v>
      </c>
      <c r="AO158" s="62">
        <f t="shared" si="144"/>
        <v>312.22190035638084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>
        <f>BD158*VLOOKUP('Données projet'!$B$11,Paramètres!$A$1:$I$89,3,0)*VLOOKUP('Données projet'!$B$11,Paramètres!$A$1:$I$89,5,0)</f>
        <v>-8.3355189417488869E-14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257.906524944431</v>
      </c>
      <c r="BJ158" s="62">
        <f t="shared" si="146"/>
        <v>274.70390601173563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-1.1368683772161603E-13</v>
      </c>
      <c r="BZ158" s="14">
        <f>BY158*VLOOKUP('Données projet'!$B$12,Paramètres!$A$1:$I$89,3,0)*VLOOKUP('Données projet'!$B$12,Paramètres!$A$1:$I$89,5,0)</f>
        <v>-9.2222762759774927E-14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272.69564942740931</v>
      </c>
      <c r="CE158" s="62">
        <f t="shared" si="148"/>
        <v>316.57989180609252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-2.8421709430404007E-13</v>
      </c>
      <c r="CU158" s="18">
        <f>CT158*VLOOKUP('Données projet'!$B$13,Paramètres!$A$1:$I$89,3,0)*VLOOKUP('Données projet'!$B$13,Paramètres!$A$1:$I$89,5,0)</f>
        <v>-2.7046098693972454E-13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491.87038198656927</v>
      </c>
      <c r="CZ158" s="62">
        <f t="shared" si="150"/>
        <v>406.49261644949559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-1.1368683772161603E-13</v>
      </c>
      <c r="DP158" s="18">
        <f>DO158*VLOOKUP('Données projet'!$B$14,Paramètres!$A$1:$I$89,3,0)*VLOOKUP('Données projet'!$B$14,Paramètres!$A$1:$I$89,5,0)</f>
        <v>-1.0995790944434703E-13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603.52431522262032</v>
      </c>
      <c r="DU158" s="62">
        <f t="shared" si="152"/>
        <v>313.56299786481338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-3.4106051316484809E-13</v>
      </c>
      <c r="EK158" s="18">
        <f>EJ158*VLOOKUP('Données projet'!$B$15,Paramètres!$A$1:$I$89,3,0)*VLOOKUP('Données projet'!$B$15,Paramètres!$A$1:$I$89,5,0)</f>
        <v>-2.7134774427395314E-13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450.93388191845378</v>
      </c>
      <c r="EP158" s="62">
        <f t="shared" si="154"/>
        <v>483.33635017129325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5.6843418860808015E-14</v>
      </c>
      <c r="FF158" s="18">
        <f>FE158*VLOOKUP('Données projet'!$B$16,Paramètres!$A$1:$I$89,3,0)*VLOOKUP('Données projet'!$B$16,Paramètres!$A$1:$I$89,5,0)</f>
        <v>4.4337866711430253E-14</v>
      </c>
      <c r="FG158" s="14">
        <f t="shared" si="182"/>
        <v>7.3222115536967035E-13</v>
      </c>
      <c r="FH158" s="22">
        <f t="shared" si="183"/>
        <v>1.3525069634579169E-12</v>
      </c>
      <c r="FI158" s="62">
        <f t="shared" si="131"/>
        <v>287.24935502518105</v>
      </c>
      <c r="FJ158" s="62">
        <f ca="1">AVERAGE(OFFSET($FI$3,0,0,'Données projet'!$E$16+1,1))-AVERAGE(OFFSET($H$3,0,0,'Données projet'!$E$16+1,1))</f>
        <v>309.21625451786218</v>
      </c>
      <c r="FK158" s="62">
        <f t="shared" si="156"/>
        <v>302.59481222418219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-2.2737367544323206E-13</v>
      </c>
      <c r="O159" s="14">
        <f>N159*VLOOKUP('Données projet'!$B$9,Paramètres!$A$1:$I$89,3,0)*VLOOKUP('Données projet'!$B$9,Paramètres!$A$1:$I$89,5,0)</f>
        <v>-1.8089849618263545E-13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394.70330963327166</v>
      </c>
      <c r="T159" s="62">
        <f t="shared" si="142"/>
        <v>424.06445894109982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4.6111381379887463E-14</v>
      </c>
      <c r="AK159" s="14">
        <f t="shared" si="164"/>
        <v>7.5804141040779151E-13</v>
      </c>
      <c r="AL159" s="22">
        <f t="shared" si="165"/>
        <v>1.4005661123635408E-12</v>
      </c>
      <c r="AM159" s="62">
        <f t="shared" si="113"/>
        <v>287.35489844708974</v>
      </c>
      <c r="AN159" s="62">
        <f ca="1">AVERAGE(OFFSET($AM$3,0,0,'Données projet'!$E$10+1,1))-AVERAGE(OFFSET($H$3,0,0,'Données projet'!$E$10+1,1))</f>
        <v>319.39055628111151</v>
      </c>
      <c r="AO159" s="62">
        <f t="shared" si="144"/>
        <v>312.22190035638084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>
        <f>BD159*VLOOKUP('Données projet'!$B$11,Paramètres!$A$1:$I$89,3,0)*VLOOKUP('Données projet'!$B$11,Paramètres!$A$1:$I$89,5,0)</f>
        <v>-8.3355189417488869E-14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257.906524944431</v>
      </c>
      <c r="BJ159" s="62">
        <f t="shared" si="146"/>
        <v>274.70390601173563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-1.1368683772161603E-13</v>
      </c>
      <c r="BZ159" s="14">
        <f>BY159*VLOOKUP('Données projet'!$B$12,Paramètres!$A$1:$I$89,3,0)*VLOOKUP('Données projet'!$B$12,Paramètres!$A$1:$I$89,5,0)</f>
        <v>-9.2222762759774927E-14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272.69564942740931</v>
      </c>
      <c r="CE159" s="62">
        <f t="shared" si="148"/>
        <v>316.57989180609252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-2.8421709430404007E-13</v>
      </c>
      <c r="CU159" s="18">
        <f>CT159*VLOOKUP('Données projet'!$B$13,Paramètres!$A$1:$I$89,3,0)*VLOOKUP('Données projet'!$B$13,Paramètres!$A$1:$I$89,5,0)</f>
        <v>-2.7046098693972454E-13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491.87038198656927</v>
      </c>
      <c r="CZ159" s="62">
        <f t="shared" si="150"/>
        <v>406.49261644949559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-1.1368683772161603E-13</v>
      </c>
      <c r="DP159" s="18">
        <f>DO159*VLOOKUP('Données projet'!$B$14,Paramètres!$A$1:$I$89,3,0)*VLOOKUP('Données projet'!$B$14,Paramètres!$A$1:$I$89,5,0)</f>
        <v>-1.0995790944434703E-13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603.52431522262032</v>
      </c>
      <c r="DU159" s="62">
        <f t="shared" si="152"/>
        <v>313.56299786481338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-3.4106051316484809E-13</v>
      </c>
      <c r="EK159" s="18">
        <f>EJ159*VLOOKUP('Données projet'!$B$15,Paramètres!$A$1:$I$89,3,0)*VLOOKUP('Données projet'!$B$15,Paramètres!$A$1:$I$89,5,0)</f>
        <v>-2.7134774427395314E-13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450.93388191845378</v>
      </c>
      <c r="EP159" s="62">
        <f t="shared" si="154"/>
        <v>483.33635017129325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5.6843418860808015E-14</v>
      </c>
      <c r="FF159" s="18">
        <f>FE159*VLOOKUP('Données projet'!$B$16,Paramètres!$A$1:$I$89,3,0)*VLOOKUP('Données projet'!$B$16,Paramètres!$A$1:$I$89,5,0)</f>
        <v>4.4337866711430253E-14</v>
      </c>
      <c r="FG159" s="14">
        <f t="shared" si="182"/>
        <v>7.3222115536967035E-13</v>
      </c>
      <c r="FH159" s="22">
        <f t="shared" si="183"/>
        <v>1.3525069634579169E-12</v>
      </c>
      <c r="FI159" s="62">
        <f t="shared" si="131"/>
        <v>287.35489844708968</v>
      </c>
      <c r="FJ159" s="62">
        <f ca="1">AVERAGE(OFFSET($FI$3,0,0,'Données projet'!$E$16+1,1))-AVERAGE(OFFSET($H$3,0,0,'Données projet'!$E$16+1,1))</f>
        <v>309.21625451786218</v>
      </c>
      <c r="FK159" s="62">
        <f t="shared" si="156"/>
        <v>302.59481222418219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-2.2737367544323206E-13</v>
      </c>
      <c r="O160" s="14">
        <f>N160*VLOOKUP('Données projet'!$B$9,Paramètres!$A$1:$I$89,3,0)*VLOOKUP('Données projet'!$B$9,Paramètres!$A$1:$I$89,5,0)</f>
        <v>-1.8089849618263545E-13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394.70330963327166</v>
      </c>
      <c r="T160" s="62">
        <f t="shared" si="142"/>
        <v>424.06445894109982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4.6111381379887463E-14</v>
      </c>
      <c r="AK160" s="14">
        <f t="shared" si="164"/>
        <v>7.5804141040779151E-13</v>
      </c>
      <c r="AL160" s="22">
        <f t="shared" si="165"/>
        <v>1.4005661123635408E-12</v>
      </c>
      <c r="AM160" s="62">
        <f t="shared" si="113"/>
        <v>287.45861092658799</v>
      </c>
      <c r="AN160" s="62">
        <f ca="1">AVERAGE(OFFSET($AM$3,0,0,'Données projet'!$E$10+1,1))-AVERAGE(OFFSET($H$3,0,0,'Données projet'!$E$10+1,1))</f>
        <v>319.39055628111151</v>
      </c>
      <c r="AO160" s="62">
        <f t="shared" si="144"/>
        <v>312.22190035638084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>
        <f>BD160*VLOOKUP('Données projet'!$B$11,Paramètres!$A$1:$I$89,3,0)*VLOOKUP('Données projet'!$B$11,Paramètres!$A$1:$I$89,5,0)</f>
        <v>-8.3355189417488869E-14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257.906524944431</v>
      </c>
      <c r="BJ160" s="62">
        <f t="shared" si="146"/>
        <v>274.70390601173563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-1.1368683772161603E-13</v>
      </c>
      <c r="BZ160" s="14">
        <f>BY160*VLOOKUP('Données projet'!$B$12,Paramètres!$A$1:$I$89,3,0)*VLOOKUP('Données projet'!$B$12,Paramètres!$A$1:$I$89,5,0)</f>
        <v>-9.2222762759774927E-14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272.69564942740931</v>
      </c>
      <c r="CE160" s="62">
        <f t="shared" si="148"/>
        <v>316.57989180609252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-2.8421709430404007E-13</v>
      </c>
      <c r="CU160" s="18">
        <f>CT160*VLOOKUP('Données projet'!$B$13,Paramètres!$A$1:$I$89,3,0)*VLOOKUP('Données projet'!$B$13,Paramètres!$A$1:$I$89,5,0)</f>
        <v>-2.7046098693972454E-13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491.87038198656927</v>
      </c>
      <c r="CZ160" s="62">
        <f t="shared" si="150"/>
        <v>406.49261644949559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-1.1368683772161603E-13</v>
      </c>
      <c r="DP160" s="18">
        <f>DO160*VLOOKUP('Données projet'!$B$14,Paramètres!$A$1:$I$89,3,0)*VLOOKUP('Données projet'!$B$14,Paramètres!$A$1:$I$89,5,0)</f>
        <v>-1.0995790944434703E-13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603.52431522262032</v>
      </c>
      <c r="DU160" s="62">
        <f t="shared" si="152"/>
        <v>313.56299786481338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-3.4106051316484809E-13</v>
      </c>
      <c r="EK160" s="18">
        <f>EJ160*VLOOKUP('Données projet'!$B$15,Paramètres!$A$1:$I$89,3,0)*VLOOKUP('Données projet'!$B$15,Paramètres!$A$1:$I$89,5,0)</f>
        <v>-2.7134774427395314E-13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450.93388191845378</v>
      </c>
      <c r="EP160" s="62">
        <f t="shared" si="154"/>
        <v>483.33635017129325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5.6843418860808015E-14</v>
      </c>
      <c r="FF160" s="18">
        <f>FE160*VLOOKUP('Données projet'!$B$16,Paramètres!$A$1:$I$89,3,0)*VLOOKUP('Données projet'!$B$16,Paramètres!$A$1:$I$89,5,0)</f>
        <v>4.4337866711430253E-14</v>
      </c>
      <c r="FG160" s="14">
        <f t="shared" si="182"/>
        <v>7.3222115536967035E-13</v>
      </c>
      <c r="FH160" s="22">
        <f t="shared" si="183"/>
        <v>1.3525069634579169E-12</v>
      </c>
      <c r="FI160" s="62">
        <f t="shared" si="131"/>
        <v>287.45861092658794</v>
      </c>
      <c r="FJ160" s="62">
        <f ca="1">AVERAGE(OFFSET($FI$3,0,0,'Données projet'!$E$16+1,1))-AVERAGE(OFFSET($H$3,0,0,'Données projet'!$E$16+1,1))</f>
        <v>309.21625451786218</v>
      </c>
      <c r="FK160" s="62">
        <f t="shared" si="156"/>
        <v>302.59481222418219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-2.2737367544323206E-13</v>
      </c>
      <c r="O161" s="14">
        <f>N161*VLOOKUP('Données projet'!$B$9,Paramètres!$A$1:$I$89,3,0)*VLOOKUP('Données projet'!$B$9,Paramètres!$A$1:$I$89,5,0)</f>
        <v>-1.8089849618263545E-13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394.70330963327166</v>
      </c>
      <c r="T161" s="62">
        <f t="shared" si="142"/>
        <v>424.06445894109982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4.6111381379887463E-14</v>
      </c>
      <c r="AK161" s="14">
        <f t="shared" si="164"/>
        <v>7.5804141040779151E-13</v>
      </c>
      <c r="AL161" s="22">
        <f t="shared" si="165"/>
        <v>1.4005661123635408E-12</v>
      </c>
      <c r="AM161" s="62">
        <f t="shared" si="113"/>
        <v>287.56052422643342</v>
      </c>
      <c r="AN161" s="62">
        <f ca="1">AVERAGE(OFFSET($AM$3,0,0,'Données projet'!$E$10+1,1))-AVERAGE(OFFSET($H$3,0,0,'Données projet'!$E$10+1,1))</f>
        <v>319.39055628111151</v>
      </c>
      <c r="AO161" s="62">
        <f t="shared" si="144"/>
        <v>312.22190035638084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>
        <f>BD161*VLOOKUP('Données projet'!$B$11,Paramètres!$A$1:$I$89,3,0)*VLOOKUP('Données projet'!$B$11,Paramètres!$A$1:$I$89,5,0)</f>
        <v>-8.3355189417488869E-14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257.906524944431</v>
      </c>
      <c r="BJ161" s="62">
        <f t="shared" si="146"/>
        <v>274.70390601173563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-1.1368683772161603E-13</v>
      </c>
      <c r="BZ161" s="14">
        <f>BY161*VLOOKUP('Données projet'!$B$12,Paramètres!$A$1:$I$89,3,0)*VLOOKUP('Données projet'!$B$12,Paramètres!$A$1:$I$89,5,0)</f>
        <v>-9.2222762759774927E-14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272.69564942740931</v>
      </c>
      <c r="CE161" s="62">
        <f t="shared" si="148"/>
        <v>316.57989180609252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-2.8421709430404007E-13</v>
      </c>
      <c r="CU161" s="18">
        <f>CT161*VLOOKUP('Données projet'!$B$13,Paramètres!$A$1:$I$89,3,0)*VLOOKUP('Données projet'!$B$13,Paramètres!$A$1:$I$89,5,0)</f>
        <v>-2.7046098693972454E-13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491.87038198656927</v>
      </c>
      <c r="CZ161" s="62">
        <f t="shared" si="150"/>
        <v>406.49261644949559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-1.1368683772161603E-13</v>
      </c>
      <c r="DP161" s="18">
        <f>DO161*VLOOKUP('Données projet'!$B$14,Paramètres!$A$1:$I$89,3,0)*VLOOKUP('Données projet'!$B$14,Paramètres!$A$1:$I$89,5,0)</f>
        <v>-1.0995790944434703E-13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603.52431522262032</v>
      </c>
      <c r="DU161" s="62">
        <f t="shared" si="152"/>
        <v>313.56299786481338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-3.4106051316484809E-13</v>
      </c>
      <c r="EK161" s="18">
        <f>EJ161*VLOOKUP('Données projet'!$B$15,Paramètres!$A$1:$I$89,3,0)*VLOOKUP('Données projet'!$B$15,Paramètres!$A$1:$I$89,5,0)</f>
        <v>-2.7134774427395314E-13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450.93388191845378</v>
      </c>
      <c r="EP161" s="62">
        <f t="shared" si="154"/>
        <v>483.33635017129325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5.6843418860808015E-14</v>
      </c>
      <c r="FF161" s="18">
        <f>FE161*VLOOKUP('Données projet'!$B$16,Paramètres!$A$1:$I$89,3,0)*VLOOKUP('Données projet'!$B$16,Paramètres!$A$1:$I$89,5,0)</f>
        <v>4.4337866711430253E-14</v>
      </c>
      <c r="FG161" s="14">
        <f t="shared" si="182"/>
        <v>7.3222115536967035E-13</v>
      </c>
      <c r="FH161" s="22">
        <f t="shared" si="183"/>
        <v>1.3525069634579169E-12</v>
      </c>
      <c r="FI161" s="62">
        <f t="shared" si="131"/>
        <v>287.56052422643336</v>
      </c>
      <c r="FJ161" s="62">
        <f ca="1">AVERAGE(OFFSET($FI$3,0,0,'Données projet'!$E$16+1,1))-AVERAGE(OFFSET($H$3,0,0,'Données projet'!$E$16+1,1))</f>
        <v>309.21625451786218</v>
      </c>
      <c r="FK161" s="62">
        <f t="shared" si="156"/>
        <v>302.59481222418219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-2.2737367544323206E-13</v>
      </c>
      <c r="O162" s="14">
        <f>N162*VLOOKUP('Données projet'!$B$9,Paramètres!$A$1:$I$89,3,0)*VLOOKUP('Données projet'!$B$9,Paramètres!$A$1:$I$89,5,0)</f>
        <v>-1.8089849618263545E-13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394.70330963327166</v>
      </c>
      <c r="T162" s="62">
        <f t="shared" si="142"/>
        <v>424.06445894109982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4.6111381379887463E-14</v>
      </c>
      <c r="AK162" s="14">
        <f t="shared" si="164"/>
        <v>7.5804141040779151E-13</v>
      </c>
      <c r="AL162" s="22">
        <f t="shared" si="165"/>
        <v>1.4005661123635408E-12</v>
      </c>
      <c r="AM162" s="62">
        <f t="shared" si="113"/>
        <v>287.66066955837039</v>
      </c>
      <c r="AN162" s="62">
        <f ca="1">AVERAGE(OFFSET($AM$3,0,0,'Données projet'!$E$10+1,1))-AVERAGE(OFFSET($H$3,0,0,'Données projet'!$E$10+1,1))</f>
        <v>319.39055628111151</v>
      </c>
      <c r="AO162" s="62">
        <f t="shared" si="144"/>
        <v>312.22190035638084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>
        <f>BD162*VLOOKUP('Données projet'!$B$11,Paramètres!$A$1:$I$89,3,0)*VLOOKUP('Données projet'!$B$11,Paramètres!$A$1:$I$89,5,0)</f>
        <v>-8.3355189417488869E-14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257.906524944431</v>
      </c>
      <c r="BJ162" s="62">
        <f t="shared" si="146"/>
        <v>274.70390601173563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-1.1368683772161603E-13</v>
      </c>
      <c r="BZ162" s="14">
        <f>BY162*VLOOKUP('Données projet'!$B$12,Paramètres!$A$1:$I$89,3,0)*VLOOKUP('Données projet'!$B$12,Paramètres!$A$1:$I$89,5,0)</f>
        <v>-9.2222762759774927E-14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272.69564942740931</v>
      </c>
      <c r="CE162" s="62">
        <f t="shared" si="148"/>
        <v>316.57989180609252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-2.8421709430404007E-13</v>
      </c>
      <c r="CU162" s="18">
        <f>CT162*VLOOKUP('Données projet'!$B$13,Paramètres!$A$1:$I$89,3,0)*VLOOKUP('Données projet'!$B$13,Paramètres!$A$1:$I$89,5,0)</f>
        <v>-2.7046098693972454E-13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491.87038198656927</v>
      </c>
      <c r="CZ162" s="62">
        <f t="shared" si="150"/>
        <v>406.49261644949559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-1.1368683772161603E-13</v>
      </c>
      <c r="DP162" s="18">
        <f>DO162*VLOOKUP('Données projet'!$B$14,Paramètres!$A$1:$I$89,3,0)*VLOOKUP('Données projet'!$B$14,Paramètres!$A$1:$I$89,5,0)</f>
        <v>-1.0995790944434703E-13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603.52431522262032</v>
      </c>
      <c r="DU162" s="62">
        <f t="shared" si="152"/>
        <v>313.56299786481338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-3.4106051316484809E-13</v>
      </c>
      <c r="EK162" s="18">
        <f>EJ162*VLOOKUP('Données projet'!$B$15,Paramètres!$A$1:$I$89,3,0)*VLOOKUP('Données projet'!$B$15,Paramètres!$A$1:$I$89,5,0)</f>
        <v>-2.7134774427395314E-13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450.93388191845378</v>
      </c>
      <c r="EP162" s="62">
        <f t="shared" si="154"/>
        <v>483.33635017129325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5.6843418860808015E-14</v>
      </c>
      <c r="FF162" s="18">
        <f>FE162*VLOOKUP('Données projet'!$B$16,Paramètres!$A$1:$I$89,3,0)*VLOOKUP('Données projet'!$B$16,Paramètres!$A$1:$I$89,5,0)</f>
        <v>4.4337866711430253E-14</v>
      </c>
      <c r="FG162" s="14">
        <f t="shared" si="182"/>
        <v>7.3222115536967035E-13</v>
      </c>
      <c r="FH162" s="22">
        <f t="shared" si="183"/>
        <v>1.3525069634579169E-12</v>
      </c>
      <c r="FI162" s="62">
        <f t="shared" si="131"/>
        <v>287.66066955837033</v>
      </c>
      <c r="FJ162" s="62">
        <f ca="1">AVERAGE(OFFSET($FI$3,0,0,'Données projet'!$E$16+1,1))-AVERAGE(OFFSET($H$3,0,0,'Données projet'!$E$16+1,1))</f>
        <v>309.21625451786218</v>
      </c>
      <c r="FK162" s="62">
        <f t="shared" si="156"/>
        <v>302.59481222418219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-2.2737367544323206E-13</v>
      </c>
      <c r="O163" s="14">
        <f>N163*VLOOKUP('Données projet'!$B$9,Paramètres!$A$1:$I$89,3,0)*VLOOKUP('Données projet'!$B$9,Paramètres!$A$1:$I$89,5,0)</f>
        <v>-1.8089849618263545E-13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394.70330963327166</v>
      </c>
      <c r="T163" s="62">
        <f t="shared" si="142"/>
        <v>424.06445894109982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4.6111381379887463E-14</v>
      </c>
      <c r="AK163" s="14">
        <f t="shared" si="164"/>
        <v>7.5804141040779151E-13</v>
      </c>
      <c r="AL163" s="22">
        <f t="shared" si="165"/>
        <v>1.4005661123635408E-12</v>
      </c>
      <c r="AM163" s="62">
        <f t="shared" si="113"/>
        <v>287.75907759268978</v>
      </c>
      <c r="AN163" s="62">
        <f ca="1">AVERAGE(OFFSET($AM$3,0,0,'Données projet'!$E$10+1,1))-AVERAGE(OFFSET($H$3,0,0,'Données projet'!$E$10+1,1))</f>
        <v>319.39055628111151</v>
      </c>
      <c r="AO163" s="62">
        <f t="shared" si="144"/>
        <v>312.22190035638084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>
        <f>BD163*VLOOKUP('Données projet'!$B$11,Paramètres!$A$1:$I$89,3,0)*VLOOKUP('Données projet'!$B$11,Paramètres!$A$1:$I$89,5,0)</f>
        <v>-8.3355189417488869E-14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257.906524944431</v>
      </c>
      <c r="BJ163" s="62">
        <f t="shared" si="146"/>
        <v>274.70390601173563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-1.1368683772161603E-13</v>
      </c>
      <c r="BZ163" s="14">
        <f>BY163*VLOOKUP('Données projet'!$B$12,Paramètres!$A$1:$I$89,3,0)*VLOOKUP('Données projet'!$B$12,Paramètres!$A$1:$I$89,5,0)</f>
        <v>-9.2222762759774927E-14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272.69564942740931</v>
      </c>
      <c r="CE163" s="62">
        <f t="shared" si="148"/>
        <v>316.57989180609252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-2.8421709430404007E-13</v>
      </c>
      <c r="CU163" s="18">
        <f>CT163*VLOOKUP('Données projet'!$B$13,Paramètres!$A$1:$I$89,3,0)*VLOOKUP('Données projet'!$B$13,Paramètres!$A$1:$I$89,5,0)</f>
        <v>-2.7046098693972454E-13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491.87038198656927</v>
      </c>
      <c r="CZ163" s="62">
        <f t="shared" si="150"/>
        <v>406.49261644949559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-1.1368683772161603E-13</v>
      </c>
      <c r="DP163" s="18">
        <f>DO163*VLOOKUP('Données projet'!$B$14,Paramètres!$A$1:$I$89,3,0)*VLOOKUP('Données projet'!$B$14,Paramètres!$A$1:$I$89,5,0)</f>
        <v>-1.0995790944434703E-13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603.52431522262032</v>
      </c>
      <c r="DU163" s="62">
        <f t="shared" si="152"/>
        <v>313.56299786481338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-3.4106051316484809E-13</v>
      </c>
      <c r="EK163" s="18">
        <f>EJ163*VLOOKUP('Données projet'!$B$15,Paramètres!$A$1:$I$89,3,0)*VLOOKUP('Données projet'!$B$15,Paramètres!$A$1:$I$89,5,0)</f>
        <v>-2.7134774427395314E-13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450.93388191845378</v>
      </c>
      <c r="EP163" s="62">
        <f t="shared" si="154"/>
        <v>483.33635017129325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5.6843418860808015E-14</v>
      </c>
      <c r="FF163" s="18">
        <f>FE163*VLOOKUP('Données projet'!$B$16,Paramètres!$A$1:$I$89,3,0)*VLOOKUP('Données projet'!$B$16,Paramètres!$A$1:$I$89,5,0)</f>
        <v>4.4337866711430253E-14</v>
      </c>
      <c r="FG163" s="14">
        <f t="shared" si="182"/>
        <v>7.3222115536967035E-13</v>
      </c>
      <c r="FH163" s="22">
        <f t="shared" si="183"/>
        <v>1.3525069634579169E-12</v>
      </c>
      <c r="FI163" s="62">
        <f t="shared" si="131"/>
        <v>287.75907759268972</v>
      </c>
      <c r="FJ163" s="62">
        <f ca="1">AVERAGE(OFFSET($FI$3,0,0,'Données projet'!$E$16+1,1))-AVERAGE(OFFSET($H$3,0,0,'Données projet'!$E$16+1,1))</f>
        <v>309.21625451786218</v>
      </c>
      <c r="FK163" s="62">
        <f t="shared" si="156"/>
        <v>302.59481222418219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-2.2737367544323206E-13</v>
      </c>
      <c r="O164" s="14">
        <f>N164*VLOOKUP('Données projet'!$B$9,Paramètres!$A$1:$I$89,3,0)*VLOOKUP('Données projet'!$B$9,Paramètres!$A$1:$I$89,5,0)</f>
        <v>-1.8089849618263545E-13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394.70330963327166</v>
      </c>
      <c r="T164" s="62">
        <f t="shared" si="142"/>
        <v>424.06445894109982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4.6111381379887463E-14</v>
      </c>
      <c r="AK164" s="14">
        <f t="shared" si="164"/>
        <v>7.5804141040779151E-13</v>
      </c>
      <c r="AL164" s="22">
        <f t="shared" si="165"/>
        <v>1.4005661123635408E-12</v>
      </c>
      <c r="AM164" s="62">
        <f t="shared" si="113"/>
        <v>287.85577846762112</v>
      </c>
      <c r="AN164" s="62">
        <f ca="1">AVERAGE(OFFSET($AM$3,0,0,'Données projet'!$E$10+1,1))-AVERAGE(OFFSET($H$3,0,0,'Données projet'!$E$10+1,1))</f>
        <v>319.39055628111151</v>
      </c>
      <c r="AO164" s="62">
        <f t="shared" si="144"/>
        <v>312.22190035638084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>
        <f>BD164*VLOOKUP('Données projet'!$B$11,Paramètres!$A$1:$I$89,3,0)*VLOOKUP('Données projet'!$B$11,Paramètres!$A$1:$I$89,5,0)</f>
        <v>-8.3355189417488869E-14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257.906524944431</v>
      </c>
      <c r="BJ164" s="62">
        <f t="shared" si="146"/>
        <v>274.70390601173563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-1.1368683772161603E-13</v>
      </c>
      <c r="BZ164" s="14">
        <f>BY164*VLOOKUP('Données projet'!$B$12,Paramètres!$A$1:$I$89,3,0)*VLOOKUP('Données projet'!$B$12,Paramètres!$A$1:$I$89,5,0)</f>
        <v>-9.2222762759774927E-14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272.69564942740931</v>
      </c>
      <c r="CE164" s="62">
        <f t="shared" si="148"/>
        <v>316.57989180609252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-2.8421709430404007E-13</v>
      </c>
      <c r="CU164" s="18">
        <f>CT164*VLOOKUP('Données projet'!$B$13,Paramètres!$A$1:$I$89,3,0)*VLOOKUP('Données projet'!$B$13,Paramètres!$A$1:$I$89,5,0)</f>
        <v>-2.7046098693972454E-13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491.87038198656927</v>
      </c>
      <c r="CZ164" s="62">
        <f t="shared" si="150"/>
        <v>406.49261644949559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-1.1368683772161603E-13</v>
      </c>
      <c r="DP164" s="18">
        <f>DO164*VLOOKUP('Données projet'!$B$14,Paramètres!$A$1:$I$89,3,0)*VLOOKUP('Données projet'!$B$14,Paramètres!$A$1:$I$89,5,0)</f>
        <v>-1.0995790944434703E-13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603.52431522262032</v>
      </c>
      <c r="DU164" s="62">
        <f t="shared" si="152"/>
        <v>313.56299786481338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-3.4106051316484809E-13</v>
      </c>
      <c r="EK164" s="18">
        <f>EJ164*VLOOKUP('Données projet'!$B$15,Paramètres!$A$1:$I$89,3,0)*VLOOKUP('Données projet'!$B$15,Paramètres!$A$1:$I$89,5,0)</f>
        <v>-2.7134774427395314E-13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450.93388191845378</v>
      </c>
      <c r="EP164" s="62">
        <f t="shared" si="154"/>
        <v>483.33635017129325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5.6843418860808015E-14</v>
      </c>
      <c r="FF164" s="18">
        <f>FE164*VLOOKUP('Données projet'!$B$16,Paramètres!$A$1:$I$89,3,0)*VLOOKUP('Données projet'!$B$16,Paramètres!$A$1:$I$89,5,0)</f>
        <v>4.4337866711430253E-14</v>
      </c>
      <c r="FG164" s="14">
        <f t="shared" si="182"/>
        <v>7.3222115536967035E-13</v>
      </c>
      <c r="FH164" s="22">
        <f t="shared" si="183"/>
        <v>1.3525069634579169E-12</v>
      </c>
      <c r="FI164" s="62">
        <f t="shared" si="131"/>
        <v>287.85577846762106</v>
      </c>
      <c r="FJ164" s="62">
        <f ca="1">AVERAGE(OFFSET($FI$3,0,0,'Données projet'!$E$16+1,1))-AVERAGE(OFFSET($H$3,0,0,'Données projet'!$E$16+1,1))</f>
        <v>309.21625451786218</v>
      </c>
      <c r="FK164" s="62">
        <f t="shared" si="156"/>
        <v>302.59481222418219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-2.2737367544323206E-13</v>
      </c>
      <c r="O165" s="14">
        <f>N165*VLOOKUP('Données projet'!$B$9,Paramètres!$A$1:$I$89,3,0)*VLOOKUP('Données projet'!$B$9,Paramètres!$A$1:$I$89,5,0)</f>
        <v>-1.8089849618263545E-13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394.70330963327166</v>
      </c>
      <c r="T165" s="62">
        <f t="shared" si="142"/>
        <v>424.06445894109982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4.6111381379887463E-14</v>
      </c>
      <c r="AK165" s="14">
        <f t="shared" si="164"/>
        <v>7.5804141040779151E-13</v>
      </c>
      <c r="AL165" s="22">
        <f t="shared" si="165"/>
        <v>1.4005661123635408E-12</v>
      </c>
      <c r="AM165" s="62">
        <f t="shared" si="113"/>
        <v>287.95080179856313</v>
      </c>
      <c r="AN165" s="62">
        <f ca="1">AVERAGE(OFFSET($AM$3,0,0,'Données projet'!$E$10+1,1))-AVERAGE(OFFSET($H$3,0,0,'Données projet'!$E$10+1,1))</f>
        <v>319.39055628111151</v>
      </c>
      <c r="AO165" s="62">
        <f t="shared" si="144"/>
        <v>312.22190035638084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>
        <f>BD165*VLOOKUP('Données projet'!$B$11,Paramètres!$A$1:$I$89,3,0)*VLOOKUP('Données projet'!$B$11,Paramètres!$A$1:$I$89,5,0)</f>
        <v>-8.3355189417488869E-14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257.906524944431</v>
      </c>
      <c r="BJ165" s="62">
        <f t="shared" si="146"/>
        <v>274.70390601173563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-1.1368683772161603E-13</v>
      </c>
      <c r="BZ165" s="14">
        <f>BY165*VLOOKUP('Données projet'!$B$12,Paramètres!$A$1:$I$89,3,0)*VLOOKUP('Données projet'!$B$12,Paramètres!$A$1:$I$89,5,0)</f>
        <v>-9.2222762759774927E-14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272.69564942740931</v>
      </c>
      <c r="CE165" s="62">
        <f t="shared" si="148"/>
        <v>316.57989180609252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-2.8421709430404007E-13</v>
      </c>
      <c r="CU165" s="18">
        <f>CT165*VLOOKUP('Données projet'!$B$13,Paramètres!$A$1:$I$89,3,0)*VLOOKUP('Données projet'!$B$13,Paramètres!$A$1:$I$89,5,0)</f>
        <v>-2.7046098693972454E-13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491.87038198656927</v>
      </c>
      <c r="CZ165" s="62">
        <f t="shared" si="150"/>
        <v>406.49261644949559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-1.1368683772161603E-13</v>
      </c>
      <c r="DP165" s="18">
        <f>DO165*VLOOKUP('Données projet'!$B$14,Paramètres!$A$1:$I$89,3,0)*VLOOKUP('Données projet'!$B$14,Paramètres!$A$1:$I$89,5,0)</f>
        <v>-1.0995790944434703E-13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603.52431522262032</v>
      </c>
      <c r="DU165" s="62">
        <f t="shared" si="152"/>
        <v>313.56299786481338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-3.4106051316484809E-13</v>
      </c>
      <c r="EK165" s="18">
        <f>EJ165*VLOOKUP('Données projet'!$B$15,Paramètres!$A$1:$I$89,3,0)*VLOOKUP('Données projet'!$B$15,Paramètres!$A$1:$I$89,5,0)</f>
        <v>-2.7134774427395314E-13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450.93388191845378</v>
      </c>
      <c r="EP165" s="62">
        <f t="shared" si="154"/>
        <v>483.33635017129325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5.6843418860808015E-14</v>
      </c>
      <c r="FF165" s="18">
        <f>FE165*VLOOKUP('Données projet'!$B$16,Paramètres!$A$1:$I$89,3,0)*VLOOKUP('Données projet'!$B$16,Paramètres!$A$1:$I$89,5,0)</f>
        <v>4.4337866711430253E-14</v>
      </c>
      <c r="FG165" s="14">
        <f t="shared" si="182"/>
        <v>7.3222115536967035E-13</v>
      </c>
      <c r="FH165" s="22">
        <f t="shared" si="183"/>
        <v>1.3525069634579169E-12</v>
      </c>
      <c r="FI165" s="62">
        <f t="shared" si="131"/>
        <v>287.95080179856308</v>
      </c>
      <c r="FJ165" s="62">
        <f ca="1">AVERAGE(OFFSET($FI$3,0,0,'Données projet'!$E$16+1,1))-AVERAGE(OFFSET($H$3,0,0,'Données projet'!$E$16+1,1))</f>
        <v>309.21625451786218</v>
      </c>
      <c r="FK165" s="62">
        <f t="shared" si="156"/>
        <v>302.59481222418219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-2.2737367544323206E-13</v>
      </c>
      <c r="O166" s="14">
        <f>N166*VLOOKUP('Données projet'!$B$9,Paramètres!$A$1:$I$89,3,0)*VLOOKUP('Données projet'!$B$9,Paramètres!$A$1:$I$89,5,0)</f>
        <v>-1.8089849618263545E-13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394.70330963327166</v>
      </c>
      <c r="T166" s="62">
        <f t="shared" si="142"/>
        <v>424.06445894109982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4.6111381379887463E-14</v>
      </c>
      <c r="AK166" s="14">
        <f t="shared" si="164"/>
        <v>7.5804141040779151E-13</v>
      </c>
      <c r="AL166" s="22">
        <f t="shared" si="165"/>
        <v>1.4005661123635408E-12</v>
      </c>
      <c r="AM166" s="62">
        <f t="shared" si="113"/>
        <v>288.04417668715365</v>
      </c>
      <c r="AN166" s="62">
        <f ca="1">AVERAGE(OFFSET($AM$3,0,0,'Données projet'!$E$10+1,1))-AVERAGE(OFFSET($H$3,0,0,'Données projet'!$E$10+1,1))</f>
        <v>319.39055628111151</v>
      </c>
      <c r="AO166" s="62">
        <f t="shared" si="144"/>
        <v>312.22190035638084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>
        <f>BD166*VLOOKUP('Données projet'!$B$11,Paramètres!$A$1:$I$89,3,0)*VLOOKUP('Données projet'!$B$11,Paramètres!$A$1:$I$89,5,0)</f>
        <v>-8.3355189417488869E-14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257.906524944431</v>
      </c>
      <c r="BJ166" s="62">
        <f t="shared" si="146"/>
        <v>274.70390601173563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-1.1368683772161603E-13</v>
      </c>
      <c r="BZ166" s="14">
        <f>BY166*VLOOKUP('Données projet'!$B$12,Paramètres!$A$1:$I$89,3,0)*VLOOKUP('Données projet'!$B$12,Paramètres!$A$1:$I$89,5,0)</f>
        <v>-9.2222762759774927E-14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272.69564942740931</v>
      </c>
      <c r="CE166" s="62">
        <f t="shared" si="148"/>
        <v>316.57989180609252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-2.8421709430404007E-13</v>
      </c>
      <c r="CU166" s="18">
        <f>CT166*VLOOKUP('Données projet'!$B$13,Paramètres!$A$1:$I$89,3,0)*VLOOKUP('Données projet'!$B$13,Paramètres!$A$1:$I$89,5,0)</f>
        <v>-2.7046098693972454E-13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491.87038198656927</v>
      </c>
      <c r="CZ166" s="62">
        <f t="shared" si="150"/>
        <v>406.49261644949559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-1.1368683772161603E-13</v>
      </c>
      <c r="DP166" s="18">
        <f>DO166*VLOOKUP('Données projet'!$B$14,Paramètres!$A$1:$I$89,3,0)*VLOOKUP('Données projet'!$B$14,Paramètres!$A$1:$I$89,5,0)</f>
        <v>-1.0995790944434703E-13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603.52431522262032</v>
      </c>
      <c r="DU166" s="62">
        <f t="shared" si="152"/>
        <v>313.56299786481338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-3.4106051316484809E-13</v>
      </c>
      <c r="EK166" s="18">
        <f>EJ166*VLOOKUP('Données projet'!$B$15,Paramètres!$A$1:$I$89,3,0)*VLOOKUP('Données projet'!$B$15,Paramètres!$A$1:$I$89,5,0)</f>
        <v>-2.7134774427395314E-13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450.93388191845378</v>
      </c>
      <c r="EP166" s="62">
        <f t="shared" si="154"/>
        <v>483.33635017129325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5.6843418860808015E-14</v>
      </c>
      <c r="FF166" s="18">
        <f>FE166*VLOOKUP('Données projet'!$B$16,Paramètres!$A$1:$I$89,3,0)*VLOOKUP('Données projet'!$B$16,Paramètres!$A$1:$I$89,5,0)</f>
        <v>4.4337866711430253E-14</v>
      </c>
      <c r="FG166" s="14">
        <f t="shared" si="182"/>
        <v>7.3222115536967035E-13</v>
      </c>
      <c r="FH166" s="22">
        <f t="shared" si="183"/>
        <v>1.3525069634579169E-12</v>
      </c>
      <c r="FI166" s="62">
        <f t="shared" si="131"/>
        <v>288.04417668715359</v>
      </c>
      <c r="FJ166" s="62">
        <f ca="1">AVERAGE(OFFSET($FI$3,0,0,'Données projet'!$E$16+1,1))-AVERAGE(OFFSET($H$3,0,0,'Données projet'!$E$16+1,1))</f>
        <v>309.21625451786218</v>
      </c>
      <c r="FK166" s="62">
        <f t="shared" si="156"/>
        <v>302.59481222418219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-2.2737367544323206E-13</v>
      </c>
      <c r="O167" s="14">
        <f>N167*VLOOKUP('Données projet'!$B$9,Paramètres!$A$1:$I$89,3,0)*VLOOKUP('Données projet'!$B$9,Paramètres!$A$1:$I$89,5,0)</f>
        <v>-1.8089849618263545E-13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394.70330963327166</v>
      </c>
      <c r="T167" s="62">
        <f t="shared" si="142"/>
        <v>424.06445894109982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4.6111381379887463E-14</v>
      </c>
      <c r="AK167" s="14">
        <f t="shared" si="164"/>
        <v>7.5804141040779151E-13</v>
      </c>
      <c r="AL167" s="22">
        <f t="shared" si="165"/>
        <v>1.4005661123635408E-12</v>
      </c>
      <c r="AM167" s="62">
        <f t="shared" si="113"/>
        <v>288.13593173018211</v>
      </c>
      <c r="AN167" s="62">
        <f ca="1">AVERAGE(OFFSET($AM$3,0,0,'Données projet'!$E$10+1,1))-AVERAGE(OFFSET($H$3,0,0,'Données projet'!$E$10+1,1))</f>
        <v>319.39055628111151</v>
      </c>
      <c r="AO167" s="62">
        <f t="shared" si="144"/>
        <v>312.22190035638084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>
        <f>BD167*VLOOKUP('Données projet'!$B$11,Paramètres!$A$1:$I$89,3,0)*VLOOKUP('Données projet'!$B$11,Paramètres!$A$1:$I$89,5,0)</f>
        <v>-8.3355189417488869E-14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257.906524944431</v>
      </c>
      <c r="BJ167" s="62">
        <f t="shared" si="146"/>
        <v>274.70390601173563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-1.1368683772161603E-13</v>
      </c>
      <c r="BZ167" s="14">
        <f>BY167*VLOOKUP('Données projet'!$B$12,Paramètres!$A$1:$I$89,3,0)*VLOOKUP('Données projet'!$B$12,Paramètres!$A$1:$I$89,5,0)</f>
        <v>-9.2222762759774927E-14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272.69564942740931</v>
      </c>
      <c r="CE167" s="62">
        <f t="shared" si="148"/>
        <v>316.57989180609252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-2.8421709430404007E-13</v>
      </c>
      <c r="CU167" s="18">
        <f>CT167*VLOOKUP('Données projet'!$B$13,Paramètres!$A$1:$I$89,3,0)*VLOOKUP('Données projet'!$B$13,Paramètres!$A$1:$I$89,5,0)</f>
        <v>-2.7046098693972454E-13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491.87038198656927</v>
      </c>
      <c r="CZ167" s="62">
        <f t="shared" si="150"/>
        <v>406.49261644949559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-1.1368683772161603E-13</v>
      </c>
      <c r="DP167" s="18">
        <f>DO167*VLOOKUP('Données projet'!$B$14,Paramètres!$A$1:$I$89,3,0)*VLOOKUP('Données projet'!$B$14,Paramètres!$A$1:$I$89,5,0)</f>
        <v>-1.0995790944434703E-13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603.52431522262032</v>
      </c>
      <c r="DU167" s="62">
        <f t="shared" si="152"/>
        <v>313.56299786481338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-3.4106051316484809E-13</v>
      </c>
      <c r="EK167" s="18">
        <f>EJ167*VLOOKUP('Données projet'!$B$15,Paramètres!$A$1:$I$89,3,0)*VLOOKUP('Données projet'!$B$15,Paramètres!$A$1:$I$89,5,0)</f>
        <v>-2.7134774427395314E-13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450.93388191845378</v>
      </c>
      <c r="EP167" s="62">
        <f t="shared" si="154"/>
        <v>483.33635017129325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5.6843418860808015E-14</v>
      </c>
      <c r="FF167" s="18">
        <f>FE167*VLOOKUP('Données projet'!$B$16,Paramètres!$A$1:$I$89,3,0)*VLOOKUP('Données projet'!$B$16,Paramètres!$A$1:$I$89,5,0)</f>
        <v>4.4337866711430253E-14</v>
      </c>
      <c r="FG167" s="14">
        <f t="shared" si="182"/>
        <v>7.3222115536967035E-13</v>
      </c>
      <c r="FH167" s="22">
        <f t="shared" si="183"/>
        <v>1.3525069634579169E-12</v>
      </c>
      <c r="FI167" s="62">
        <f t="shared" si="131"/>
        <v>288.13593173018205</v>
      </c>
      <c r="FJ167" s="62">
        <f ca="1">AVERAGE(OFFSET($FI$3,0,0,'Données projet'!$E$16+1,1))-AVERAGE(OFFSET($H$3,0,0,'Données projet'!$E$16+1,1))</f>
        <v>309.21625451786218</v>
      </c>
      <c r="FK167" s="62">
        <f t="shared" si="156"/>
        <v>302.59481222418219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-2.2737367544323206E-13</v>
      </c>
      <c r="O168" s="14">
        <f>N168*VLOOKUP('Données projet'!$B$9,Paramètres!$A$1:$I$89,3,0)*VLOOKUP('Données projet'!$B$9,Paramètres!$A$1:$I$89,5,0)</f>
        <v>-1.8089849618263545E-13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394.70330963327166</v>
      </c>
      <c r="T168" s="62">
        <f t="shared" si="142"/>
        <v>424.06445894109982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4.6111381379887463E-14</v>
      </c>
      <c r="AK168" s="14">
        <f t="shared" si="164"/>
        <v>7.5804141040779151E-13</v>
      </c>
      <c r="AL168" s="22">
        <f t="shared" si="165"/>
        <v>1.4005661123635408E-12</v>
      </c>
      <c r="AM168" s="62">
        <f t="shared" si="113"/>
        <v>288.22609502834757</v>
      </c>
      <c r="AN168" s="62">
        <f ca="1">AVERAGE(OFFSET($AM$3,0,0,'Données projet'!$E$10+1,1))-AVERAGE(OFFSET($H$3,0,0,'Données projet'!$E$10+1,1))</f>
        <v>319.39055628111151</v>
      </c>
      <c r="AO168" s="62">
        <f t="shared" si="144"/>
        <v>312.22190035638084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>
        <f>BD168*VLOOKUP('Données projet'!$B$11,Paramètres!$A$1:$I$89,3,0)*VLOOKUP('Données projet'!$B$11,Paramètres!$A$1:$I$89,5,0)</f>
        <v>-8.3355189417488869E-14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257.906524944431</v>
      </c>
      <c r="BJ168" s="62">
        <f t="shared" si="146"/>
        <v>274.70390601173563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-1.1368683772161603E-13</v>
      </c>
      <c r="BZ168" s="14">
        <f>BY168*VLOOKUP('Données projet'!$B$12,Paramètres!$A$1:$I$89,3,0)*VLOOKUP('Données projet'!$B$12,Paramètres!$A$1:$I$89,5,0)</f>
        <v>-9.2222762759774927E-14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272.69564942740931</v>
      </c>
      <c r="CE168" s="62">
        <f t="shared" si="148"/>
        <v>316.57989180609252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-2.8421709430404007E-13</v>
      </c>
      <c r="CU168" s="18">
        <f>CT168*VLOOKUP('Données projet'!$B$13,Paramètres!$A$1:$I$89,3,0)*VLOOKUP('Données projet'!$B$13,Paramètres!$A$1:$I$89,5,0)</f>
        <v>-2.7046098693972454E-13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491.87038198656927</v>
      </c>
      <c r="CZ168" s="62">
        <f t="shared" si="150"/>
        <v>406.49261644949559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-1.1368683772161603E-13</v>
      </c>
      <c r="DP168" s="18">
        <f>DO168*VLOOKUP('Données projet'!$B$14,Paramètres!$A$1:$I$89,3,0)*VLOOKUP('Données projet'!$B$14,Paramètres!$A$1:$I$89,5,0)</f>
        <v>-1.0995790944434703E-13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603.52431522262032</v>
      </c>
      <c r="DU168" s="62">
        <f t="shared" si="152"/>
        <v>313.56299786481338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-3.4106051316484809E-13</v>
      </c>
      <c r="EK168" s="18">
        <f>EJ168*VLOOKUP('Données projet'!$B$15,Paramètres!$A$1:$I$89,3,0)*VLOOKUP('Données projet'!$B$15,Paramètres!$A$1:$I$89,5,0)</f>
        <v>-2.7134774427395314E-13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450.93388191845378</v>
      </c>
      <c r="EP168" s="62">
        <f t="shared" si="154"/>
        <v>483.33635017129325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5.6843418860808015E-14</v>
      </c>
      <c r="FF168" s="18">
        <f>FE168*VLOOKUP('Données projet'!$B$16,Paramètres!$A$1:$I$89,3,0)*VLOOKUP('Données projet'!$B$16,Paramètres!$A$1:$I$89,5,0)</f>
        <v>4.4337866711430253E-14</v>
      </c>
      <c r="FG168" s="14">
        <f t="shared" si="182"/>
        <v>7.3222115536967035E-13</v>
      </c>
      <c r="FH168" s="22">
        <f t="shared" si="183"/>
        <v>1.3525069634579169E-12</v>
      </c>
      <c r="FI168" s="62">
        <f t="shared" si="131"/>
        <v>288.22609502834752</v>
      </c>
      <c r="FJ168" s="62">
        <f ca="1">AVERAGE(OFFSET($FI$3,0,0,'Données projet'!$E$16+1,1))-AVERAGE(OFFSET($H$3,0,0,'Données projet'!$E$16+1,1))</f>
        <v>309.21625451786218</v>
      </c>
      <c r="FK168" s="62">
        <f t="shared" si="156"/>
        <v>302.59481222418219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-2.2737367544323206E-13</v>
      </c>
      <c r="O169" s="14">
        <f>N169*VLOOKUP('Données projet'!$B$9,Paramètres!$A$1:$I$89,3,0)*VLOOKUP('Données projet'!$B$9,Paramètres!$A$1:$I$89,5,0)</f>
        <v>-1.8089849618263545E-13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394.70330963327166</v>
      </c>
      <c r="T169" s="62">
        <f t="shared" si="142"/>
        <v>424.06445894109982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4.6111381379887463E-14</v>
      </c>
      <c r="AK169" s="14">
        <f t="shared" si="164"/>
        <v>7.5804141040779151E-13</v>
      </c>
      <c r="AL169" s="22">
        <f t="shared" si="165"/>
        <v>1.4005661123635408E-12</v>
      </c>
      <c r="AM169" s="62">
        <f t="shared" si="113"/>
        <v>288.31469419486484</v>
      </c>
      <c r="AN169" s="62">
        <f ca="1">AVERAGE(OFFSET($AM$3,0,0,'Données projet'!$E$10+1,1))-AVERAGE(OFFSET($H$3,0,0,'Données projet'!$E$10+1,1))</f>
        <v>319.39055628111151</v>
      </c>
      <c r="AO169" s="62">
        <f t="shared" si="144"/>
        <v>312.22190035638084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>
        <f>BD169*VLOOKUP('Données projet'!$B$11,Paramètres!$A$1:$I$89,3,0)*VLOOKUP('Données projet'!$B$11,Paramètres!$A$1:$I$89,5,0)</f>
        <v>-8.3355189417488869E-14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257.906524944431</v>
      </c>
      <c r="BJ169" s="62">
        <f t="shared" si="146"/>
        <v>274.70390601173563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-1.1368683772161603E-13</v>
      </c>
      <c r="BZ169" s="14">
        <f>BY169*VLOOKUP('Données projet'!$B$12,Paramètres!$A$1:$I$89,3,0)*VLOOKUP('Données projet'!$B$12,Paramètres!$A$1:$I$89,5,0)</f>
        <v>-9.2222762759774927E-14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272.69564942740931</v>
      </c>
      <c r="CE169" s="62">
        <f t="shared" si="148"/>
        <v>316.57989180609252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-2.8421709430404007E-13</v>
      </c>
      <c r="CU169" s="18">
        <f>CT169*VLOOKUP('Données projet'!$B$13,Paramètres!$A$1:$I$89,3,0)*VLOOKUP('Données projet'!$B$13,Paramètres!$A$1:$I$89,5,0)</f>
        <v>-2.7046098693972454E-13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491.87038198656927</v>
      </c>
      <c r="CZ169" s="62">
        <f t="shared" si="150"/>
        <v>406.49261644949559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-1.1368683772161603E-13</v>
      </c>
      <c r="DP169" s="18">
        <f>DO169*VLOOKUP('Données projet'!$B$14,Paramètres!$A$1:$I$89,3,0)*VLOOKUP('Données projet'!$B$14,Paramètres!$A$1:$I$89,5,0)</f>
        <v>-1.0995790944434703E-13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603.52431522262032</v>
      </c>
      <c r="DU169" s="62">
        <f t="shared" si="152"/>
        <v>313.56299786481338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-3.4106051316484809E-13</v>
      </c>
      <c r="EK169" s="18">
        <f>EJ169*VLOOKUP('Données projet'!$B$15,Paramètres!$A$1:$I$89,3,0)*VLOOKUP('Données projet'!$B$15,Paramètres!$A$1:$I$89,5,0)</f>
        <v>-2.7134774427395314E-13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450.93388191845378</v>
      </c>
      <c r="EP169" s="62">
        <f t="shared" si="154"/>
        <v>483.33635017129325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5.6843418860808015E-14</v>
      </c>
      <c r="FF169" s="18">
        <f>FE169*VLOOKUP('Données projet'!$B$16,Paramètres!$A$1:$I$89,3,0)*VLOOKUP('Données projet'!$B$16,Paramètres!$A$1:$I$89,5,0)</f>
        <v>4.4337866711430253E-14</v>
      </c>
      <c r="FG169" s="14">
        <f t="shared" si="182"/>
        <v>7.3222115536967035E-13</v>
      </c>
      <c r="FH169" s="22">
        <f t="shared" si="183"/>
        <v>1.3525069634579169E-12</v>
      </c>
      <c r="FI169" s="62">
        <f t="shared" si="131"/>
        <v>288.31469419486479</v>
      </c>
      <c r="FJ169" s="62">
        <f ca="1">AVERAGE(OFFSET($FI$3,0,0,'Données projet'!$E$16+1,1))-AVERAGE(OFFSET($H$3,0,0,'Données projet'!$E$16+1,1))</f>
        <v>309.21625451786218</v>
      </c>
      <c r="FK169" s="62">
        <f t="shared" si="156"/>
        <v>302.59481222418219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-2.2737367544323206E-13</v>
      </c>
      <c r="O170" s="14">
        <f>N170*VLOOKUP('Données projet'!$B$9,Paramètres!$A$1:$I$89,3,0)*VLOOKUP('Données projet'!$B$9,Paramètres!$A$1:$I$89,5,0)</f>
        <v>-1.8089849618263545E-13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394.70330963327166</v>
      </c>
      <c r="T170" s="62">
        <f t="shared" si="142"/>
        <v>424.06445894109982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4.6111381379887463E-14</v>
      </c>
      <c r="AK170" s="14">
        <f t="shared" si="164"/>
        <v>7.5804141040779151E-13</v>
      </c>
      <c r="AL170" s="22">
        <f t="shared" si="165"/>
        <v>1.4005661123635408E-12</v>
      </c>
      <c r="AM170" s="62">
        <f t="shared" si="113"/>
        <v>288.40175636392104</v>
      </c>
      <c r="AN170" s="62">
        <f ca="1">AVERAGE(OFFSET($AM$3,0,0,'Données projet'!$E$10+1,1))-AVERAGE(OFFSET($H$3,0,0,'Données projet'!$E$10+1,1))</f>
        <v>319.39055628111151</v>
      </c>
      <c r="AO170" s="62">
        <f t="shared" si="144"/>
        <v>312.22190035638084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>
        <f>BD170*VLOOKUP('Données projet'!$B$11,Paramètres!$A$1:$I$89,3,0)*VLOOKUP('Données projet'!$B$11,Paramètres!$A$1:$I$89,5,0)</f>
        <v>-8.3355189417488869E-14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257.906524944431</v>
      </c>
      <c r="BJ170" s="62">
        <f t="shared" si="146"/>
        <v>274.70390601173563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-1.1368683772161603E-13</v>
      </c>
      <c r="BZ170" s="14">
        <f>BY170*VLOOKUP('Données projet'!$B$12,Paramètres!$A$1:$I$89,3,0)*VLOOKUP('Données projet'!$B$12,Paramètres!$A$1:$I$89,5,0)</f>
        <v>-9.2222762759774927E-14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272.69564942740931</v>
      </c>
      <c r="CE170" s="62">
        <f t="shared" si="148"/>
        <v>316.57989180609252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-2.8421709430404007E-13</v>
      </c>
      <c r="CU170" s="18">
        <f>CT170*VLOOKUP('Données projet'!$B$13,Paramètres!$A$1:$I$89,3,0)*VLOOKUP('Données projet'!$B$13,Paramètres!$A$1:$I$89,5,0)</f>
        <v>-2.7046098693972454E-13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491.87038198656927</v>
      </c>
      <c r="CZ170" s="62">
        <f t="shared" si="150"/>
        <v>406.49261644949559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-1.1368683772161603E-13</v>
      </c>
      <c r="DP170" s="18">
        <f>DO170*VLOOKUP('Données projet'!$B$14,Paramètres!$A$1:$I$89,3,0)*VLOOKUP('Données projet'!$B$14,Paramètres!$A$1:$I$89,5,0)</f>
        <v>-1.0995790944434703E-13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603.52431522262032</v>
      </c>
      <c r="DU170" s="62">
        <f t="shared" si="152"/>
        <v>313.56299786481338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-3.4106051316484809E-13</v>
      </c>
      <c r="EK170" s="18">
        <f>EJ170*VLOOKUP('Données projet'!$B$15,Paramètres!$A$1:$I$89,3,0)*VLOOKUP('Données projet'!$B$15,Paramètres!$A$1:$I$89,5,0)</f>
        <v>-2.7134774427395314E-13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450.93388191845378</v>
      </c>
      <c r="EP170" s="62">
        <f t="shared" si="154"/>
        <v>483.33635017129325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5.6843418860808015E-14</v>
      </c>
      <c r="FF170" s="18">
        <f>FE170*VLOOKUP('Données projet'!$B$16,Paramètres!$A$1:$I$89,3,0)*VLOOKUP('Données projet'!$B$16,Paramètres!$A$1:$I$89,5,0)</f>
        <v>4.4337866711430253E-14</v>
      </c>
      <c r="FG170" s="14">
        <f t="shared" si="182"/>
        <v>7.3222115536967035E-13</v>
      </c>
      <c r="FH170" s="22">
        <f t="shared" si="183"/>
        <v>1.3525069634579169E-12</v>
      </c>
      <c r="FI170" s="62">
        <f t="shared" si="131"/>
        <v>288.40175636392098</v>
      </c>
      <c r="FJ170" s="62">
        <f ca="1">AVERAGE(OFFSET($FI$3,0,0,'Données projet'!$E$16+1,1))-AVERAGE(OFFSET($H$3,0,0,'Données projet'!$E$16+1,1))</f>
        <v>309.21625451786218</v>
      </c>
      <c r="FK170" s="62">
        <f t="shared" si="156"/>
        <v>302.59481222418219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-2.2737367544323206E-13</v>
      </c>
      <c r="O171" s="14">
        <f>N171*VLOOKUP('Données projet'!$B$9,Paramètres!$A$1:$I$89,3,0)*VLOOKUP('Données projet'!$B$9,Paramètres!$A$1:$I$89,5,0)</f>
        <v>-1.8089849618263545E-13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394.70330963327166</v>
      </c>
      <c r="T171" s="62">
        <f t="shared" si="142"/>
        <v>424.06445894109982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4.6111381379887463E-14</v>
      </c>
      <c r="AK171" s="14">
        <f t="shared" si="164"/>
        <v>7.5804141040779151E-13</v>
      </c>
      <c r="AL171" s="22">
        <f t="shared" si="165"/>
        <v>1.4005661123635408E-12</v>
      </c>
      <c r="AM171" s="62">
        <f t="shared" si="113"/>
        <v>288.48730819898594</v>
      </c>
      <c r="AN171" s="62">
        <f ca="1">AVERAGE(OFFSET($AM$3,0,0,'Données projet'!$E$10+1,1))-AVERAGE(OFFSET($H$3,0,0,'Données projet'!$E$10+1,1))</f>
        <v>319.39055628111151</v>
      </c>
      <c r="AO171" s="62">
        <f t="shared" si="144"/>
        <v>312.22190035638084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>
        <f>BD171*VLOOKUP('Données projet'!$B$11,Paramètres!$A$1:$I$89,3,0)*VLOOKUP('Données projet'!$B$11,Paramètres!$A$1:$I$89,5,0)</f>
        <v>-8.3355189417488869E-14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257.906524944431</v>
      </c>
      <c r="BJ171" s="62">
        <f t="shared" si="146"/>
        <v>274.70390601173563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-1.1368683772161603E-13</v>
      </c>
      <c r="BZ171" s="14">
        <f>BY171*VLOOKUP('Données projet'!$B$12,Paramètres!$A$1:$I$89,3,0)*VLOOKUP('Données projet'!$B$12,Paramètres!$A$1:$I$89,5,0)</f>
        <v>-9.2222762759774927E-14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272.69564942740931</v>
      </c>
      <c r="CE171" s="62">
        <f t="shared" si="148"/>
        <v>316.57989180609252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-2.8421709430404007E-13</v>
      </c>
      <c r="CU171" s="18">
        <f>CT171*VLOOKUP('Données projet'!$B$13,Paramètres!$A$1:$I$89,3,0)*VLOOKUP('Données projet'!$B$13,Paramètres!$A$1:$I$89,5,0)</f>
        <v>-2.7046098693972454E-13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491.87038198656927</v>
      </c>
      <c r="CZ171" s="62">
        <f t="shared" si="150"/>
        <v>406.49261644949559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-1.1368683772161603E-13</v>
      </c>
      <c r="DP171" s="18">
        <f>DO171*VLOOKUP('Données projet'!$B$14,Paramètres!$A$1:$I$89,3,0)*VLOOKUP('Données projet'!$B$14,Paramètres!$A$1:$I$89,5,0)</f>
        <v>-1.0995790944434703E-13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603.52431522262032</v>
      </c>
      <c r="DU171" s="62">
        <f t="shared" si="152"/>
        <v>313.56299786481338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-3.4106051316484809E-13</v>
      </c>
      <c r="EK171" s="18">
        <f>EJ171*VLOOKUP('Données projet'!$B$15,Paramètres!$A$1:$I$89,3,0)*VLOOKUP('Données projet'!$B$15,Paramètres!$A$1:$I$89,5,0)</f>
        <v>-2.7134774427395314E-13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450.93388191845378</v>
      </c>
      <c r="EP171" s="62">
        <f t="shared" si="154"/>
        <v>483.33635017129325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5.6843418860808015E-14</v>
      </c>
      <c r="FF171" s="18">
        <f>FE171*VLOOKUP('Données projet'!$B$16,Paramètres!$A$1:$I$89,3,0)*VLOOKUP('Données projet'!$B$16,Paramètres!$A$1:$I$89,5,0)</f>
        <v>4.4337866711430253E-14</v>
      </c>
      <c r="FG171" s="14">
        <f t="shared" si="182"/>
        <v>7.3222115536967035E-13</v>
      </c>
      <c r="FH171" s="22">
        <f t="shared" si="183"/>
        <v>1.3525069634579169E-12</v>
      </c>
      <c r="FI171" s="62">
        <f t="shared" si="131"/>
        <v>288.48730819898589</v>
      </c>
      <c r="FJ171" s="62">
        <f ca="1">AVERAGE(OFFSET($FI$3,0,0,'Données projet'!$E$16+1,1))-AVERAGE(OFFSET($H$3,0,0,'Données projet'!$E$16+1,1))</f>
        <v>309.21625451786218</v>
      </c>
      <c r="FK171" s="62">
        <f t="shared" si="156"/>
        <v>302.59481222418219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-2.2737367544323206E-13</v>
      </c>
      <c r="O172" s="14">
        <f>N172*VLOOKUP('Données projet'!$B$9,Paramètres!$A$1:$I$89,3,0)*VLOOKUP('Données projet'!$B$9,Paramètres!$A$1:$I$89,5,0)</f>
        <v>-1.8089849618263545E-13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394.70330963327166</v>
      </c>
      <c r="T172" s="62">
        <f t="shared" si="142"/>
        <v>424.06445894109982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4.6111381379887463E-14</v>
      </c>
      <c r="AK172" s="14">
        <f t="shared" si="164"/>
        <v>7.5804141040779151E-13</v>
      </c>
      <c r="AL172" s="22">
        <f t="shared" si="165"/>
        <v>1.4005661123635408E-12</v>
      </c>
      <c r="AM172" s="62">
        <f t="shared" si="113"/>
        <v>288.57137590097784</v>
      </c>
      <c r="AN172" s="62">
        <f ca="1">AVERAGE(OFFSET($AM$3,0,0,'Données projet'!$E$10+1,1))-AVERAGE(OFFSET($H$3,0,0,'Données projet'!$E$10+1,1))</f>
        <v>319.39055628111151</v>
      </c>
      <c r="AO172" s="62">
        <f t="shared" si="144"/>
        <v>312.22190035638084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>
        <f>BD172*VLOOKUP('Données projet'!$B$11,Paramètres!$A$1:$I$89,3,0)*VLOOKUP('Données projet'!$B$11,Paramètres!$A$1:$I$89,5,0)</f>
        <v>-8.3355189417488869E-14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257.906524944431</v>
      </c>
      <c r="BJ172" s="62">
        <f t="shared" si="146"/>
        <v>274.70390601173563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-1.1368683772161603E-13</v>
      </c>
      <c r="BZ172" s="14">
        <f>BY172*VLOOKUP('Données projet'!$B$12,Paramètres!$A$1:$I$89,3,0)*VLOOKUP('Données projet'!$B$12,Paramètres!$A$1:$I$89,5,0)</f>
        <v>-9.2222762759774927E-14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272.69564942740931</v>
      </c>
      <c r="CE172" s="62">
        <f t="shared" si="148"/>
        <v>316.57989180609252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-2.8421709430404007E-13</v>
      </c>
      <c r="CU172" s="18">
        <f>CT172*VLOOKUP('Données projet'!$B$13,Paramètres!$A$1:$I$89,3,0)*VLOOKUP('Données projet'!$B$13,Paramètres!$A$1:$I$89,5,0)</f>
        <v>-2.7046098693972454E-13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491.87038198656927</v>
      </c>
      <c r="CZ172" s="62">
        <f t="shared" si="150"/>
        <v>406.49261644949559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-1.1368683772161603E-13</v>
      </c>
      <c r="DP172" s="18">
        <f>DO172*VLOOKUP('Données projet'!$B$14,Paramètres!$A$1:$I$89,3,0)*VLOOKUP('Données projet'!$B$14,Paramètres!$A$1:$I$89,5,0)</f>
        <v>-1.0995790944434703E-13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603.52431522262032</v>
      </c>
      <c r="DU172" s="62">
        <f t="shared" si="152"/>
        <v>313.56299786481338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-3.4106051316484809E-13</v>
      </c>
      <c r="EK172" s="18">
        <f>EJ172*VLOOKUP('Données projet'!$B$15,Paramètres!$A$1:$I$89,3,0)*VLOOKUP('Données projet'!$B$15,Paramètres!$A$1:$I$89,5,0)</f>
        <v>-2.7134774427395314E-13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450.93388191845378</v>
      </c>
      <c r="EP172" s="62">
        <f t="shared" si="154"/>
        <v>483.33635017129325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5.6843418860808015E-14</v>
      </c>
      <c r="FF172" s="18">
        <f>FE172*VLOOKUP('Données projet'!$B$16,Paramètres!$A$1:$I$89,3,0)*VLOOKUP('Données projet'!$B$16,Paramètres!$A$1:$I$89,5,0)</f>
        <v>4.4337866711430253E-14</v>
      </c>
      <c r="FG172" s="14">
        <f t="shared" si="182"/>
        <v>7.3222115536967035E-13</v>
      </c>
      <c r="FH172" s="22">
        <f t="shared" si="183"/>
        <v>1.3525069634579169E-12</v>
      </c>
      <c r="FI172" s="62">
        <f t="shared" si="131"/>
        <v>288.57137590097778</v>
      </c>
      <c r="FJ172" s="62">
        <f ca="1">AVERAGE(OFFSET($FI$3,0,0,'Données projet'!$E$16+1,1))-AVERAGE(OFFSET($H$3,0,0,'Données projet'!$E$16+1,1))</f>
        <v>309.21625451786218</v>
      </c>
      <c r="FK172" s="62">
        <f t="shared" si="156"/>
        <v>302.59481222418219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-2.2737367544323206E-13</v>
      </c>
      <c r="O173" s="14">
        <f>N173*VLOOKUP('Données projet'!$B$9,Paramètres!$A$1:$I$89,3,0)*VLOOKUP('Données projet'!$B$9,Paramètres!$A$1:$I$89,5,0)</f>
        <v>-1.8089849618263545E-13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394.70330963327166</v>
      </c>
      <c r="T173" s="62">
        <f t="shared" si="142"/>
        <v>424.06445894109982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4.6111381379887463E-14</v>
      </c>
      <c r="AK173" s="14">
        <f t="shared" si="164"/>
        <v>7.5804141040779151E-13</v>
      </c>
      <c r="AL173" s="22">
        <f t="shared" si="165"/>
        <v>1.4005661123635408E-12</v>
      </c>
      <c r="AM173" s="62">
        <f t="shared" si="113"/>
        <v>288.65398521628731</v>
      </c>
      <c r="AN173" s="62">
        <f ca="1">AVERAGE(OFFSET($AM$3,0,0,'Données projet'!$E$10+1,1))-AVERAGE(OFFSET($H$3,0,0,'Données projet'!$E$10+1,1))</f>
        <v>319.39055628111151</v>
      </c>
      <c r="AO173" s="62">
        <f t="shared" si="144"/>
        <v>312.22190035638084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>
        <f>BD173*VLOOKUP('Données projet'!$B$11,Paramètres!$A$1:$I$89,3,0)*VLOOKUP('Données projet'!$B$11,Paramètres!$A$1:$I$89,5,0)</f>
        <v>-8.3355189417488869E-14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257.906524944431</v>
      </c>
      <c r="BJ173" s="62">
        <f t="shared" si="146"/>
        <v>274.70390601173563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-1.1368683772161603E-13</v>
      </c>
      <c r="BZ173" s="14">
        <f>BY173*VLOOKUP('Données projet'!$B$12,Paramètres!$A$1:$I$89,3,0)*VLOOKUP('Données projet'!$B$12,Paramètres!$A$1:$I$89,5,0)</f>
        <v>-9.2222762759774927E-14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272.69564942740931</v>
      </c>
      <c r="CE173" s="62">
        <f t="shared" si="148"/>
        <v>316.57989180609252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-2.8421709430404007E-13</v>
      </c>
      <c r="CU173" s="18">
        <f>CT173*VLOOKUP('Données projet'!$B$13,Paramètres!$A$1:$I$89,3,0)*VLOOKUP('Données projet'!$B$13,Paramètres!$A$1:$I$89,5,0)</f>
        <v>-2.7046098693972454E-13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491.87038198656927</v>
      </c>
      <c r="CZ173" s="62">
        <f t="shared" si="150"/>
        <v>406.49261644949559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-1.1368683772161603E-13</v>
      </c>
      <c r="DP173" s="18">
        <f>DO173*VLOOKUP('Données projet'!$B$14,Paramètres!$A$1:$I$89,3,0)*VLOOKUP('Données projet'!$B$14,Paramètres!$A$1:$I$89,5,0)</f>
        <v>-1.0995790944434703E-13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603.52431522262032</v>
      </c>
      <c r="DU173" s="62">
        <f t="shared" si="152"/>
        <v>313.56299786481338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-3.4106051316484809E-13</v>
      </c>
      <c r="EK173" s="18">
        <f>EJ173*VLOOKUP('Données projet'!$B$15,Paramètres!$A$1:$I$89,3,0)*VLOOKUP('Données projet'!$B$15,Paramètres!$A$1:$I$89,5,0)</f>
        <v>-2.7134774427395314E-13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450.93388191845378</v>
      </c>
      <c r="EP173" s="62">
        <f t="shared" si="154"/>
        <v>483.33635017129325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5.6843418860808015E-14</v>
      </c>
      <c r="FF173" s="18">
        <f>FE173*VLOOKUP('Données projet'!$B$16,Paramètres!$A$1:$I$89,3,0)*VLOOKUP('Données projet'!$B$16,Paramètres!$A$1:$I$89,5,0)</f>
        <v>4.4337866711430253E-14</v>
      </c>
      <c r="FG173" s="14">
        <f t="shared" si="182"/>
        <v>7.3222115536967035E-13</v>
      </c>
      <c r="FH173" s="22">
        <f t="shared" si="183"/>
        <v>1.3525069634579169E-12</v>
      </c>
      <c r="FI173" s="62">
        <f t="shared" si="131"/>
        <v>288.65398521628725</v>
      </c>
      <c r="FJ173" s="62">
        <f ca="1">AVERAGE(OFFSET($FI$3,0,0,'Données projet'!$E$16+1,1))-AVERAGE(OFFSET($H$3,0,0,'Données projet'!$E$16+1,1))</f>
        <v>309.21625451786218</v>
      </c>
      <c r="FK173" s="62">
        <f t="shared" si="156"/>
        <v>302.59481222418219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-2.2737367544323206E-13</v>
      </c>
      <c r="O174" s="14">
        <f>N174*VLOOKUP('Données projet'!$B$9,Paramètres!$A$1:$I$89,3,0)*VLOOKUP('Données projet'!$B$9,Paramètres!$A$1:$I$89,5,0)</f>
        <v>-1.8089849618263545E-13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394.70330963327166</v>
      </c>
      <c r="T174" s="62">
        <f t="shared" si="142"/>
        <v>424.06445894109982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4.6111381379887463E-14</v>
      </c>
      <c r="AK174" s="14">
        <f t="shared" si="164"/>
        <v>7.5804141040779151E-13</v>
      </c>
      <c r="AL174" s="22">
        <f t="shared" si="165"/>
        <v>1.4005661123635408E-12</v>
      </c>
      <c r="AM174" s="62">
        <f t="shared" si="113"/>
        <v>288.73516144466294</v>
      </c>
      <c r="AN174" s="62">
        <f ca="1">AVERAGE(OFFSET($AM$3,0,0,'Données projet'!$E$10+1,1))-AVERAGE(OFFSET($H$3,0,0,'Données projet'!$E$10+1,1))</f>
        <v>319.39055628111151</v>
      </c>
      <c r="AO174" s="62">
        <f t="shared" si="144"/>
        <v>312.22190035638084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>
        <f>BD174*VLOOKUP('Données projet'!$B$11,Paramètres!$A$1:$I$89,3,0)*VLOOKUP('Données projet'!$B$11,Paramètres!$A$1:$I$89,5,0)</f>
        <v>-8.3355189417488869E-14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257.906524944431</v>
      </c>
      <c r="BJ174" s="62">
        <f t="shared" si="146"/>
        <v>274.70390601173563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-1.1368683772161603E-13</v>
      </c>
      <c r="BZ174" s="14">
        <f>BY174*VLOOKUP('Données projet'!$B$12,Paramètres!$A$1:$I$89,3,0)*VLOOKUP('Données projet'!$B$12,Paramètres!$A$1:$I$89,5,0)</f>
        <v>-9.2222762759774927E-14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272.69564942740931</v>
      </c>
      <c r="CE174" s="62">
        <f t="shared" si="148"/>
        <v>316.57989180609252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-2.8421709430404007E-13</v>
      </c>
      <c r="CU174" s="18">
        <f>CT174*VLOOKUP('Données projet'!$B$13,Paramètres!$A$1:$I$89,3,0)*VLOOKUP('Données projet'!$B$13,Paramètres!$A$1:$I$89,5,0)</f>
        <v>-2.7046098693972454E-13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491.87038198656927</v>
      </c>
      <c r="CZ174" s="62">
        <f t="shared" si="150"/>
        <v>406.49261644949559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-1.1368683772161603E-13</v>
      </c>
      <c r="DP174" s="18">
        <f>DO174*VLOOKUP('Données projet'!$B$14,Paramètres!$A$1:$I$89,3,0)*VLOOKUP('Données projet'!$B$14,Paramètres!$A$1:$I$89,5,0)</f>
        <v>-1.0995790944434703E-13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603.52431522262032</v>
      </c>
      <c r="DU174" s="62">
        <f t="shared" si="152"/>
        <v>313.56299786481338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-3.4106051316484809E-13</v>
      </c>
      <c r="EK174" s="18">
        <f>EJ174*VLOOKUP('Données projet'!$B$15,Paramètres!$A$1:$I$89,3,0)*VLOOKUP('Données projet'!$B$15,Paramètres!$A$1:$I$89,5,0)</f>
        <v>-2.7134774427395314E-13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450.93388191845378</v>
      </c>
      <c r="EP174" s="62">
        <f t="shared" si="154"/>
        <v>483.33635017129325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5.6843418860808015E-14</v>
      </c>
      <c r="FF174" s="18">
        <f>FE174*VLOOKUP('Données projet'!$B$16,Paramètres!$A$1:$I$89,3,0)*VLOOKUP('Données projet'!$B$16,Paramètres!$A$1:$I$89,5,0)</f>
        <v>4.4337866711430253E-14</v>
      </c>
      <c r="FG174" s="14">
        <f t="shared" si="182"/>
        <v>7.3222115536967035E-13</v>
      </c>
      <c r="FH174" s="22">
        <f t="shared" si="183"/>
        <v>1.3525069634579169E-12</v>
      </c>
      <c r="FI174" s="62">
        <f t="shared" si="131"/>
        <v>288.73516144466288</v>
      </c>
      <c r="FJ174" s="62">
        <f ca="1">AVERAGE(OFFSET($FI$3,0,0,'Données projet'!$E$16+1,1))-AVERAGE(OFFSET($H$3,0,0,'Données projet'!$E$16+1,1))</f>
        <v>309.21625451786218</v>
      </c>
      <c r="FK174" s="62">
        <f t="shared" si="156"/>
        <v>302.59481222418219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-2.2737367544323206E-13</v>
      </c>
      <c r="O175" s="14">
        <f>N175*VLOOKUP('Données projet'!$B$9,Paramètres!$A$1:$I$89,3,0)*VLOOKUP('Données projet'!$B$9,Paramètres!$A$1:$I$89,5,0)</f>
        <v>-1.8089849618263545E-13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394.70330963327166</v>
      </c>
      <c r="T175" s="62">
        <f t="shared" si="142"/>
        <v>424.06445894109982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4.6111381379887463E-14</v>
      </c>
      <c r="AK175" s="14">
        <f t="shared" si="164"/>
        <v>7.5804141040779151E-13</v>
      </c>
      <c r="AL175" s="22">
        <f t="shared" si="165"/>
        <v>1.4005661123635408E-12</v>
      </c>
      <c r="AM175" s="62">
        <f t="shared" si="113"/>
        <v>288.81492944695907</v>
      </c>
      <c r="AN175" s="62">
        <f ca="1">AVERAGE(OFFSET($AM$3,0,0,'Données projet'!$E$10+1,1))-AVERAGE(OFFSET($H$3,0,0,'Données projet'!$E$10+1,1))</f>
        <v>319.39055628111151</v>
      </c>
      <c r="AO175" s="62">
        <f t="shared" si="144"/>
        <v>312.22190035638084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>
        <f>BD175*VLOOKUP('Données projet'!$B$11,Paramètres!$A$1:$I$89,3,0)*VLOOKUP('Données projet'!$B$11,Paramètres!$A$1:$I$89,5,0)</f>
        <v>-8.3355189417488869E-14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257.906524944431</v>
      </c>
      <c r="BJ175" s="62">
        <f t="shared" si="146"/>
        <v>274.70390601173563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-1.1368683772161603E-13</v>
      </c>
      <c r="BZ175" s="14">
        <f>BY175*VLOOKUP('Données projet'!$B$12,Paramètres!$A$1:$I$89,3,0)*VLOOKUP('Données projet'!$B$12,Paramètres!$A$1:$I$89,5,0)</f>
        <v>-9.2222762759774927E-14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272.69564942740931</v>
      </c>
      <c r="CE175" s="62">
        <f t="shared" si="148"/>
        <v>316.57989180609252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-2.8421709430404007E-13</v>
      </c>
      <c r="CU175" s="18">
        <f>CT175*VLOOKUP('Données projet'!$B$13,Paramètres!$A$1:$I$89,3,0)*VLOOKUP('Données projet'!$B$13,Paramètres!$A$1:$I$89,5,0)</f>
        <v>-2.7046098693972454E-13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491.87038198656927</v>
      </c>
      <c r="CZ175" s="62">
        <f t="shared" si="150"/>
        <v>406.49261644949559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-1.1368683772161603E-13</v>
      </c>
      <c r="DP175" s="18">
        <f>DO175*VLOOKUP('Données projet'!$B$14,Paramètres!$A$1:$I$89,3,0)*VLOOKUP('Données projet'!$B$14,Paramètres!$A$1:$I$89,5,0)</f>
        <v>-1.0995790944434703E-13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603.52431522262032</v>
      </c>
      <c r="DU175" s="62">
        <f t="shared" si="152"/>
        <v>313.56299786481338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-3.4106051316484809E-13</v>
      </c>
      <c r="EK175" s="18">
        <f>EJ175*VLOOKUP('Données projet'!$B$15,Paramètres!$A$1:$I$89,3,0)*VLOOKUP('Données projet'!$B$15,Paramètres!$A$1:$I$89,5,0)</f>
        <v>-2.7134774427395314E-13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450.93388191845378</v>
      </c>
      <c r="EP175" s="62">
        <f t="shared" si="154"/>
        <v>483.33635017129325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5.6843418860808015E-14</v>
      </c>
      <c r="FF175" s="18">
        <f>FE175*VLOOKUP('Données projet'!$B$16,Paramètres!$A$1:$I$89,3,0)*VLOOKUP('Données projet'!$B$16,Paramètres!$A$1:$I$89,5,0)</f>
        <v>4.4337866711430253E-14</v>
      </c>
      <c r="FG175" s="14">
        <f t="shared" si="182"/>
        <v>7.3222115536967035E-13</v>
      </c>
      <c r="FH175" s="22">
        <f t="shared" si="183"/>
        <v>1.3525069634579169E-12</v>
      </c>
      <c r="FI175" s="62">
        <f t="shared" si="131"/>
        <v>288.81492944695901</v>
      </c>
      <c r="FJ175" s="62">
        <f ca="1">AVERAGE(OFFSET($FI$3,0,0,'Données projet'!$E$16+1,1))-AVERAGE(OFFSET($H$3,0,0,'Données projet'!$E$16+1,1))</f>
        <v>309.21625451786218</v>
      </c>
      <c r="FK175" s="62">
        <f t="shared" si="156"/>
        <v>302.59481222418219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-2.2737367544323206E-13</v>
      </c>
      <c r="O176" s="14">
        <f>N176*VLOOKUP('Données projet'!$B$9,Paramètres!$A$1:$I$89,3,0)*VLOOKUP('Données projet'!$B$9,Paramètres!$A$1:$I$89,5,0)</f>
        <v>-1.8089849618263545E-13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394.70330963327166</v>
      </c>
      <c r="T176" s="62">
        <f t="shared" si="142"/>
        <v>424.06445894109982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4.6111381379887463E-14</v>
      </c>
      <c r="AK176" s="14">
        <f t="shared" si="164"/>
        <v>7.5804141040779151E-13</v>
      </c>
      <c r="AL176" s="22">
        <f t="shared" si="165"/>
        <v>1.4005661123635408E-12</v>
      </c>
      <c r="AM176" s="62">
        <f t="shared" si="113"/>
        <v>288.8933136527499</v>
      </c>
      <c r="AN176" s="62">
        <f ca="1">AVERAGE(OFFSET($AM$3,0,0,'Données projet'!$E$10+1,1))-AVERAGE(OFFSET($H$3,0,0,'Données projet'!$E$10+1,1))</f>
        <v>319.39055628111151</v>
      </c>
      <c r="AO176" s="62">
        <f t="shared" si="144"/>
        <v>312.22190035638084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>
        <f>BD176*VLOOKUP('Données projet'!$B$11,Paramètres!$A$1:$I$89,3,0)*VLOOKUP('Données projet'!$B$11,Paramètres!$A$1:$I$89,5,0)</f>
        <v>-8.3355189417488869E-14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257.906524944431</v>
      </c>
      <c r="BJ176" s="62">
        <f t="shared" si="146"/>
        <v>274.70390601173563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-1.1368683772161603E-13</v>
      </c>
      <c r="BZ176" s="14">
        <f>BY176*VLOOKUP('Données projet'!$B$12,Paramètres!$A$1:$I$89,3,0)*VLOOKUP('Données projet'!$B$12,Paramètres!$A$1:$I$89,5,0)</f>
        <v>-9.2222762759774927E-14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272.69564942740931</v>
      </c>
      <c r="CE176" s="62">
        <f t="shared" si="148"/>
        <v>316.57989180609252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-2.8421709430404007E-13</v>
      </c>
      <c r="CU176" s="18">
        <f>CT176*VLOOKUP('Données projet'!$B$13,Paramètres!$A$1:$I$89,3,0)*VLOOKUP('Données projet'!$B$13,Paramètres!$A$1:$I$89,5,0)</f>
        <v>-2.7046098693972454E-13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491.87038198656927</v>
      </c>
      <c r="CZ176" s="62">
        <f t="shared" si="150"/>
        <v>406.49261644949559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-1.1368683772161603E-13</v>
      </c>
      <c r="DP176" s="18">
        <f>DO176*VLOOKUP('Données projet'!$B$14,Paramètres!$A$1:$I$89,3,0)*VLOOKUP('Données projet'!$B$14,Paramètres!$A$1:$I$89,5,0)</f>
        <v>-1.0995790944434703E-13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603.52431522262032</v>
      </c>
      <c r="DU176" s="62">
        <f t="shared" si="152"/>
        <v>313.56299786481338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-3.4106051316484809E-13</v>
      </c>
      <c r="EK176" s="18">
        <f>EJ176*VLOOKUP('Données projet'!$B$15,Paramètres!$A$1:$I$89,3,0)*VLOOKUP('Données projet'!$B$15,Paramètres!$A$1:$I$89,5,0)</f>
        <v>-2.7134774427395314E-13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450.93388191845378</v>
      </c>
      <c r="EP176" s="62">
        <f t="shared" si="154"/>
        <v>483.33635017129325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5.6843418860808015E-14</v>
      </c>
      <c r="FF176" s="18">
        <f>FE176*VLOOKUP('Données projet'!$B$16,Paramètres!$A$1:$I$89,3,0)*VLOOKUP('Données projet'!$B$16,Paramètres!$A$1:$I$89,5,0)</f>
        <v>4.4337866711430253E-14</v>
      </c>
      <c r="FG176" s="14">
        <f t="shared" si="182"/>
        <v>7.3222115536967035E-13</v>
      </c>
      <c r="FH176" s="22">
        <f t="shared" si="183"/>
        <v>1.3525069634579169E-12</v>
      </c>
      <c r="FI176" s="62">
        <f t="shared" si="131"/>
        <v>288.89331365274984</v>
      </c>
      <c r="FJ176" s="62">
        <f ca="1">AVERAGE(OFFSET($FI$3,0,0,'Données projet'!$E$16+1,1))-AVERAGE(OFFSET($H$3,0,0,'Données projet'!$E$16+1,1))</f>
        <v>309.21625451786218</v>
      </c>
      <c r="FK176" s="62">
        <f t="shared" si="156"/>
        <v>302.59481222418219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-2.2737367544323206E-13</v>
      </c>
      <c r="O177" s="14">
        <f>N177*VLOOKUP('Données projet'!$B$9,Paramètres!$A$1:$I$89,3,0)*VLOOKUP('Données projet'!$B$9,Paramètres!$A$1:$I$89,5,0)</f>
        <v>-1.8089849618263545E-13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394.70330963327166</v>
      </c>
      <c r="T177" s="62">
        <f t="shared" si="142"/>
        <v>424.06445894109982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4.6111381379887463E-14</v>
      </c>
      <c r="AK177" s="14">
        <f t="shared" si="164"/>
        <v>7.5804141040779151E-13</v>
      </c>
      <c r="AL177" s="22">
        <f t="shared" si="165"/>
        <v>1.4005661123635408E-12</v>
      </c>
      <c r="AM177" s="62">
        <f t="shared" si="113"/>
        <v>288.97033806781116</v>
      </c>
      <c r="AN177" s="62">
        <f ca="1">AVERAGE(OFFSET($AM$3,0,0,'Données projet'!$E$10+1,1))-AVERAGE(OFFSET($H$3,0,0,'Données projet'!$E$10+1,1))</f>
        <v>319.39055628111151</v>
      </c>
      <c r="AO177" s="62">
        <f t="shared" si="144"/>
        <v>312.22190035638084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>
        <f>BD177*VLOOKUP('Données projet'!$B$11,Paramètres!$A$1:$I$89,3,0)*VLOOKUP('Données projet'!$B$11,Paramètres!$A$1:$I$89,5,0)</f>
        <v>-8.3355189417488869E-14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257.906524944431</v>
      </c>
      <c r="BJ177" s="62">
        <f t="shared" si="146"/>
        <v>274.70390601173563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-1.1368683772161603E-13</v>
      </c>
      <c r="BZ177" s="14">
        <f>BY177*VLOOKUP('Données projet'!$B$12,Paramètres!$A$1:$I$89,3,0)*VLOOKUP('Données projet'!$B$12,Paramètres!$A$1:$I$89,5,0)</f>
        <v>-9.2222762759774927E-14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272.69564942740931</v>
      </c>
      <c r="CE177" s="62">
        <f t="shared" si="148"/>
        <v>316.57989180609252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-2.8421709430404007E-13</v>
      </c>
      <c r="CU177" s="18">
        <f>CT177*VLOOKUP('Données projet'!$B$13,Paramètres!$A$1:$I$89,3,0)*VLOOKUP('Données projet'!$B$13,Paramètres!$A$1:$I$89,5,0)</f>
        <v>-2.7046098693972454E-13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491.87038198656927</v>
      </c>
      <c r="CZ177" s="62">
        <f t="shared" si="150"/>
        <v>406.49261644949559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-1.1368683772161603E-13</v>
      </c>
      <c r="DP177" s="18">
        <f>DO177*VLOOKUP('Données projet'!$B$14,Paramètres!$A$1:$I$89,3,0)*VLOOKUP('Données projet'!$B$14,Paramètres!$A$1:$I$89,5,0)</f>
        <v>-1.0995790944434703E-13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603.52431522262032</v>
      </c>
      <c r="DU177" s="62">
        <f t="shared" si="152"/>
        <v>313.56299786481338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-3.4106051316484809E-13</v>
      </c>
      <c r="EK177" s="18">
        <f>EJ177*VLOOKUP('Données projet'!$B$15,Paramètres!$A$1:$I$89,3,0)*VLOOKUP('Données projet'!$B$15,Paramètres!$A$1:$I$89,5,0)</f>
        <v>-2.7134774427395314E-13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450.93388191845378</v>
      </c>
      <c r="EP177" s="62">
        <f t="shared" si="154"/>
        <v>483.33635017129325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5.6843418860808015E-14</v>
      </c>
      <c r="FF177" s="18">
        <f>FE177*VLOOKUP('Données projet'!$B$16,Paramètres!$A$1:$I$89,3,0)*VLOOKUP('Données projet'!$B$16,Paramètres!$A$1:$I$89,5,0)</f>
        <v>4.4337866711430253E-14</v>
      </c>
      <c r="FG177" s="14">
        <f t="shared" si="182"/>
        <v>7.3222115536967035E-13</v>
      </c>
      <c r="FH177" s="22">
        <f t="shared" si="183"/>
        <v>1.3525069634579169E-12</v>
      </c>
      <c r="FI177" s="62">
        <f t="shared" si="131"/>
        <v>288.9703380678111</v>
      </c>
      <c r="FJ177" s="62">
        <f ca="1">AVERAGE(OFFSET($FI$3,0,0,'Données projet'!$E$16+1,1))-AVERAGE(OFFSET($H$3,0,0,'Données projet'!$E$16+1,1))</f>
        <v>309.21625451786218</v>
      </c>
      <c r="FK177" s="62">
        <f t="shared" si="156"/>
        <v>302.59481222418219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-2.2737367544323206E-13</v>
      </c>
      <c r="O178" s="14">
        <f>N178*VLOOKUP('Données projet'!$B$9,Paramètres!$A$1:$I$89,3,0)*VLOOKUP('Données projet'!$B$9,Paramètres!$A$1:$I$89,5,0)</f>
        <v>-1.8089849618263545E-13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394.70330963327166</v>
      </c>
      <c r="T178" s="62">
        <f t="shared" si="142"/>
        <v>424.06445894109982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4.6111381379887463E-14</v>
      </c>
      <c r="AK178" s="14">
        <f t="shared" si="164"/>
        <v>7.5804141040779151E-13</v>
      </c>
      <c r="AL178" s="22">
        <f t="shared" si="165"/>
        <v>1.4005661123635408E-12</v>
      </c>
      <c r="AM178" s="62">
        <f t="shared" si="113"/>
        <v>289.04602628147182</v>
      </c>
      <c r="AN178" s="62">
        <f ca="1">AVERAGE(OFFSET($AM$3,0,0,'Données projet'!$E$10+1,1))-AVERAGE(OFFSET($H$3,0,0,'Données projet'!$E$10+1,1))</f>
        <v>319.39055628111151</v>
      </c>
      <c r="AO178" s="62">
        <f t="shared" si="144"/>
        <v>312.22190035638084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>
        <f>BD178*VLOOKUP('Données projet'!$B$11,Paramètres!$A$1:$I$89,3,0)*VLOOKUP('Données projet'!$B$11,Paramètres!$A$1:$I$89,5,0)</f>
        <v>-8.3355189417488869E-14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257.906524944431</v>
      </c>
      <c r="BJ178" s="62">
        <f t="shared" si="146"/>
        <v>274.70390601173563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-1.1368683772161603E-13</v>
      </c>
      <c r="BZ178" s="14">
        <f>BY178*VLOOKUP('Données projet'!$B$12,Paramètres!$A$1:$I$89,3,0)*VLOOKUP('Données projet'!$B$12,Paramètres!$A$1:$I$89,5,0)</f>
        <v>-9.2222762759774927E-14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272.69564942740931</v>
      </c>
      <c r="CE178" s="62">
        <f t="shared" si="148"/>
        <v>316.57989180609252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-2.8421709430404007E-13</v>
      </c>
      <c r="CU178" s="18">
        <f>CT178*VLOOKUP('Données projet'!$B$13,Paramètres!$A$1:$I$89,3,0)*VLOOKUP('Données projet'!$B$13,Paramètres!$A$1:$I$89,5,0)</f>
        <v>-2.7046098693972454E-13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491.87038198656927</v>
      </c>
      <c r="CZ178" s="62">
        <f t="shared" si="150"/>
        <v>406.49261644949559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-1.1368683772161603E-13</v>
      </c>
      <c r="DP178" s="18">
        <f>DO178*VLOOKUP('Données projet'!$B$14,Paramètres!$A$1:$I$89,3,0)*VLOOKUP('Données projet'!$B$14,Paramètres!$A$1:$I$89,5,0)</f>
        <v>-1.0995790944434703E-13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603.52431522262032</v>
      </c>
      <c r="DU178" s="62">
        <f t="shared" si="152"/>
        <v>313.56299786481338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-3.4106051316484809E-13</v>
      </c>
      <c r="EK178" s="18">
        <f>EJ178*VLOOKUP('Données projet'!$B$15,Paramètres!$A$1:$I$89,3,0)*VLOOKUP('Données projet'!$B$15,Paramètres!$A$1:$I$89,5,0)</f>
        <v>-2.7134774427395314E-13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450.93388191845378</v>
      </c>
      <c r="EP178" s="62">
        <f t="shared" si="154"/>
        <v>483.33635017129325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5.6843418860808015E-14</v>
      </c>
      <c r="FF178" s="18">
        <f>FE178*VLOOKUP('Données projet'!$B$16,Paramètres!$A$1:$I$89,3,0)*VLOOKUP('Données projet'!$B$16,Paramètres!$A$1:$I$89,5,0)</f>
        <v>4.4337866711430253E-14</v>
      </c>
      <c r="FG178" s="14">
        <f t="shared" si="182"/>
        <v>7.3222115536967035E-13</v>
      </c>
      <c r="FH178" s="22">
        <f t="shared" si="183"/>
        <v>1.3525069634579169E-12</v>
      </c>
      <c r="FI178" s="62">
        <f t="shared" si="131"/>
        <v>289.04602628147177</v>
      </c>
      <c r="FJ178" s="62">
        <f ca="1">AVERAGE(OFFSET($FI$3,0,0,'Données projet'!$E$16+1,1))-AVERAGE(OFFSET($H$3,0,0,'Données projet'!$E$16+1,1))</f>
        <v>309.21625451786218</v>
      </c>
      <c r="FK178" s="62">
        <f t="shared" si="156"/>
        <v>302.59481222418219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-2.2737367544323206E-13</v>
      </c>
      <c r="O179" s="14">
        <f>N179*VLOOKUP('Données projet'!$B$9,Paramètres!$A$1:$I$89,3,0)*VLOOKUP('Données projet'!$B$9,Paramètres!$A$1:$I$89,5,0)</f>
        <v>-1.8089849618263545E-13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394.70330963327166</v>
      </c>
      <c r="T179" s="62">
        <f t="shared" si="142"/>
        <v>424.06445894109982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4.6111381379887463E-14</v>
      </c>
      <c r="AK179" s="14">
        <f t="shared" si="164"/>
        <v>7.5804141040779151E-13</v>
      </c>
      <c r="AL179" s="22">
        <f t="shared" si="165"/>
        <v>1.4005661123635408E-12</v>
      </c>
      <c r="AM179" s="62">
        <f t="shared" si="113"/>
        <v>289.12040147383902</v>
      </c>
      <c r="AN179" s="62">
        <f ca="1">AVERAGE(OFFSET($AM$3,0,0,'Données projet'!$E$10+1,1))-AVERAGE(OFFSET($H$3,0,0,'Données projet'!$E$10+1,1))</f>
        <v>319.39055628111151</v>
      </c>
      <c r="AO179" s="62">
        <f t="shared" si="144"/>
        <v>312.22190035638084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>
        <f>BD179*VLOOKUP('Données projet'!$B$11,Paramètres!$A$1:$I$89,3,0)*VLOOKUP('Données projet'!$B$11,Paramètres!$A$1:$I$89,5,0)</f>
        <v>-8.3355189417488869E-14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257.906524944431</v>
      </c>
      <c r="BJ179" s="62">
        <f t="shared" si="146"/>
        <v>274.70390601173563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-1.1368683772161603E-13</v>
      </c>
      <c r="BZ179" s="14">
        <f>BY179*VLOOKUP('Données projet'!$B$12,Paramètres!$A$1:$I$89,3,0)*VLOOKUP('Données projet'!$B$12,Paramètres!$A$1:$I$89,5,0)</f>
        <v>-9.2222762759774927E-14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272.69564942740931</v>
      </c>
      <c r="CE179" s="62">
        <f t="shared" si="148"/>
        <v>316.57989180609252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-2.8421709430404007E-13</v>
      </c>
      <c r="CU179" s="18">
        <f>CT179*VLOOKUP('Données projet'!$B$13,Paramètres!$A$1:$I$89,3,0)*VLOOKUP('Données projet'!$B$13,Paramètres!$A$1:$I$89,5,0)</f>
        <v>-2.7046098693972454E-13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491.87038198656927</v>
      </c>
      <c r="CZ179" s="62">
        <f t="shared" si="150"/>
        <v>406.49261644949559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-1.1368683772161603E-13</v>
      </c>
      <c r="DP179" s="18">
        <f>DO179*VLOOKUP('Données projet'!$B$14,Paramètres!$A$1:$I$89,3,0)*VLOOKUP('Données projet'!$B$14,Paramètres!$A$1:$I$89,5,0)</f>
        <v>-1.0995790944434703E-13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603.52431522262032</v>
      </c>
      <c r="DU179" s="62">
        <f t="shared" si="152"/>
        <v>313.56299786481338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-3.4106051316484809E-13</v>
      </c>
      <c r="EK179" s="18">
        <f>EJ179*VLOOKUP('Données projet'!$B$15,Paramètres!$A$1:$I$89,3,0)*VLOOKUP('Données projet'!$B$15,Paramètres!$A$1:$I$89,5,0)</f>
        <v>-2.7134774427395314E-13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450.93388191845378</v>
      </c>
      <c r="EP179" s="62">
        <f t="shared" si="154"/>
        <v>483.33635017129325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5.6843418860808015E-14</v>
      </c>
      <c r="FF179" s="18">
        <f>FE179*VLOOKUP('Données projet'!$B$16,Paramètres!$A$1:$I$89,3,0)*VLOOKUP('Données projet'!$B$16,Paramètres!$A$1:$I$89,5,0)</f>
        <v>4.4337866711430253E-14</v>
      </c>
      <c r="FG179" s="14">
        <f t="shared" si="182"/>
        <v>7.3222115536967035E-13</v>
      </c>
      <c r="FH179" s="22">
        <f t="shared" si="183"/>
        <v>1.3525069634579169E-12</v>
      </c>
      <c r="FI179" s="62">
        <f t="shared" si="131"/>
        <v>289.12040147383897</v>
      </c>
      <c r="FJ179" s="62">
        <f ca="1">AVERAGE(OFFSET($FI$3,0,0,'Données projet'!$E$16+1,1))-AVERAGE(OFFSET($H$3,0,0,'Données projet'!$E$16+1,1))</f>
        <v>309.21625451786218</v>
      </c>
      <c r="FK179" s="62">
        <f t="shared" si="156"/>
        <v>302.59481222418219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-2.2737367544323206E-13</v>
      </c>
      <c r="O180" s="14">
        <f>N180*VLOOKUP('Données projet'!$B$9,Paramètres!$A$1:$I$89,3,0)*VLOOKUP('Données projet'!$B$9,Paramètres!$A$1:$I$89,5,0)</f>
        <v>-1.8089849618263545E-13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394.70330963327166</v>
      </c>
      <c r="T180" s="62">
        <f t="shared" si="142"/>
        <v>424.06445894109982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4.6111381379887463E-14</v>
      </c>
      <c r="AK180" s="14">
        <f t="shared" si="164"/>
        <v>7.5804141040779151E-13</v>
      </c>
      <c r="AL180" s="22">
        <f t="shared" si="165"/>
        <v>1.4005661123635408E-12</v>
      </c>
      <c r="AM180" s="62">
        <f t="shared" si="113"/>
        <v>289.19348642289668</v>
      </c>
      <c r="AN180" s="62">
        <f ca="1">AVERAGE(OFFSET($AM$3,0,0,'Données projet'!$E$10+1,1))-AVERAGE(OFFSET($H$3,0,0,'Données projet'!$E$10+1,1))</f>
        <v>319.39055628111151</v>
      </c>
      <c r="AO180" s="62">
        <f t="shared" si="144"/>
        <v>312.22190035638084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>
        <f>BD180*VLOOKUP('Données projet'!$B$11,Paramètres!$A$1:$I$89,3,0)*VLOOKUP('Données projet'!$B$11,Paramètres!$A$1:$I$89,5,0)</f>
        <v>-8.3355189417488869E-14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257.906524944431</v>
      </c>
      <c r="BJ180" s="62">
        <f t="shared" si="146"/>
        <v>274.70390601173563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-1.1368683772161603E-13</v>
      </c>
      <c r="BZ180" s="14">
        <f>BY180*VLOOKUP('Données projet'!$B$12,Paramètres!$A$1:$I$89,3,0)*VLOOKUP('Données projet'!$B$12,Paramètres!$A$1:$I$89,5,0)</f>
        <v>-9.2222762759774927E-14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272.69564942740931</v>
      </c>
      <c r="CE180" s="62">
        <f t="shared" si="148"/>
        <v>316.57989180609252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-2.8421709430404007E-13</v>
      </c>
      <c r="CU180" s="18">
        <f>CT180*VLOOKUP('Données projet'!$B$13,Paramètres!$A$1:$I$89,3,0)*VLOOKUP('Données projet'!$B$13,Paramètres!$A$1:$I$89,5,0)</f>
        <v>-2.7046098693972454E-13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491.87038198656927</v>
      </c>
      <c r="CZ180" s="62">
        <f t="shared" si="150"/>
        <v>406.49261644949559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-1.1368683772161603E-13</v>
      </c>
      <c r="DP180" s="18">
        <f>DO180*VLOOKUP('Données projet'!$B$14,Paramètres!$A$1:$I$89,3,0)*VLOOKUP('Données projet'!$B$14,Paramètres!$A$1:$I$89,5,0)</f>
        <v>-1.0995790944434703E-13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603.52431522262032</v>
      </c>
      <c r="DU180" s="62">
        <f t="shared" si="152"/>
        <v>313.56299786481338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-3.4106051316484809E-13</v>
      </c>
      <c r="EK180" s="18">
        <f>EJ180*VLOOKUP('Données projet'!$B$15,Paramètres!$A$1:$I$89,3,0)*VLOOKUP('Données projet'!$B$15,Paramètres!$A$1:$I$89,5,0)</f>
        <v>-2.7134774427395314E-13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450.93388191845378</v>
      </c>
      <c r="EP180" s="62">
        <f t="shared" si="154"/>
        <v>483.33635017129325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5.6843418860808015E-14</v>
      </c>
      <c r="FF180" s="18">
        <f>FE180*VLOOKUP('Données projet'!$B$16,Paramètres!$A$1:$I$89,3,0)*VLOOKUP('Données projet'!$B$16,Paramètres!$A$1:$I$89,5,0)</f>
        <v>4.4337866711430253E-14</v>
      </c>
      <c r="FG180" s="14">
        <f t="shared" si="182"/>
        <v>7.3222115536967035E-13</v>
      </c>
      <c r="FH180" s="22">
        <f t="shared" si="183"/>
        <v>1.3525069634579169E-12</v>
      </c>
      <c r="FI180" s="62">
        <f t="shared" si="131"/>
        <v>289.19348642289663</v>
      </c>
      <c r="FJ180" s="62">
        <f ca="1">AVERAGE(OFFSET($FI$3,0,0,'Données projet'!$E$16+1,1))-AVERAGE(OFFSET($H$3,0,0,'Données projet'!$E$16+1,1))</f>
        <v>309.21625451786218</v>
      </c>
      <c r="FK180" s="62">
        <f t="shared" si="156"/>
        <v>302.59481222418219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-2.2737367544323206E-13</v>
      </c>
      <c r="O181" s="14">
        <f>N181*VLOOKUP('Données projet'!$B$9,Paramètres!$A$1:$I$89,3,0)*VLOOKUP('Données projet'!$B$9,Paramètres!$A$1:$I$89,5,0)</f>
        <v>-1.8089849618263545E-13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394.70330963327166</v>
      </c>
      <c r="T181" s="62">
        <f t="shared" si="142"/>
        <v>424.06445894109982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4.6111381379887463E-14</v>
      </c>
      <c r="AK181" s="14">
        <f t="shared" si="164"/>
        <v>7.5804141040779151E-13</v>
      </c>
      <c r="AL181" s="22">
        <f t="shared" si="165"/>
        <v>1.4005661123635408E-12</v>
      </c>
      <c r="AM181" s="62">
        <f t="shared" si="113"/>
        <v>289.26530351148159</v>
      </c>
      <c r="AN181" s="62">
        <f ca="1">AVERAGE(OFFSET($AM$3,0,0,'Données projet'!$E$10+1,1))-AVERAGE(OFFSET($H$3,0,0,'Données projet'!$E$10+1,1))</f>
        <v>319.39055628111151</v>
      </c>
      <c r="AO181" s="62">
        <f t="shared" si="144"/>
        <v>312.22190035638084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>
        <f>BD181*VLOOKUP('Données projet'!$B$11,Paramètres!$A$1:$I$89,3,0)*VLOOKUP('Données projet'!$B$11,Paramètres!$A$1:$I$89,5,0)</f>
        <v>-8.3355189417488869E-14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257.906524944431</v>
      </c>
      <c r="BJ181" s="62">
        <f t="shared" si="146"/>
        <v>274.70390601173563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-1.1368683772161603E-13</v>
      </c>
      <c r="BZ181" s="14">
        <f>BY181*VLOOKUP('Données projet'!$B$12,Paramètres!$A$1:$I$89,3,0)*VLOOKUP('Données projet'!$B$12,Paramètres!$A$1:$I$89,5,0)</f>
        <v>-9.2222762759774927E-14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272.69564942740931</v>
      </c>
      <c r="CE181" s="62">
        <f t="shared" si="148"/>
        <v>316.57989180609252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-2.8421709430404007E-13</v>
      </c>
      <c r="CU181" s="18">
        <f>CT181*VLOOKUP('Données projet'!$B$13,Paramètres!$A$1:$I$89,3,0)*VLOOKUP('Données projet'!$B$13,Paramètres!$A$1:$I$89,5,0)</f>
        <v>-2.7046098693972454E-13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491.87038198656927</v>
      </c>
      <c r="CZ181" s="62">
        <f t="shared" si="150"/>
        <v>406.49261644949559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-1.1368683772161603E-13</v>
      </c>
      <c r="DP181" s="18">
        <f>DO181*VLOOKUP('Données projet'!$B$14,Paramètres!$A$1:$I$89,3,0)*VLOOKUP('Données projet'!$B$14,Paramètres!$A$1:$I$89,5,0)</f>
        <v>-1.0995790944434703E-13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603.52431522262032</v>
      </c>
      <c r="DU181" s="62">
        <f t="shared" si="152"/>
        <v>313.56299786481338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-3.4106051316484809E-13</v>
      </c>
      <c r="EK181" s="18">
        <f>EJ181*VLOOKUP('Données projet'!$B$15,Paramètres!$A$1:$I$89,3,0)*VLOOKUP('Données projet'!$B$15,Paramètres!$A$1:$I$89,5,0)</f>
        <v>-2.7134774427395314E-13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450.93388191845378</v>
      </c>
      <c r="EP181" s="62">
        <f t="shared" si="154"/>
        <v>483.33635017129325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5.6843418860808015E-14</v>
      </c>
      <c r="FF181" s="18">
        <f>FE181*VLOOKUP('Données projet'!$B$16,Paramètres!$A$1:$I$89,3,0)*VLOOKUP('Données projet'!$B$16,Paramètres!$A$1:$I$89,5,0)</f>
        <v>4.4337866711430253E-14</v>
      </c>
      <c r="FG181" s="14">
        <f t="shared" si="182"/>
        <v>7.3222115536967035E-13</v>
      </c>
      <c r="FH181" s="22">
        <f t="shared" si="183"/>
        <v>1.3525069634579169E-12</v>
      </c>
      <c r="FI181" s="62">
        <f t="shared" si="131"/>
        <v>289.26530351148153</v>
      </c>
      <c r="FJ181" s="62">
        <f ca="1">AVERAGE(OFFSET($FI$3,0,0,'Données projet'!$E$16+1,1))-AVERAGE(OFFSET($H$3,0,0,'Données projet'!$E$16+1,1))</f>
        <v>309.21625451786218</v>
      </c>
      <c r="FK181" s="62">
        <f t="shared" si="156"/>
        <v>302.59481222418219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-2.2737367544323206E-13</v>
      </c>
      <c r="O182" s="14">
        <f>N182*VLOOKUP('Données projet'!$B$9,Paramètres!$A$1:$I$89,3,0)*VLOOKUP('Données projet'!$B$9,Paramètres!$A$1:$I$89,5,0)</f>
        <v>-1.8089849618263545E-13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394.70330963327166</v>
      </c>
      <c r="T182" s="62">
        <f t="shared" si="142"/>
        <v>424.06445894109982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4.6111381379887463E-14</v>
      </c>
      <c r="AK182" s="14">
        <f t="shared" si="164"/>
        <v>7.5804141040779151E-13</v>
      </c>
      <c r="AL182" s="22">
        <f t="shared" si="165"/>
        <v>1.4005661123635408E-12</v>
      </c>
      <c r="AM182" s="62">
        <f t="shared" si="113"/>
        <v>289.33587473413854</v>
      </c>
      <c r="AN182" s="62">
        <f ca="1">AVERAGE(OFFSET($AM$3,0,0,'Données projet'!$E$10+1,1))-AVERAGE(OFFSET($H$3,0,0,'Données projet'!$E$10+1,1))</f>
        <v>319.39055628111151</v>
      </c>
      <c r="AO182" s="62">
        <f t="shared" si="144"/>
        <v>312.22190035638084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>
        <f>BD182*VLOOKUP('Données projet'!$B$11,Paramètres!$A$1:$I$89,3,0)*VLOOKUP('Données projet'!$B$11,Paramètres!$A$1:$I$89,5,0)</f>
        <v>-8.3355189417488869E-14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257.906524944431</v>
      </c>
      <c r="BJ182" s="62">
        <f t="shared" si="146"/>
        <v>274.70390601173563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-1.1368683772161603E-13</v>
      </c>
      <c r="BZ182" s="14">
        <f>BY182*VLOOKUP('Données projet'!$B$12,Paramètres!$A$1:$I$89,3,0)*VLOOKUP('Données projet'!$B$12,Paramètres!$A$1:$I$89,5,0)</f>
        <v>-9.2222762759774927E-14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272.69564942740931</v>
      </c>
      <c r="CE182" s="62">
        <f t="shared" si="148"/>
        <v>316.57989180609252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-2.8421709430404007E-13</v>
      </c>
      <c r="CU182" s="18">
        <f>CT182*VLOOKUP('Données projet'!$B$13,Paramètres!$A$1:$I$89,3,0)*VLOOKUP('Données projet'!$B$13,Paramètres!$A$1:$I$89,5,0)</f>
        <v>-2.7046098693972454E-13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491.87038198656927</v>
      </c>
      <c r="CZ182" s="62">
        <f t="shared" si="150"/>
        <v>406.49261644949559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-1.1368683772161603E-13</v>
      </c>
      <c r="DP182" s="18">
        <f>DO182*VLOOKUP('Données projet'!$B$14,Paramètres!$A$1:$I$89,3,0)*VLOOKUP('Données projet'!$B$14,Paramètres!$A$1:$I$89,5,0)</f>
        <v>-1.0995790944434703E-13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603.52431522262032</v>
      </c>
      <c r="DU182" s="62">
        <f t="shared" si="152"/>
        <v>313.56299786481338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-3.4106051316484809E-13</v>
      </c>
      <c r="EK182" s="18">
        <f>EJ182*VLOOKUP('Données projet'!$B$15,Paramètres!$A$1:$I$89,3,0)*VLOOKUP('Données projet'!$B$15,Paramètres!$A$1:$I$89,5,0)</f>
        <v>-2.7134774427395314E-13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450.93388191845378</v>
      </c>
      <c r="EP182" s="62">
        <f t="shared" si="154"/>
        <v>483.33635017129325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5.6843418860808015E-14</v>
      </c>
      <c r="FF182" s="18">
        <f>FE182*VLOOKUP('Données projet'!$B$16,Paramètres!$A$1:$I$89,3,0)*VLOOKUP('Données projet'!$B$16,Paramètres!$A$1:$I$89,5,0)</f>
        <v>4.4337866711430253E-14</v>
      </c>
      <c r="FG182" s="14">
        <f t="shared" si="182"/>
        <v>7.3222115536967035E-13</v>
      </c>
      <c r="FH182" s="22">
        <f t="shared" si="183"/>
        <v>1.3525069634579169E-12</v>
      </c>
      <c r="FI182" s="62">
        <f t="shared" si="131"/>
        <v>289.33587473413849</v>
      </c>
      <c r="FJ182" s="62">
        <f ca="1">AVERAGE(OFFSET($FI$3,0,0,'Données projet'!$E$16+1,1))-AVERAGE(OFFSET($H$3,0,0,'Données projet'!$E$16+1,1))</f>
        <v>309.21625451786218</v>
      </c>
      <c r="FK182" s="62">
        <f t="shared" si="156"/>
        <v>302.59481222418219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-2.2737367544323206E-13</v>
      </c>
      <c r="O183" s="14">
        <f>N183*VLOOKUP('Données projet'!$B$9,Paramètres!$A$1:$I$89,3,0)*VLOOKUP('Données projet'!$B$9,Paramètres!$A$1:$I$89,5,0)</f>
        <v>-1.8089849618263545E-13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394.70330963327166</v>
      </c>
      <c r="T183" s="62">
        <f t="shared" si="142"/>
        <v>424.06445894109982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4.6111381379887463E-14</v>
      </c>
      <c r="AK183" s="14">
        <f t="shared" si="164"/>
        <v>7.5804141040779151E-13</v>
      </c>
      <c r="AL183" s="22">
        <f t="shared" si="165"/>
        <v>1.4005661123635408E-12</v>
      </c>
      <c r="AM183" s="62">
        <f t="shared" si="113"/>
        <v>289.40522170385606</v>
      </c>
      <c r="AN183" s="62">
        <f ca="1">AVERAGE(OFFSET($AM$3,0,0,'Données projet'!$E$10+1,1))-AVERAGE(OFFSET($H$3,0,0,'Données projet'!$E$10+1,1))</f>
        <v>319.39055628111151</v>
      </c>
      <c r="AO183" s="62">
        <f t="shared" si="144"/>
        <v>312.22190035638084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>
        <f>BD183*VLOOKUP('Données projet'!$B$11,Paramètres!$A$1:$I$89,3,0)*VLOOKUP('Données projet'!$B$11,Paramètres!$A$1:$I$89,5,0)</f>
        <v>-8.3355189417488869E-14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257.906524944431</v>
      </c>
      <c r="BJ183" s="62">
        <f t="shared" si="146"/>
        <v>274.70390601173563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-1.1368683772161603E-13</v>
      </c>
      <c r="BZ183" s="14">
        <f>BY183*VLOOKUP('Données projet'!$B$12,Paramètres!$A$1:$I$89,3,0)*VLOOKUP('Données projet'!$B$12,Paramètres!$A$1:$I$89,5,0)</f>
        <v>-9.2222762759774927E-14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272.69564942740931</v>
      </c>
      <c r="CE183" s="62">
        <f t="shared" si="148"/>
        <v>316.57989180609252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-2.8421709430404007E-13</v>
      </c>
      <c r="CU183" s="18">
        <f>CT183*VLOOKUP('Données projet'!$B$13,Paramètres!$A$1:$I$89,3,0)*VLOOKUP('Données projet'!$B$13,Paramètres!$A$1:$I$89,5,0)</f>
        <v>-2.7046098693972454E-13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491.87038198656927</v>
      </c>
      <c r="CZ183" s="62">
        <f t="shared" si="150"/>
        <v>406.49261644949559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-1.1368683772161603E-13</v>
      </c>
      <c r="DP183" s="18">
        <f>DO183*VLOOKUP('Données projet'!$B$14,Paramètres!$A$1:$I$89,3,0)*VLOOKUP('Données projet'!$B$14,Paramètres!$A$1:$I$89,5,0)</f>
        <v>-1.0995790944434703E-13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603.52431522262032</v>
      </c>
      <c r="DU183" s="62">
        <f t="shared" si="152"/>
        <v>313.56299786481338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-3.4106051316484809E-13</v>
      </c>
      <c r="EK183" s="18">
        <f>EJ183*VLOOKUP('Données projet'!$B$15,Paramètres!$A$1:$I$89,3,0)*VLOOKUP('Données projet'!$B$15,Paramètres!$A$1:$I$89,5,0)</f>
        <v>-2.7134774427395314E-13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450.93388191845378</v>
      </c>
      <c r="EP183" s="62">
        <f t="shared" si="154"/>
        <v>483.33635017129325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5.6843418860808015E-14</v>
      </c>
      <c r="FF183" s="18">
        <f>FE183*VLOOKUP('Données projet'!$B$16,Paramètres!$A$1:$I$89,3,0)*VLOOKUP('Données projet'!$B$16,Paramètres!$A$1:$I$89,5,0)</f>
        <v>4.4337866711430253E-14</v>
      </c>
      <c r="FG183" s="14">
        <f t="shared" si="182"/>
        <v>7.3222115536967035E-13</v>
      </c>
      <c r="FH183" s="22">
        <f t="shared" si="183"/>
        <v>1.3525069634579169E-12</v>
      </c>
      <c r="FI183" s="62">
        <f t="shared" si="131"/>
        <v>289.405221703856</v>
      </c>
      <c r="FJ183" s="62">
        <f ca="1">AVERAGE(OFFSET($FI$3,0,0,'Données projet'!$E$16+1,1))-AVERAGE(OFFSET($H$3,0,0,'Données projet'!$E$16+1,1))</f>
        <v>309.21625451786218</v>
      </c>
      <c r="FK183" s="62">
        <f t="shared" si="156"/>
        <v>302.59481222418219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-2.2737367544323206E-13</v>
      </c>
      <c r="O184" s="14">
        <f>N184*VLOOKUP('Données projet'!$B$9,Paramètres!$A$1:$I$89,3,0)*VLOOKUP('Données projet'!$B$9,Paramètres!$A$1:$I$89,5,0)</f>
        <v>-1.8089849618263545E-13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394.70330963327166</v>
      </c>
      <c r="T184" s="62">
        <f t="shared" si="142"/>
        <v>424.06445894109982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4.6111381379887463E-14</v>
      </c>
      <c r="AK184" s="14">
        <f t="shared" si="164"/>
        <v>7.5804141040779151E-13</v>
      </c>
      <c r="AL184" s="22">
        <f t="shared" si="165"/>
        <v>1.4005661123635408E-12</v>
      </c>
      <c r="AM184" s="62">
        <f t="shared" si="113"/>
        <v>289.47336565868551</v>
      </c>
      <c r="AN184" s="62">
        <f ca="1">AVERAGE(OFFSET($AM$3,0,0,'Données projet'!$E$10+1,1))-AVERAGE(OFFSET($H$3,0,0,'Données projet'!$E$10+1,1))</f>
        <v>319.39055628111151</v>
      </c>
      <c r="AO184" s="62">
        <f t="shared" si="144"/>
        <v>312.22190035638084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>
        <f>BD184*VLOOKUP('Données projet'!$B$11,Paramètres!$A$1:$I$89,3,0)*VLOOKUP('Données projet'!$B$11,Paramètres!$A$1:$I$89,5,0)</f>
        <v>-8.3355189417488869E-14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257.906524944431</v>
      </c>
      <c r="BJ184" s="62">
        <f t="shared" si="146"/>
        <v>274.70390601173563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-1.1368683772161603E-13</v>
      </c>
      <c r="BZ184" s="14">
        <f>BY184*VLOOKUP('Données projet'!$B$12,Paramètres!$A$1:$I$89,3,0)*VLOOKUP('Données projet'!$B$12,Paramètres!$A$1:$I$89,5,0)</f>
        <v>-9.2222762759774927E-14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272.69564942740931</v>
      </c>
      <c r="CE184" s="62">
        <f t="shared" si="148"/>
        <v>316.57989180609252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-2.8421709430404007E-13</v>
      </c>
      <c r="CU184" s="18">
        <f>CT184*VLOOKUP('Données projet'!$B$13,Paramètres!$A$1:$I$89,3,0)*VLOOKUP('Données projet'!$B$13,Paramètres!$A$1:$I$89,5,0)</f>
        <v>-2.7046098693972454E-13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491.87038198656927</v>
      </c>
      <c r="CZ184" s="62">
        <f t="shared" si="150"/>
        <v>406.49261644949559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-1.1368683772161603E-13</v>
      </c>
      <c r="DP184" s="18">
        <f>DO184*VLOOKUP('Données projet'!$B$14,Paramètres!$A$1:$I$89,3,0)*VLOOKUP('Données projet'!$B$14,Paramètres!$A$1:$I$89,5,0)</f>
        <v>-1.0995790944434703E-13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603.52431522262032</v>
      </c>
      <c r="DU184" s="62">
        <f t="shared" si="152"/>
        <v>313.56299786481338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-3.4106051316484809E-13</v>
      </c>
      <c r="EK184" s="18">
        <f>EJ184*VLOOKUP('Données projet'!$B$15,Paramètres!$A$1:$I$89,3,0)*VLOOKUP('Données projet'!$B$15,Paramètres!$A$1:$I$89,5,0)</f>
        <v>-2.7134774427395314E-13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450.93388191845378</v>
      </c>
      <c r="EP184" s="62">
        <f t="shared" si="154"/>
        <v>483.33635017129325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5.6843418860808015E-14</v>
      </c>
      <c r="FF184" s="18">
        <f>FE184*VLOOKUP('Données projet'!$B$16,Paramètres!$A$1:$I$89,3,0)*VLOOKUP('Données projet'!$B$16,Paramètres!$A$1:$I$89,5,0)</f>
        <v>4.4337866711430253E-14</v>
      </c>
      <c r="FG184" s="14">
        <f t="shared" si="182"/>
        <v>7.3222115536967035E-13</v>
      </c>
      <c r="FH184" s="22">
        <f t="shared" si="183"/>
        <v>1.3525069634579169E-12</v>
      </c>
      <c r="FI184" s="62">
        <f t="shared" si="131"/>
        <v>289.47336565868545</v>
      </c>
      <c r="FJ184" s="62">
        <f ca="1">AVERAGE(OFFSET($FI$3,0,0,'Données projet'!$E$16+1,1))-AVERAGE(OFFSET($H$3,0,0,'Données projet'!$E$16+1,1))</f>
        <v>309.21625451786218</v>
      </c>
      <c r="FK184" s="62">
        <f t="shared" si="156"/>
        <v>302.59481222418219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-2.2737367544323206E-13</v>
      </c>
      <c r="O185" s="14">
        <f>N185*VLOOKUP('Données projet'!$B$9,Paramètres!$A$1:$I$89,3,0)*VLOOKUP('Données projet'!$B$9,Paramètres!$A$1:$I$89,5,0)</f>
        <v>-1.8089849618263545E-13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394.70330963327166</v>
      </c>
      <c r="T185" s="62">
        <f t="shared" si="142"/>
        <v>424.06445894109982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4.6111381379887463E-14</v>
      </c>
      <c r="AK185" s="14">
        <f t="shared" si="164"/>
        <v>7.5804141040779151E-13</v>
      </c>
      <c r="AL185" s="22">
        <f t="shared" si="165"/>
        <v>1.4005661123635408E-12</v>
      </c>
      <c r="AM185" s="62">
        <f t="shared" si="113"/>
        <v>289.54032746824583</v>
      </c>
      <c r="AN185" s="62">
        <f ca="1">AVERAGE(OFFSET($AM$3,0,0,'Données projet'!$E$10+1,1))-AVERAGE(OFFSET($H$3,0,0,'Données projet'!$E$10+1,1))</f>
        <v>319.39055628111151</v>
      </c>
      <c r="AO185" s="62">
        <f t="shared" si="144"/>
        <v>312.22190035638084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>
        <f>BD185*VLOOKUP('Données projet'!$B$11,Paramètres!$A$1:$I$89,3,0)*VLOOKUP('Données projet'!$B$11,Paramètres!$A$1:$I$89,5,0)</f>
        <v>-8.3355189417488869E-14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257.906524944431</v>
      </c>
      <c r="BJ185" s="62">
        <f t="shared" si="146"/>
        <v>274.70390601173563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-1.1368683772161603E-13</v>
      </c>
      <c r="BZ185" s="14">
        <f>BY185*VLOOKUP('Données projet'!$B$12,Paramètres!$A$1:$I$89,3,0)*VLOOKUP('Données projet'!$B$12,Paramètres!$A$1:$I$89,5,0)</f>
        <v>-9.2222762759774927E-14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272.69564942740931</v>
      </c>
      <c r="CE185" s="62">
        <f t="shared" si="148"/>
        <v>316.57989180609252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-2.8421709430404007E-13</v>
      </c>
      <c r="CU185" s="18">
        <f>CT185*VLOOKUP('Données projet'!$B$13,Paramètres!$A$1:$I$89,3,0)*VLOOKUP('Données projet'!$B$13,Paramètres!$A$1:$I$89,5,0)</f>
        <v>-2.7046098693972454E-13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491.87038198656927</v>
      </c>
      <c r="CZ185" s="62">
        <f t="shared" si="150"/>
        <v>406.49261644949559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-1.1368683772161603E-13</v>
      </c>
      <c r="DP185" s="18">
        <f>DO185*VLOOKUP('Données projet'!$B$14,Paramètres!$A$1:$I$89,3,0)*VLOOKUP('Données projet'!$B$14,Paramètres!$A$1:$I$89,5,0)</f>
        <v>-1.0995790944434703E-13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603.52431522262032</v>
      </c>
      <c r="DU185" s="62">
        <f t="shared" si="152"/>
        <v>313.56299786481338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-3.4106051316484809E-13</v>
      </c>
      <c r="EK185" s="18">
        <f>EJ185*VLOOKUP('Données projet'!$B$15,Paramètres!$A$1:$I$89,3,0)*VLOOKUP('Données projet'!$B$15,Paramètres!$A$1:$I$89,5,0)</f>
        <v>-2.7134774427395314E-13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450.93388191845378</v>
      </c>
      <c r="EP185" s="62">
        <f t="shared" si="154"/>
        <v>483.33635017129325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5.6843418860808015E-14</v>
      </c>
      <c r="FF185" s="18">
        <f>FE185*VLOOKUP('Données projet'!$B$16,Paramètres!$A$1:$I$89,3,0)*VLOOKUP('Données projet'!$B$16,Paramètres!$A$1:$I$89,5,0)</f>
        <v>4.4337866711430253E-14</v>
      </c>
      <c r="FG185" s="14">
        <f t="shared" si="182"/>
        <v>7.3222115536967035E-13</v>
      </c>
      <c r="FH185" s="22">
        <f t="shared" si="183"/>
        <v>1.3525069634579169E-12</v>
      </c>
      <c r="FI185" s="62">
        <f t="shared" si="131"/>
        <v>289.54032746824578</v>
      </c>
      <c r="FJ185" s="62">
        <f ca="1">AVERAGE(OFFSET($FI$3,0,0,'Données projet'!$E$16+1,1))-AVERAGE(OFFSET($H$3,0,0,'Données projet'!$E$16+1,1))</f>
        <v>309.21625451786218</v>
      </c>
      <c r="FK185" s="62">
        <f t="shared" si="156"/>
        <v>302.59481222418219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-2.2737367544323206E-13</v>
      </c>
      <c r="O186" s="14">
        <f>N186*VLOOKUP('Données projet'!$B$9,Paramètres!$A$1:$I$89,3,0)*VLOOKUP('Données projet'!$B$9,Paramètres!$A$1:$I$89,5,0)</f>
        <v>-1.8089849618263545E-13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394.70330963327166</v>
      </c>
      <c r="T186" s="62">
        <f t="shared" si="142"/>
        <v>424.06445894109982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4.6111381379887463E-14</v>
      </c>
      <c r="AK186" s="14">
        <f t="shared" si="164"/>
        <v>7.5804141040779151E-13</v>
      </c>
      <c r="AL186" s="22">
        <f t="shared" si="165"/>
        <v>1.4005661123635408E-12</v>
      </c>
      <c r="AM186" s="62">
        <f t="shared" si="113"/>
        <v>289.60612764011438</v>
      </c>
      <c r="AN186" s="62">
        <f ca="1">AVERAGE(OFFSET($AM$3,0,0,'Données projet'!$E$10+1,1))-AVERAGE(OFFSET($H$3,0,0,'Données projet'!$E$10+1,1))</f>
        <v>319.39055628111151</v>
      </c>
      <c r="AO186" s="62">
        <f t="shared" si="144"/>
        <v>312.22190035638084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>
        <f>BD186*VLOOKUP('Données projet'!$B$11,Paramètres!$A$1:$I$89,3,0)*VLOOKUP('Données projet'!$B$11,Paramètres!$A$1:$I$89,5,0)</f>
        <v>-8.3355189417488869E-14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257.906524944431</v>
      </c>
      <c r="BJ186" s="62">
        <f t="shared" si="146"/>
        <v>274.70390601173563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-1.1368683772161603E-13</v>
      </c>
      <c r="BZ186" s="14">
        <f>BY186*VLOOKUP('Données projet'!$B$12,Paramètres!$A$1:$I$89,3,0)*VLOOKUP('Données projet'!$B$12,Paramètres!$A$1:$I$89,5,0)</f>
        <v>-9.2222762759774927E-14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272.69564942740931</v>
      </c>
      <c r="CE186" s="62">
        <f t="shared" si="148"/>
        <v>316.57989180609252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-2.8421709430404007E-13</v>
      </c>
      <c r="CU186" s="18">
        <f>CT186*VLOOKUP('Données projet'!$B$13,Paramètres!$A$1:$I$89,3,0)*VLOOKUP('Données projet'!$B$13,Paramètres!$A$1:$I$89,5,0)</f>
        <v>-2.7046098693972454E-13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491.87038198656927</v>
      </c>
      <c r="CZ186" s="62">
        <f t="shared" si="150"/>
        <v>406.49261644949559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-1.1368683772161603E-13</v>
      </c>
      <c r="DP186" s="18">
        <f>DO186*VLOOKUP('Données projet'!$B$14,Paramètres!$A$1:$I$89,3,0)*VLOOKUP('Données projet'!$B$14,Paramètres!$A$1:$I$89,5,0)</f>
        <v>-1.0995790944434703E-13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603.52431522262032</v>
      </c>
      <c r="DU186" s="62">
        <f t="shared" si="152"/>
        <v>313.56299786481338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-3.4106051316484809E-13</v>
      </c>
      <c r="EK186" s="18">
        <f>EJ186*VLOOKUP('Données projet'!$B$15,Paramètres!$A$1:$I$89,3,0)*VLOOKUP('Données projet'!$B$15,Paramètres!$A$1:$I$89,5,0)</f>
        <v>-2.7134774427395314E-13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450.93388191845378</v>
      </c>
      <c r="EP186" s="62">
        <f t="shared" si="154"/>
        <v>483.33635017129325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5.6843418860808015E-14</v>
      </c>
      <c r="FF186" s="18">
        <f>FE186*VLOOKUP('Données projet'!$B$16,Paramètres!$A$1:$I$89,3,0)*VLOOKUP('Données projet'!$B$16,Paramètres!$A$1:$I$89,5,0)</f>
        <v>4.4337866711430253E-14</v>
      </c>
      <c r="FG186" s="14">
        <f t="shared" si="182"/>
        <v>7.3222115536967035E-13</v>
      </c>
      <c r="FH186" s="22">
        <f t="shared" si="183"/>
        <v>1.3525069634579169E-12</v>
      </c>
      <c r="FI186" s="62">
        <f t="shared" si="131"/>
        <v>289.60612764011432</v>
      </c>
      <c r="FJ186" s="62">
        <f ca="1">AVERAGE(OFFSET($FI$3,0,0,'Données projet'!$E$16+1,1))-AVERAGE(OFFSET($H$3,0,0,'Données projet'!$E$16+1,1))</f>
        <v>309.21625451786218</v>
      </c>
      <c r="FK186" s="62">
        <f t="shared" si="156"/>
        <v>302.59481222418219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-2.2737367544323206E-13</v>
      </c>
      <c r="O187" s="14">
        <f>N187*VLOOKUP('Données projet'!$B$9,Paramètres!$A$1:$I$89,3,0)*VLOOKUP('Données projet'!$B$9,Paramètres!$A$1:$I$89,5,0)</f>
        <v>-1.8089849618263545E-13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394.70330963327166</v>
      </c>
      <c r="T187" s="62">
        <f t="shared" si="142"/>
        <v>424.06445894109982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4.6111381379887463E-14</v>
      </c>
      <c r="AK187" s="14">
        <f t="shared" si="164"/>
        <v>7.5804141040779151E-13</v>
      </c>
      <c r="AL187" s="22">
        <f t="shared" si="165"/>
        <v>1.4005661123635408E-12</v>
      </c>
      <c r="AM187" s="62">
        <f t="shared" si="113"/>
        <v>289.67078632610816</v>
      </c>
      <c r="AN187" s="62">
        <f ca="1">AVERAGE(OFFSET($AM$3,0,0,'Données projet'!$E$10+1,1))-AVERAGE(OFFSET($H$3,0,0,'Données projet'!$E$10+1,1))</f>
        <v>319.39055628111151</v>
      </c>
      <c r="AO187" s="62">
        <f t="shared" si="144"/>
        <v>312.22190035638084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>
        <f>BD187*VLOOKUP('Données projet'!$B$11,Paramètres!$A$1:$I$89,3,0)*VLOOKUP('Données projet'!$B$11,Paramètres!$A$1:$I$89,5,0)</f>
        <v>-8.3355189417488869E-14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257.906524944431</v>
      </c>
      <c r="BJ187" s="62">
        <f t="shared" si="146"/>
        <v>274.70390601173563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-1.1368683772161603E-13</v>
      </c>
      <c r="BZ187" s="14">
        <f>BY187*VLOOKUP('Données projet'!$B$12,Paramètres!$A$1:$I$89,3,0)*VLOOKUP('Données projet'!$B$12,Paramètres!$A$1:$I$89,5,0)</f>
        <v>-9.2222762759774927E-14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272.69564942740931</v>
      </c>
      <c r="CE187" s="62">
        <f t="shared" si="148"/>
        <v>316.57989180609252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-2.8421709430404007E-13</v>
      </c>
      <c r="CU187" s="18">
        <f>CT187*VLOOKUP('Données projet'!$B$13,Paramètres!$A$1:$I$89,3,0)*VLOOKUP('Données projet'!$B$13,Paramètres!$A$1:$I$89,5,0)</f>
        <v>-2.7046098693972454E-13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491.87038198656927</v>
      </c>
      <c r="CZ187" s="62">
        <f t="shared" si="150"/>
        <v>406.49261644949559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-1.1368683772161603E-13</v>
      </c>
      <c r="DP187" s="18">
        <f>DO187*VLOOKUP('Données projet'!$B$14,Paramètres!$A$1:$I$89,3,0)*VLOOKUP('Données projet'!$B$14,Paramètres!$A$1:$I$89,5,0)</f>
        <v>-1.0995790944434703E-13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603.52431522262032</v>
      </c>
      <c r="DU187" s="62">
        <f t="shared" si="152"/>
        <v>313.56299786481338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-3.4106051316484809E-13</v>
      </c>
      <c r="EK187" s="18">
        <f>EJ187*VLOOKUP('Données projet'!$B$15,Paramètres!$A$1:$I$89,3,0)*VLOOKUP('Données projet'!$B$15,Paramètres!$A$1:$I$89,5,0)</f>
        <v>-2.7134774427395314E-13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450.93388191845378</v>
      </c>
      <c r="EP187" s="62">
        <f t="shared" si="154"/>
        <v>483.33635017129325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5.6843418860808015E-14</v>
      </c>
      <c r="FF187" s="18">
        <f>FE187*VLOOKUP('Données projet'!$B$16,Paramètres!$A$1:$I$89,3,0)*VLOOKUP('Données projet'!$B$16,Paramètres!$A$1:$I$89,5,0)</f>
        <v>4.4337866711430253E-14</v>
      </c>
      <c r="FG187" s="14">
        <f t="shared" si="182"/>
        <v>7.3222115536967035E-13</v>
      </c>
      <c r="FH187" s="22">
        <f t="shared" si="183"/>
        <v>1.3525069634579169E-12</v>
      </c>
      <c r="FI187" s="62">
        <f t="shared" si="131"/>
        <v>289.6707863261081</v>
      </c>
      <c r="FJ187" s="62">
        <f ca="1">AVERAGE(OFFSET($FI$3,0,0,'Données projet'!$E$16+1,1))-AVERAGE(OFFSET($H$3,0,0,'Données projet'!$E$16+1,1))</f>
        <v>309.21625451786218</v>
      </c>
      <c r="FK187" s="62">
        <f t="shared" si="156"/>
        <v>302.59481222418219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-2.2737367544323206E-13</v>
      </c>
      <c r="O188" s="14">
        <f>N188*VLOOKUP('Données projet'!$B$9,Paramètres!$A$1:$I$89,3,0)*VLOOKUP('Données projet'!$B$9,Paramètres!$A$1:$I$89,5,0)</f>
        <v>-1.8089849618263545E-13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394.70330963327166</v>
      </c>
      <c r="T188" s="62">
        <f t="shared" si="142"/>
        <v>424.06445894109982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4.6111381379887463E-14</v>
      </c>
      <c r="AK188" s="14">
        <f t="shared" si="164"/>
        <v>7.5804141040779151E-13</v>
      </c>
      <c r="AL188" s="22">
        <f t="shared" si="165"/>
        <v>1.4005661123635408E-12</v>
      </c>
      <c r="AM188" s="62">
        <f t="shared" si="113"/>
        <v>289.73432332845516</v>
      </c>
      <c r="AN188" s="62">
        <f ca="1">AVERAGE(OFFSET($AM$3,0,0,'Données projet'!$E$10+1,1))-AVERAGE(OFFSET($H$3,0,0,'Données projet'!$E$10+1,1))</f>
        <v>319.39055628111151</v>
      </c>
      <c r="AO188" s="62">
        <f t="shared" si="144"/>
        <v>312.22190035638084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>
        <f>BD188*VLOOKUP('Données projet'!$B$11,Paramètres!$A$1:$I$89,3,0)*VLOOKUP('Données projet'!$B$11,Paramètres!$A$1:$I$89,5,0)</f>
        <v>-8.3355189417488869E-14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257.906524944431</v>
      </c>
      <c r="BJ188" s="62">
        <f t="shared" si="146"/>
        <v>274.70390601173563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-1.1368683772161603E-13</v>
      </c>
      <c r="BZ188" s="14">
        <f>BY188*VLOOKUP('Données projet'!$B$12,Paramètres!$A$1:$I$89,3,0)*VLOOKUP('Données projet'!$B$12,Paramètres!$A$1:$I$89,5,0)</f>
        <v>-9.2222762759774927E-14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272.69564942740931</v>
      </c>
      <c r="CE188" s="62">
        <f t="shared" si="148"/>
        <v>316.57989180609252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-2.8421709430404007E-13</v>
      </c>
      <c r="CU188" s="18">
        <f>CT188*VLOOKUP('Données projet'!$B$13,Paramètres!$A$1:$I$89,3,0)*VLOOKUP('Données projet'!$B$13,Paramètres!$A$1:$I$89,5,0)</f>
        <v>-2.7046098693972454E-13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491.87038198656927</v>
      </c>
      <c r="CZ188" s="62">
        <f t="shared" si="150"/>
        <v>406.49261644949559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-1.1368683772161603E-13</v>
      </c>
      <c r="DP188" s="18">
        <f>DO188*VLOOKUP('Données projet'!$B$14,Paramètres!$A$1:$I$89,3,0)*VLOOKUP('Données projet'!$B$14,Paramètres!$A$1:$I$89,5,0)</f>
        <v>-1.0995790944434703E-13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603.52431522262032</v>
      </c>
      <c r="DU188" s="62">
        <f t="shared" si="152"/>
        <v>313.56299786481338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-3.4106051316484809E-13</v>
      </c>
      <c r="EK188" s="18">
        <f>EJ188*VLOOKUP('Données projet'!$B$15,Paramètres!$A$1:$I$89,3,0)*VLOOKUP('Données projet'!$B$15,Paramètres!$A$1:$I$89,5,0)</f>
        <v>-2.7134774427395314E-13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450.93388191845378</v>
      </c>
      <c r="EP188" s="62">
        <f t="shared" si="154"/>
        <v>483.33635017129325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5.6843418860808015E-14</v>
      </c>
      <c r="FF188" s="18">
        <f>FE188*VLOOKUP('Données projet'!$B$16,Paramètres!$A$1:$I$89,3,0)*VLOOKUP('Données projet'!$B$16,Paramètres!$A$1:$I$89,5,0)</f>
        <v>4.4337866711430253E-14</v>
      </c>
      <c r="FG188" s="14">
        <f t="shared" si="182"/>
        <v>7.3222115536967035E-13</v>
      </c>
      <c r="FH188" s="22">
        <f t="shared" si="183"/>
        <v>1.3525069634579169E-12</v>
      </c>
      <c r="FI188" s="62">
        <f t="shared" si="131"/>
        <v>289.7343233284551</v>
      </c>
      <c r="FJ188" s="62">
        <f ca="1">AVERAGE(OFFSET($FI$3,0,0,'Données projet'!$E$16+1,1))-AVERAGE(OFFSET($H$3,0,0,'Données projet'!$E$16+1,1))</f>
        <v>309.21625451786218</v>
      </c>
      <c r="FK188" s="62">
        <f t="shared" si="156"/>
        <v>302.59481222418219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-2.2737367544323206E-13</v>
      </c>
      <c r="O189" s="14">
        <f>N189*VLOOKUP('Données projet'!$B$9,Paramètres!$A$1:$I$89,3,0)*VLOOKUP('Données projet'!$B$9,Paramètres!$A$1:$I$89,5,0)</f>
        <v>-1.8089849618263545E-13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394.70330963327166</v>
      </c>
      <c r="T189" s="62">
        <f t="shared" si="142"/>
        <v>424.06445894109982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4.6111381379887463E-14</v>
      </c>
      <c r="AK189" s="14">
        <f t="shared" si="164"/>
        <v>7.5804141040779151E-13</v>
      </c>
      <c r="AL189" s="22">
        <f t="shared" si="165"/>
        <v>1.4005661123635408E-12</v>
      </c>
      <c r="AM189" s="62">
        <f t="shared" si="113"/>
        <v>289.79675810585883</v>
      </c>
      <c r="AN189" s="62">
        <f ca="1">AVERAGE(OFFSET($AM$3,0,0,'Données projet'!$E$10+1,1))-AVERAGE(OFFSET($H$3,0,0,'Données projet'!$E$10+1,1))</f>
        <v>319.39055628111151</v>
      </c>
      <c r="AO189" s="62">
        <f t="shared" si="144"/>
        <v>312.22190035638084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>
        <f>BD189*VLOOKUP('Données projet'!$B$11,Paramètres!$A$1:$I$89,3,0)*VLOOKUP('Données projet'!$B$11,Paramètres!$A$1:$I$89,5,0)</f>
        <v>-8.3355189417488869E-14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257.906524944431</v>
      </c>
      <c r="BJ189" s="62">
        <f t="shared" si="146"/>
        <v>274.70390601173563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-1.1368683772161603E-13</v>
      </c>
      <c r="BZ189" s="14">
        <f>BY189*VLOOKUP('Données projet'!$B$12,Paramètres!$A$1:$I$89,3,0)*VLOOKUP('Données projet'!$B$12,Paramètres!$A$1:$I$89,5,0)</f>
        <v>-9.2222762759774927E-14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272.69564942740931</v>
      </c>
      <c r="CE189" s="62">
        <f t="shared" si="148"/>
        <v>316.57989180609252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-2.8421709430404007E-13</v>
      </c>
      <c r="CU189" s="18">
        <f>CT189*VLOOKUP('Données projet'!$B$13,Paramètres!$A$1:$I$89,3,0)*VLOOKUP('Données projet'!$B$13,Paramètres!$A$1:$I$89,5,0)</f>
        <v>-2.7046098693972454E-13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491.87038198656927</v>
      </c>
      <c r="CZ189" s="62">
        <f t="shared" si="150"/>
        <v>406.49261644949559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-1.1368683772161603E-13</v>
      </c>
      <c r="DP189" s="18">
        <f>DO189*VLOOKUP('Données projet'!$B$14,Paramètres!$A$1:$I$89,3,0)*VLOOKUP('Données projet'!$B$14,Paramètres!$A$1:$I$89,5,0)</f>
        <v>-1.0995790944434703E-13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603.52431522262032</v>
      </c>
      <c r="DU189" s="62">
        <f t="shared" si="152"/>
        <v>313.56299786481338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-3.4106051316484809E-13</v>
      </c>
      <c r="EK189" s="18">
        <f>EJ189*VLOOKUP('Données projet'!$B$15,Paramètres!$A$1:$I$89,3,0)*VLOOKUP('Données projet'!$B$15,Paramètres!$A$1:$I$89,5,0)</f>
        <v>-2.7134774427395314E-13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450.93388191845378</v>
      </c>
      <c r="EP189" s="62">
        <f t="shared" si="154"/>
        <v>483.33635017129325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5.6843418860808015E-14</v>
      </c>
      <c r="FF189" s="18">
        <f>FE189*VLOOKUP('Données projet'!$B$16,Paramètres!$A$1:$I$89,3,0)*VLOOKUP('Données projet'!$B$16,Paramètres!$A$1:$I$89,5,0)</f>
        <v>4.4337866711430253E-14</v>
      </c>
      <c r="FG189" s="14">
        <f t="shared" si="182"/>
        <v>7.3222115536967035E-13</v>
      </c>
      <c r="FH189" s="22">
        <f t="shared" si="183"/>
        <v>1.3525069634579169E-12</v>
      </c>
      <c r="FI189" s="62">
        <f t="shared" si="131"/>
        <v>289.79675810585877</v>
      </c>
      <c r="FJ189" s="62">
        <f ca="1">AVERAGE(OFFSET($FI$3,0,0,'Données projet'!$E$16+1,1))-AVERAGE(OFFSET($H$3,0,0,'Données projet'!$E$16+1,1))</f>
        <v>309.21625451786218</v>
      </c>
      <c r="FK189" s="62">
        <f t="shared" si="156"/>
        <v>302.59481222418219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-2.2737367544323206E-13</v>
      </c>
      <c r="O190" s="14">
        <f>N190*VLOOKUP('Données projet'!$B$9,Paramètres!$A$1:$I$89,3,0)*VLOOKUP('Données projet'!$B$9,Paramètres!$A$1:$I$89,5,0)</f>
        <v>-1.8089849618263545E-13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394.70330963327166</v>
      </c>
      <c r="T190" s="62">
        <f t="shared" si="142"/>
        <v>424.06445894109982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4.6111381379887463E-14</v>
      </c>
      <c r="AK190" s="14">
        <f t="shared" si="164"/>
        <v>7.5804141040779151E-13</v>
      </c>
      <c r="AL190" s="22">
        <f t="shared" si="165"/>
        <v>1.4005661123635408E-12</v>
      </c>
      <c r="AM190" s="62">
        <f t="shared" si="113"/>
        <v>289.85810977945783</v>
      </c>
      <c r="AN190" s="62">
        <f ca="1">AVERAGE(OFFSET($AM$3,0,0,'Données projet'!$E$10+1,1))-AVERAGE(OFFSET($H$3,0,0,'Données projet'!$E$10+1,1))</f>
        <v>319.39055628111151</v>
      </c>
      <c r="AO190" s="62">
        <f t="shared" si="144"/>
        <v>312.22190035638084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>
        <f>BD190*VLOOKUP('Données projet'!$B$11,Paramètres!$A$1:$I$89,3,0)*VLOOKUP('Données projet'!$B$11,Paramètres!$A$1:$I$89,5,0)</f>
        <v>-8.3355189417488869E-14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257.906524944431</v>
      </c>
      <c r="BJ190" s="62">
        <f t="shared" si="146"/>
        <v>274.70390601173563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-1.1368683772161603E-13</v>
      </c>
      <c r="BZ190" s="14">
        <f>BY190*VLOOKUP('Données projet'!$B$12,Paramètres!$A$1:$I$89,3,0)*VLOOKUP('Données projet'!$B$12,Paramètres!$A$1:$I$89,5,0)</f>
        <v>-9.2222762759774927E-14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272.69564942740931</v>
      </c>
      <c r="CE190" s="62">
        <f t="shared" si="148"/>
        <v>316.57989180609252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-2.8421709430404007E-13</v>
      </c>
      <c r="CU190" s="18">
        <f>CT190*VLOOKUP('Données projet'!$B$13,Paramètres!$A$1:$I$89,3,0)*VLOOKUP('Données projet'!$B$13,Paramètres!$A$1:$I$89,5,0)</f>
        <v>-2.7046098693972454E-13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491.87038198656927</v>
      </c>
      <c r="CZ190" s="62">
        <f t="shared" si="150"/>
        <v>406.49261644949559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-1.1368683772161603E-13</v>
      </c>
      <c r="DP190" s="18">
        <f>DO190*VLOOKUP('Données projet'!$B$14,Paramètres!$A$1:$I$89,3,0)*VLOOKUP('Données projet'!$B$14,Paramètres!$A$1:$I$89,5,0)</f>
        <v>-1.0995790944434703E-13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603.52431522262032</v>
      </c>
      <c r="DU190" s="62">
        <f t="shared" si="152"/>
        <v>313.56299786481338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-3.4106051316484809E-13</v>
      </c>
      <c r="EK190" s="18">
        <f>EJ190*VLOOKUP('Données projet'!$B$15,Paramètres!$A$1:$I$89,3,0)*VLOOKUP('Données projet'!$B$15,Paramètres!$A$1:$I$89,5,0)</f>
        <v>-2.7134774427395314E-13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450.93388191845378</v>
      </c>
      <c r="EP190" s="62">
        <f t="shared" si="154"/>
        <v>483.33635017129325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5.6843418860808015E-14</v>
      </c>
      <c r="FF190" s="18">
        <f>FE190*VLOOKUP('Données projet'!$B$16,Paramètres!$A$1:$I$89,3,0)*VLOOKUP('Données projet'!$B$16,Paramètres!$A$1:$I$89,5,0)</f>
        <v>4.4337866711430253E-14</v>
      </c>
      <c r="FG190" s="14">
        <f t="shared" si="182"/>
        <v>7.3222115536967035E-13</v>
      </c>
      <c r="FH190" s="22">
        <f t="shared" si="183"/>
        <v>1.3525069634579169E-12</v>
      </c>
      <c r="FI190" s="62">
        <f t="shared" si="131"/>
        <v>289.85810977945778</v>
      </c>
      <c r="FJ190" s="62">
        <f ca="1">AVERAGE(OFFSET($FI$3,0,0,'Données projet'!$E$16+1,1))-AVERAGE(OFFSET($H$3,0,0,'Données projet'!$E$16+1,1))</f>
        <v>309.21625451786218</v>
      </c>
      <c r="FK190" s="62">
        <f t="shared" si="156"/>
        <v>302.59481222418219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-2.2737367544323206E-13</v>
      </c>
      <c r="O191" s="14">
        <f>N191*VLOOKUP('Données projet'!$B$9,Paramètres!$A$1:$I$89,3,0)*VLOOKUP('Données projet'!$B$9,Paramètres!$A$1:$I$89,5,0)</f>
        <v>-1.8089849618263545E-13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394.70330963327166</v>
      </c>
      <c r="T191" s="62">
        <f t="shared" si="142"/>
        <v>424.06445894109982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4.6111381379887463E-14</v>
      </c>
      <c r="AK191" s="14">
        <f t="shared" si="164"/>
        <v>7.5804141040779151E-13</v>
      </c>
      <c r="AL191" s="22">
        <f t="shared" si="165"/>
        <v>1.4005661123635408E-12</v>
      </c>
      <c r="AM191" s="62">
        <f t="shared" si="113"/>
        <v>289.91839713868166</v>
      </c>
      <c r="AN191" s="62">
        <f ca="1">AVERAGE(OFFSET($AM$3,0,0,'Données projet'!$E$10+1,1))-AVERAGE(OFFSET($H$3,0,0,'Données projet'!$E$10+1,1))</f>
        <v>319.39055628111151</v>
      </c>
      <c r="AO191" s="62">
        <f t="shared" si="144"/>
        <v>312.22190035638084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>
        <f>BD191*VLOOKUP('Données projet'!$B$11,Paramètres!$A$1:$I$89,3,0)*VLOOKUP('Données projet'!$B$11,Paramètres!$A$1:$I$89,5,0)</f>
        <v>-8.3355189417488869E-14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257.906524944431</v>
      </c>
      <c r="BJ191" s="62">
        <f t="shared" si="146"/>
        <v>274.70390601173563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-1.1368683772161603E-13</v>
      </c>
      <c r="BZ191" s="14">
        <f>BY191*VLOOKUP('Données projet'!$B$12,Paramètres!$A$1:$I$89,3,0)*VLOOKUP('Données projet'!$B$12,Paramètres!$A$1:$I$89,5,0)</f>
        <v>-9.2222762759774927E-14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272.69564942740931</v>
      </c>
      <c r="CE191" s="62">
        <f t="shared" si="148"/>
        <v>316.57989180609252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-2.8421709430404007E-13</v>
      </c>
      <c r="CU191" s="18">
        <f>CT191*VLOOKUP('Données projet'!$B$13,Paramètres!$A$1:$I$89,3,0)*VLOOKUP('Données projet'!$B$13,Paramètres!$A$1:$I$89,5,0)</f>
        <v>-2.7046098693972454E-13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491.87038198656927</v>
      </c>
      <c r="CZ191" s="62">
        <f t="shared" si="150"/>
        <v>406.49261644949559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-1.1368683772161603E-13</v>
      </c>
      <c r="DP191" s="18">
        <f>DO191*VLOOKUP('Données projet'!$B$14,Paramètres!$A$1:$I$89,3,0)*VLOOKUP('Données projet'!$B$14,Paramètres!$A$1:$I$89,5,0)</f>
        <v>-1.0995790944434703E-13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603.52431522262032</v>
      </c>
      <c r="DU191" s="62">
        <f t="shared" si="152"/>
        <v>313.56299786481338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-3.4106051316484809E-13</v>
      </c>
      <c r="EK191" s="18">
        <f>EJ191*VLOOKUP('Données projet'!$B$15,Paramètres!$A$1:$I$89,3,0)*VLOOKUP('Données projet'!$B$15,Paramètres!$A$1:$I$89,5,0)</f>
        <v>-2.7134774427395314E-13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450.93388191845378</v>
      </c>
      <c r="EP191" s="62">
        <f t="shared" si="154"/>
        <v>483.33635017129325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5.6843418860808015E-14</v>
      </c>
      <c r="FF191" s="18">
        <f>FE191*VLOOKUP('Données projet'!$B$16,Paramètres!$A$1:$I$89,3,0)*VLOOKUP('Données projet'!$B$16,Paramètres!$A$1:$I$89,5,0)</f>
        <v>4.4337866711430253E-14</v>
      </c>
      <c r="FG191" s="14">
        <f t="shared" si="182"/>
        <v>7.3222115536967035E-13</v>
      </c>
      <c r="FH191" s="22">
        <f t="shared" si="183"/>
        <v>1.3525069634579169E-12</v>
      </c>
      <c r="FI191" s="62">
        <f t="shared" si="131"/>
        <v>289.9183971386816</v>
      </c>
      <c r="FJ191" s="62">
        <f ca="1">AVERAGE(OFFSET($FI$3,0,0,'Données projet'!$E$16+1,1))-AVERAGE(OFFSET($H$3,0,0,'Données projet'!$E$16+1,1))</f>
        <v>309.21625451786218</v>
      </c>
      <c r="FK191" s="62">
        <f t="shared" si="156"/>
        <v>302.59481222418219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-2.2737367544323206E-13</v>
      </c>
      <c r="O192" s="14">
        <f>N192*VLOOKUP('Données projet'!$B$9,Paramètres!$A$1:$I$89,3,0)*VLOOKUP('Données projet'!$B$9,Paramètres!$A$1:$I$89,5,0)</f>
        <v>-1.8089849618263545E-13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394.70330963327166</v>
      </c>
      <c r="T192" s="62">
        <f t="shared" si="142"/>
        <v>424.06445894109982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4.6111381379887463E-14</v>
      </c>
      <c r="AK192" s="14">
        <f t="shared" si="164"/>
        <v>7.5804141040779151E-13</v>
      </c>
      <c r="AL192" s="22">
        <f t="shared" si="165"/>
        <v>1.4005661123635408E-12</v>
      </c>
      <c r="AM192" s="62">
        <f t="shared" si="113"/>
        <v>289.97763864700528</v>
      </c>
      <c r="AN192" s="62">
        <f ca="1">AVERAGE(OFFSET($AM$3,0,0,'Données projet'!$E$10+1,1))-AVERAGE(OFFSET($H$3,0,0,'Données projet'!$E$10+1,1))</f>
        <v>319.39055628111151</v>
      </c>
      <c r="AO192" s="62">
        <f t="shared" si="144"/>
        <v>312.22190035638084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>
        <f>BD192*VLOOKUP('Données projet'!$B$11,Paramètres!$A$1:$I$89,3,0)*VLOOKUP('Données projet'!$B$11,Paramètres!$A$1:$I$89,5,0)</f>
        <v>-8.3355189417488869E-14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257.906524944431</v>
      </c>
      <c r="BJ192" s="62">
        <f t="shared" si="146"/>
        <v>274.70390601173563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-1.1368683772161603E-13</v>
      </c>
      <c r="BZ192" s="14">
        <f>BY192*VLOOKUP('Données projet'!$B$12,Paramètres!$A$1:$I$89,3,0)*VLOOKUP('Données projet'!$B$12,Paramètres!$A$1:$I$89,5,0)</f>
        <v>-9.2222762759774927E-14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272.69564942740931</v>
      </c>
      <c r="CE192" s="62">
        <f t="shared" si="148"/>
        <v>316.57989180609252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-2.8421709430404007E-13</v>
      </c>
      <c r="CU192" s="18">
        <f>CT192*VLOOKUP('Données projet'!$B$13,Paramètres!$A$1:$I$89,3,0)*VLOOKUP('Données projet'!$B$13,Paramètres!$A$1:$I$89,5,0)</f>
        <v>-2.7046098693972454E-13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491.87038198656927</v>
      </c>
      <c r="CZ192" s="62">
        <f t="shared" si="150"/>
        <v>406.49261644949559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-1.1368683772161603E-13</v>
      </c>
      <c r="DP192" s="18">
        <f>DO192*VLOOKUP('Données projet'!$B$14,Paramètres!$A$1:$I$89,3,0)*VLOOKUP('Données projet'!$B$14,Paramètres!$A$1:$I$89,5,0)</f>
        <v>-1.0995790944434703E-13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603.52431522262032</v>
      </c>
      <c r="DU192" s="62">
        <f t="shared" si="152"/>
        <v>313.56299786481338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-3.4106051316484809E-13</v>
      </c>
      <c r="EK192" s="18">
        <f>EJ192*VLOOKUP('Données projet'!$B$15,Paramètres!$A$1:$I$89,3,0)*VLOOKUP('Données projet'!$B$15,Paramètres!$A$1:$I$89,5,0)</f>
        <v>-2.7134774427395314E-13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450.93388191845378</v>
      </c>
      <c r="EP192" s="62">
        <f t="shared" si="154"/>
        <v>483.33635017129325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5.6843418860808015E-14</v>
      </c>
      <c r="FF192" s="18">
        <f>FE192*VLOOKUP('Données projet'!$B$16,Paramètres!$A$1:$I$89,3,0)*VLOOKUP('Données projet'!$B$16,Paramètres!$A$1:$I$89,5,0)</f>
        <v>4.4337866711430253E-14</v>
      </c>
      <c r="FG192" s="14">
        <f t="shared" si="182"/>
        <v>7.3222115536967035E-13</v>
      </c>
      <c r="FH192" s="22">
        <f t="shared" si="183"/>
        <v>1.3525069634579169E-12</v>
      </c>
      <c r="FI192" s="62">
        <f t="shared" si="131"/>
        <v>289.97763864700522</v>
      </c>
      <c r="FJ192" s="62">
        <f ca="1">AVERAGE(OFFSET($FI$3,0,0,'Données projet'!$E$16+1,1))-AVERAGE(OFFSET($H$3,0,0,'Données projet'!$E$16+1,1))</f>
        <v>309.21625451786218</v>
      </c>
      <c r="FK192" s="62">
        <f t="shared" si="156"/>
        <v>302.59481222418219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-2.2737367544323206E-13</v>
      </c>
      <c r="O193" s="14">
        <f>N193*VLOOKUP('Données projet'!$B$9,Paramètres!$A$1:$I$89,3,0)*VLOOKUP('Données projet'!$B$9,Paramètres!$A$1:$I$89,5,0)</f>
        <v>-1.8089849618263545E-13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394.70330963327166</v>
      </c>
      <c r="T193" s="62">
        <f t="shared" si="142"/>
        <v>424.06445894109982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4.6111381379887463E-14</v>
      </c>
      <c r="AK193" s="14">
        <f t="shared" si="164"/>
        <v>7.5804141040779151E-13</v>
      </c>
      <c r="AL193" s="22">
        <f t="shared" si="165"/>
        <v>1.4005661123635408E-12</v>
      </c>
      <c r="AM193" s="62">
        <f t="shared" si="113"/>
        <v>290.0358524476037</v>
      </c>
      <c r="AN193" s="62">
        <f ca="1">AVERAGE(OFFSET($AM$3,0,0,'Données projet'!$E$10+1,1))-AVERAGE(OFFSET($H$3,0,0,'Données projet'!$E$10+1,1))</f>
        <v>319.39055628111151</v>
      </c>
      <c r="AO193" s="62">
        <f t="shared" si="144"/>
        <v>312.22190035638084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>
        <f>BD193*VLOOKUP('Données projet'!$B$11,Paramètres!$A$1:$I$89,3,0)*VLOOKUP('Données projet'!$B$11,Paramètres!$A$1:$I$89,5,0)</f>
        <v>-8.3355189417488869E-14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257.906524944431</v>
      </c>
      <c r="BJ193" s="62">
        <f t="shared" si="146"/>
        <v>274.70390601173563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-1.1368683772161603E-13</v>
      </c>
      <c r="BZ193" s="14">
        <f>BY193*VLOOKUP('Données projet'!$B$12,Paramètres!$A$1:$I$89,3,0)*VLOOKUP('Données projet'!$B$12,Paramètres!$A$1:$I$89,5,0)</f>
        <v>-9.2222762759774927E-14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272.69564942740931</v>
      </c>
      <c r="CE193" s="62">
        <f t="shared" si="148"/>
        <v>316.57989180609252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-2.8421709430404007E-13</v>
      </c>
      <c r="CU193" s="18">
        <f>CT193*VLOOKUP('Données projet'!$B$13,Paramètres!$A$1:$I$89,3,0)*VLOOKUP('Données projet'!$B$13,Paramètres!$A$1:$I$89,5,0)</f>
        <v>-2.7046098693972454E-13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491.87038198656927</v>
      </c>
      <c r="CZ193" s="62">
        <f t="shared" si="150"/>
        <v>406.49261644949559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-1.1368683772161603E-13</v>
      </c>
      <c r="DP193" s="18">
        <f>DO193*VLOOKUP('Données projet'!$B$14,Paramètres!$A$1:$I$89,3,0)*VLOOKUP('Données projet'!$B$14,Paramètres!$A$1:$I$89,5,0)</f>
        <v>-1.0995790944434703E-13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603.52431522262032</v>
      </c>
      <c r="DU193" s="62">
        <f t="shared" si="152"/>
        <v>313.56299786481338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-3.4106051316484809E-13</v>
      </c>
      <c r="EK193" s="18">
        <f>EJ193*VLOOKUP('Données projet'!$B$15,Paramètres!$A$1:$I$89,3,0)*VLOOKUP('Données projet'!$B$15,Paramètres!$A$1:$I$89,5,0)</f>
        <v>-2.7134774427395314E-13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450.93388191845378</v>
      </c>
      <c r="EP193" s="62">
        <f t="shared" si="154"/>
        <v>483.33635017129325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5.6843418860808015E-14</v>
      </c>
      <c r="FF193" s="18">
        <f>FE193*VLOOKUP('Données projet'!$B$16,Paramètres!$A$1:$I$89,3,0)*VLOOKUP('Données projet'!$B$16,Paramètres!$A$1:$I$89,5,0)</f>
        <v>4.4337866711430253E-14</v>
      </c>
      <c r="FG193" s="14">
        <f t="shared" si="182"/>
        <v>7.3222115536967035E-13</v>
      </c>
      <c r="FH193" s="22">
        <f t="shared" si="183"/>
        <v>1.3525069634579169E-12</v>
      </c>
      <c r="FI193" s="62">
        <f t="shared" si="131"/>
        <v>290.03585244760365</v>
      </c>
      <c r="FJ193" s="62">
        <f ca="1">AVERAGE(OFFSET($FI$3,0,0,'Données projet'!$E$16+1,1))-AVERAGE(OFFSET($H$3,0,0,'Données projet'!$E$16+1,1))</f>
        <v>309.21625451786218</v>
      </c>
      <c r="FK193" s="62">
        <f t="shared" si="156"/>
        <v>302.59481222418219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-2.2737367544323206E-13</v>
      </c>
      <c r="O194" s="14">
        <f>N194*VLOOKUP('Données projet'!$B$9,Paramètres!$A$1:$I$89,3,0)*VLOOKUP('Données projet'!$B$9,Paramètres!$A$1:$I$89,5,0)</f>
        <v>-1.8089849618263545E-13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394.70330963327166</v>
      </c>
      <c r="T194" s="62">
        <f t="shared" si="142"/>
        <v>424.06445894109982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4.6111381379887463E-14</v>
      </c>
      <c r="AK194" s="14">
        <f t="shared" si="164"/>
        <v>7.5804141040779151E-13</v>
      </c>
      <c r="AL194" s="22">
        <f t="shared" si="165"/>
        <v>1.4005661123635408E-12</v>
      </c>
      <c r="AM194" s="62">
        <f t="shared" si="113"/>
        <v>290.09305636890826</v>
      </c>
      <c r="AN194" s="62">
        <f ca="1">AVERAGE(OFFSET($AM$3,0,0,'Données projet'!$E$10+1,1))-AVERAGE(OFFSET($H$3,0,0,'Données projet'!$E$10+1,1))</f>
        <v>319.39055628111151</v>
      </c>
      <c r="AO194" s="62">
        <f t="shared" si="144"/>
        <v>312.22190035638084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projet'!$B$11,Paramètres!$A$1:$I$89,3,0)*VLOOKUP('Données projet'!$B$11,Paramètres!$A$1:$I$89,5,0)</f>
        <v>-8.3355189417488869E-14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257.906524944431</v>
      </c>
      <c r="BJ194" s="62">
        <f t="shared" si="146"/>
        <v>274.70390601173563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-1.1368683772161603E-13</v>
      </c>
      <c r="BZ194" s="14">
        <f>BY194*VLOOKUP('Données projet'!$B$12,Paramètres!$A$1:$I$89,3,0)*VLOOKUP('Données projet'!$B$12,Paramètres!$A$1:$I$89,5,0)</f>
        <v>-9.2222762759774927E-14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272.69564942740931</v>
      </c>
      <c r="CE194" s="62">
        <f t="shared" si="148"/>
        <v>316.57989180609252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-2.8421709430404007E-13</v>
      </c>
      <c r="CU194" s="18">
        <f>CT194*VLOOKUP('Données projet'!$B$13,Paramètres!$A$1:$I$89,3,0)*VLOOKUP('Données projet'!$B$13,Paramètres!$A$1:$I$89,5,0)</f>
        <v>-2.7046098693972454E-13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491.87038198656927</v>
      </c>
      <c r="CZ194" s="62">
        <f t="shared" si="150"/>
        <v>406.49261644949559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-1.1368683772161603E-13</v>
      </c>
      <c r="DP194" s="18">
        <f>DO194*VLOOKUP('Données projet'!$B$14,Paramètres!$A$1:$I$89,3,0)*VLOOKUP('Données projet'!$B$14,Paramètres!$A$1:$I$89,5,0)</f>
        <v>-1.0995790944434703E-13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603.52431522262032</v>
      </c>
      <c r="DU194" s="62">
        <f t="shared" si="152"/>
        <v>313.56299786481338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-3.4106051316484809E-13</v>
      </c>
      <c r="EK194" s="18">
        <f>EJ194*VLOOKUP('Données projet'!$B$15,Paramètres!$A$1:$I$89,3,0)*VLOOKUP('Données projet'!$B$15,Paramètres!$A$1:$I$89,5,0)</f>
        <v>-2.7134774427395314E-13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450.93388191845378</v>
      </c>
      <c r="EP194" s="62">
        <f t="shared" si="154"/>
        <v>483.33635017129325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5.6843418860808015E-14</v>
      </c>
      <c r="FF194" s="18">
        <f>FE194*VLOOKUP('Données projet'!$B$16,Paramètres!$A$1:$I$89,3,0)*VLOOKUP('Données projet'!$B$16,Paramètres!$A$1:$I$89,5,0)</f>
        <v>4.4337866711430253E-14</v>
      </c>
      <c r="FG194" s="14">
        <f t="shared" si="182"/>
        <v>7.3222115536967035E-13</v>
      </c>
      <c r="FH194" s="22">
        <f t="shared" si="183"/>
        <v>1.3525069634579169E-12</v>
      </c>
      <c r="FI194" s="62">
        <f t="shared" si="131"/>
        <v>290.09305636890821</v>
      </c>
      <c r="FJ194" s="62">
        <f ca="1">AVERAGE(OFFSET($FI$3,0,0,'Données projet'!$E$16+1,1))-AVERAGE(OFFSET($H$3,0,0,'Données projet'!$E$16+1,1))</f>
        <v>309.21625451786218</v>
      </c>
      <c r="FK194" s="62">
        <f t="shared" si="156"/>
        <v>302.59481222418219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-2.2737367544323206E-13</v>
      </c>
      <c r="O195" s="14">
        <f>N195*VLOOKUP('Données projet'!$B$9,Paramètres!$A$1:$I$89,3,0)*VLOOKUP('Données projet'!$B$9,Paramètres!$A$1:$I$89,5,0)</f>
        <v>-1.8089849618263545E-13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394.70330963327166</v>
      </c>
      <c r="T195" s="62">
        <f t="shared" si="142"/>
        <v>424.06445894109982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4.6111381379887463E-14</v>
      </c>
      <c r="AK195" s="14">
        <f t="shared" si="164"/>
        <v>7.5804141040779151E-13</v>
      </c>
      <c r="AL195" s="22">
        <f t="shared" si="165"/>
        <v>1.4005661123635408E-12</v>
      </c>
      <c r="AM195" s="62">
        <f t="shared" si="113"/>
        <v>290.14926793006708</v>
      </c>
      <c r="AN195" s="62">
        <f ca="1">AVERAGE(OFFSET($AM$3,0,0,'Données projet'!$E$10+1,1))-AVERAGE(OFFSET($H$3,0,0,'Données projet'!$E$10+1,1))</f>
        <v>319.39055628111151</v>
      </c>
      <c r="AO195" s="62">
        <f t="shared" si="144"/>
        <v>312.22190035638084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projet'!$B$11,Paramètres!$A$1:$I$89,3,0)*VLOOKUP('Données projet'!$B$11,Paramètres!$A$1:$I$89,5,0)</f>
        <v>-8.3355189417488869E-14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257.906524944431</v>
      </c>
      <c r="BJ195" s="62">
        <f t="shared" si="146"/>
        <v>274.70390601173563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-1.1368683772161603E-13</v>
      </c>
      <c r="BZ195" s="14">
        <f>BY195*VLOOKUP('Données projet'!$B$12,Paramètres!$A$1:$I$89,3,0)*VLOOKUP('Données projet'!$B$12,Paramètres!$A$1:$I$89,5,0)</f>
        <v>-9.2222762759774927E-14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272.69564942740931</v>
      </c>
      <c r="CE195" s="62">
        <f t="shared" si="148"/>
        <v>316.57989180609252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-2.8421709430404007E-13</v>
      </c>
      <c r="CU195" s="18">
        <f>CT195*VLOOKUP('Données projet'!$B$13,Paramètres!$A$1:$I$89,3,0)*VLOOKUP('Données projet'!$B$13,Paramètres!$A$1:$I$89,5,0)</f>
        <v>-2.7046098693972454E-13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491.87038198656927</v>
      </c>
      <c r="CZ195" s="62">
        <f t="shared" si="150"/>
        <v>406.49261644949559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-1.1368683772161603E-13</v>
      </c>
      <c r="DP195" s="18">
        <f>DO195*VLOOKUP('Données projet'!$B$14,Paramètres!$A$1:$I$89,3,0)*VLOOKUP('Données projet'!$B$14,Paramètres!$A$1:$I$89,5,0)</f>
        <v>-1.0995790944434703E-13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603.52431522262032</v>
      </c>
      <c r="DU195" s="62">
        <f t="shared" si="152"/>
        <v>313.56299786481338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-3.4106051316484809E-13</v>
      </c>
      <c r="EK195" s="18">
        <f>EJ195*VLOOKUP('Données projet'!$B$15,Paramètres!$A$1:$I$89,3,0)*VLOOKUP('Données projet'!$B$15,Paramètres!$A$1:$I$89,5,0)</f>
        <v>-2.7134774427395314E-13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450.93388191845378</v>
      </c>
      <c r="EP195" s="62">
        <f t="shared" si="154"/>
        <v>483.33635017129325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5.6843418860808015E-14</v>
      </c>
      <c r="FF195" s="18">
        <f>FE195*VLOOKUP('Données projet'!$B$16,Paramètres!$A$1:$I$89,3,0)*VLOOKUP('Données projet'!$B$16,Paramètres!$A$1:$I$89,5,0)</f>
        <v>4.4337866711430253E-14</v>
      </c>
      <c r="FG195" s="14">
        <f t="shared" si="182"/>
        <v>7.3222115536967035E-13</v>
      </c>
      <c r="FH195" s="22">
        <f t="shared" si="183"/>
        <v>1.3525069634579169E-12</v>
      </c>
      <c r="FI195" s="62">
        <f t="shared" si="131"/>
        <v>290.14926793006703</v>
      </c>
      <c r="FJ195" s="62">
        <f ca="1">AVERAGE(OFFSET($FI$3,0,0,'Données projet'!$E$16+1,1))-AVERAGE(OFFSET($H$3,0,0,'Données projet'!$E$16+1,1))</f>
        <v>309.21625451786218</v>
      </c>
      <c r="FK195" s="62">
        <f t="shared" si="156"/>
        <v>302.59481222418219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-2.2737367544323206E-13</v>
      </c>
      <c r="O196" s="14">
        <f>N196*VLOOKUP('Données projet'!$B$9,Paramètres!$A$1:$I$89,3,0)*VLOOKUP('Données projet'!$B$9,Paramètres!$A$1:$I$89,5,0)</f>
        <v>-1.8089849618263545E-13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394.70330963327166</v>
      </c>
      <c r="T196" s="62">
        <f t="shared" si="142"/>
        <v>424.06445894109982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4.6111381379887463E-14</v>
      </c>
      <c r="AK196" s="14">
        <f t="shared" si="164"/>
        <v>7.5804141040779151E-13</v>
      </c>
      <c r="AL196" s="22">
        <f t="shared" si="165"/>
        <v>1.4005661123635408E-12</v>
      </c>
      <c r="AM196" s="62">
        <f t="shared" ref="AM196:AM203" si="193">AL196+(AD196+AE196)*44/12</f>
        <v>290.20450434630993</v>
      </c>
      <c r="AN196" s="62">
        <f ca="1">AVERAGE(OFFSET($AM$3,0,0,'Données projet'!$E$10+1,1))-AVERAGE(OFFSET($H$3,0,0,'Données projet'!$E$10+1,1))</f>
        <v>319.39055628111151</v>
      </c>
      <c r="AO196" s="62">
        <f t="shared" si="144"/>
        <v>312.22190035638084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projet'!$B$11,Paramètres!$A$1:$I$89,3,0)*VLOOKUP('Données projet'!$B$11,Paramètres!$A$1:$I$89,5,0)</f>
        <v>-8.3355189417488869E-14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257.906524944431</v>
      </c>
      <c r="BJ196" s="62">
        <f t="shared" si="146"/>
        <v>274.70390601173563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-1.1368683772161603E-13</v>
      </c>
      <c r="BZ196" s="14">
        <f>BY196*VLOOKUP('Données projet'!$B$12,Paramètres!$A$1:$I$89,3,0)*VLOOKUP('Données projet'!$B$12,Paramètres!$A$1:$I$89,5,0)</f>
        <v>-9.2222762759774927E-14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272.69564942740931</v>
      </c>
      <c r="CE196" s="62">
        <f t="shared" si="148"/>
        <v>316.57989180609252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-2.8421709430404007E-13</v>
      </c>
      <c r="CU196" s="18">
        <f>CT196*VLOOKUP('Données projet'!$B$13,Paramètres!$A$1:$I$89,3,0)*VLOOKUP('Données projet'!$B$13,Paramètres!$A$1:$I$89,5,0)</f>
        <v>-2.7046098693972454E-13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491.87038198656927</v>
      </c>
      <c r="CZ196" s="62">
        <f t="shared" si="150"/>
        <v>406.49261644949559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-1.1368683772161603E-13</v>
      </c>
      <c r="DP196" s="18">
        <f>DO196*VLOOKUP('Données projet'!$B$14,Paramètres!$A$1:$I$89,3,0)*VLOOKUP('Données projet'!$B$14,Paramètres!$A$1:$I$89,5,0)</f>
        <v>-1.0995790944434703E-13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603.52431522262032</v>
      </c>
      <c r="DU196" s="62">
        <f t="shared" si="152"/>
        <v>313.56299786481338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-3.4106051316484809E-13</v>
      </c>
      <c r="EK196" s="18">
        <f>EJ196*VLOOKUP('Données projet'!$B$15,Paramètres!$A$1:$I$89,3,0)*VLOOKUP('Données projet'!$B$15,Paramètres!$A$1:$I$89,5,0)</f>
        <v>-2.7134774427395314E-13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450.93388191845378</v>
      </c>
      <c r="EP196" s="62">
        <f t="shared" si="154"/>
        <v>483.33635017129325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5.6843418860808015E-14</v>
      </c>
      <c r="FF196" s="18">
        <f>FE196*VLOOKUP('Données projet'!$B$16,Paramètres!$A$1:$I$89,3,0)*VLOOKUP('Données projet'!$B$16,Paramètres!$A$1:$I$89,5,0)</f>
        <v>4.4337866711430253E-14</v>
      </c>
      <c r="FG196" s="14">
        <f t="shared" si="182"/>
        <v>7.3222115536967035E-13</v>
      </c>
      <c r="FH196" s="22">
        <f t="shared" si="183"/>
        <v>1.3525069634579169E-12</v>
      </c>
      <c r="FI196" s="62">
        <f t="shared" ref="FI196:FI203" si="199">FH196+(EZ196+FA196)*44/12</f>
        <v>290.20450434630988</v>
      </c>
      <c r="FJ196" s="62">
        <f ca="1">AVERAGE(OFFSET($FI$3,0,0,'Données projet'!$E$16+1,1))-AVERAGE(OFFSET($H$3,0,0,'Données projet'!$E$16+1,1))</f>
        <v>309.21625451786218</v>
      </c>
      <c r="FK196" s="62">
        <f t="shared" si="156"/>
        <v>302.59481222418219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-2.2737367544323206E-13</v>
      </c>
      <c r="O197" s="14">
        <f>N197*VLOOKUP('Données projet'!$B$9,Paramètres!$A$1:$I$89,3,0)*VLOOKUP('Données projet'!$B$9,Paramètres!$A$1:$I$89,5,0)</f>
        <v>-1.8089849618263545E-13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394.70330963327166</v>
      </c>
      <c r="T197" s="62">
        <f t="shared" ref="T197:T203" si="204">$T$3</f>
        <v>424.06445894109982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4.6111381379887463E-14</v>
      </c>
      <c r="AK197" s="14">
        <f t="shared" si="164"/>
        <v>7.5804141040779151E-13</v>
      </c>
      <c r="AL197" s="22">
        <f t="shared" si="165"/>
        <v>1.4005661123635408E-12</v>
      </c>
      <c r="AM197" s="62">
        <f t="shared" si="193"/>
        <v>290.25878253422115</v>
      </c>
      <c r="AN197" s="62">
        <f ca="1">AVERAGE(OFFSET($AM$3,0,0,'Données projet'!$E$10+1,1))-AVERAGE(OFFSET($H$3,0,0,'Données projet'!$E$10+1,1))</f>
        <v>319.39055628111151</v>
      </c>
      <c r="AO197" s="62">
        <f t="shared" ref="AO197:AO203" si="205">$AO$3</f>
        <v>312.22190035638084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projet'!$B$11,Paramètres!$A$1:$I$89,3,0)*VLOOKUP('Données projet'!$B$11,Paramètres!$A$1:$I$89,5,0)</f>
        <v>-8.3355189417488869E-14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257.906524944431</v>
      </c>
      <c r="BJ197" s="62">
        <f t="shared" ref="BJ197:BJ203" si="206">$BJ$3</f>
        <v>274.70390601173563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-1.1368683772161603E-13</v>
      </c>
      <c r="BZ197" s="14">
        <f>BY197*VLOOKUP('Données projet'!$B$12,Paramètres!$A$1:$I$89,3,0)*VLOOKUP('Données projet'!$B$12,Paramètres!$A$1:$I$89,5,0)</f>
        <v>-9.2222762759774927E-14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272.69564942740931</v>
      </c>
      <c r="CE197" s="62">
        <f t="shared" ref="CE197:CE203" si="207">$CE$3</f>
        <v>316.57989180609252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-2.8421709430404007E-13</v>
      </c>
      <c r="CU197" s="18">
        <f>CT197*VLOOKUP('Données projet'!$B$13,Paramètres!$A$1:$I$89,3,0)*VLOOKUP('Données projet'!$B$13,Paramètres!$A$1:$I$89,5,0)</f>
        <v>-2.7046098693972454E-13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491.87038198656927</v>
      </c>
      <c r="CZ197" s="62">
        <f t="shared" ref="CZ197:CZ203" si="208">$CZ$3</f>
        <v>406.49261644949559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-1.1368683772161603E-13</v>
      </c>
      <c r="DP197" s="18">
        <f>DO197*VLOOKUP('Données projet'!$B$14,Paramètres!$A$1:$I$89,3,0)*VLOOKUP('Données projet'!$B$14,Paramètres!$A$1:$I$89,5,0)</f>
        <v>-1.0995790944434703E-13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603.52431522262032</v>
      </c>
      <c r="DU197" s="62">
        <f t="shared" ref="DU197:DU203" si="209">$DU$3</f>
        <v>313.56299786481338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-3.4106051316484809E-13</v>
      </c>
      <c r="EK197" s="18">
        <f>EJ197*VLOOKUP('Données projet'!$B$15,Paramètres!$A$1:$I$89,3,0)*VLOOKUP('Données projet'!$B$15,Paramètres!$A$1:$I$89,5,0)</f>
        <v>-2.7134774427395314E-13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450.93388191845378</v>
      </c>
      <c r="EP197" s="62">
        <f t="shared" ref="EP197:EP203" si="210">$EP$3</f>
        <v>483.33635017129325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5.6843418860808015E-14</v>
      </c>
      <c r="FF197" s="18">
        <f>FE197*VLOOKUP('Données projet'!$B$16,Paramètres!$A$1:$I$89,3,0)*VLOOKUP('Données projet'!$B$16,Paramètres!$A$1:$I$89,5,0)</f>
        <v>4.4337866711430253E-14</v>
      </c>
      <c r="FG197" s="14">
        <f t="shared" si="182"/>
        <v>7.3222115536967035E-13</v>
      </c>
      <c r="FH197" s="22">
        <f t="shared" si="183"/>
        <v>1.3525069634579169E-12</v>
      </c>
      <c r="FI197" s="62">
        <f t="shared" si="199"/>
        <v>290.2587825342211</v>
      </c>
      <c r="FJ197" s="62">
        <f ca="1">AVERAGE(OFFSET($FI$3,0,0,'Données projet'!$E$16+1,1))-AVERAGE(OFFSET($H$3,0,0,'Données projet'!$E$16+1,1))</f>
        <v>309.21625451786218</v>
      </c>
      <c r="FK197" s="62">
        <f t="shared" ref="FK197:FK203" si="211">$FK$3</f>
        <v>302.59481222418219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-2.2737367544323206E-13</v>
      </c>
      <c r="O198" s="14">
        <f>N198*VLOOKUP('Données projet'!$B$9,Paramètres!$A$1:$I$89,3,0)*VLOOKUP('Données projet'!$B$9,Paramètres!$A$1:$I$89,5,0)</f>
        <v>-1.8089849618263545E-13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394.70330963327166</v>
      </c>
      <c r="T198" s="62">
        <f t="shared" si="204"/>
        <v>424.06445894109982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4.6111381379887463E-14</v>
      </c>
      <c r="AK198" s="14">
        <f t="shared" si="164"/>
        <v>7.5804141040779151E-13</v>
      </c>
      <c r="AL198" s="22">
        <f t="shared" si="165"/>
        <v>1.4005661123635408E-12</v>
      </c>
      <c r="AM198" s="62">
        <f t="shared" si="193"/>
        <v>290.31211911691992</v>
      </c>
      <c r="AN198" s="62">
        <f ca="1">AVERAGE(OFFSET($AM$3,0,0,'Données projet'!$E$10+1,1))-AVERAGE(OFFSET($H$3,0,0,'Données projet'!$E$10+1,1))</f>
        <v>319.39055628111151</v>
      </c>
      <c r="AO198" s="62">
        <f t="shared" si="205"/>
        <v>312.22190035638084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projet'!$B$11,Paramètres!$A$1:$I$89,3,0)*VLOOKUP('Données projet'!$B$11,Paramètres!$A$1:$I$89,5,0)</f>
        <v>-8.3355189417488869E-14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257.906524944431</v>
      </c>
      <c r="BJ198" s="62">
        <f t="shared" si="206"/>
        <v>274.70390601173563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-1.1368683772161603E-13</v>
      </c>
      <c r="BZ198" s="14">
        <f>BY198*VLOOKUP('Données projet'!$B$12,Paramètres!$A$1:$I$89,3,0)*VLOOKUP('Données projet'!$B$12,Paramètres!$A$1:$I$89,5,0)</f>
        <v>-9.2222762759774927E-14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272.69564942740931</v>
      </c>
      <c r="CE198" s="62">
        <f t="shared" si="207"/>
        <v>316.57989180609252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-2.8421709430404007E-13</v>
      </c>
      <c r="CU198" s="18">
        <f>CT198*VLOOKUP('Données projet'!$B$13,Paramètres!$A$1:$I$89,3,0)*VLOOKUP('Données projet'!$B$13,Paramètres!$A$1:$I$89,5,0)</f>
        <v>-2.7046098693972454E-13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491.87038198656927</v>
      </c>
      <c r="CZ198" s="62">
        <f t="shared" si="208"/>
        <v>406.49261644949559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-1.1368683772161603E-13</v>
      </c>
      <c r="DP198" s="18">
        <f>DO198*VLOOKUP('Données projet'!$B$14,Paramètres!$A$1:$I$89,3,0)*VLOOKUP('Données projet'!$B$14,Paramètres!$A$1:$I$89,5,0)</f>
        <v>-1.0995790944434703E-13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603.52431522262032</v>
      </c>
      <c r="DU198" s="62">
        <f t="shared" si="209"/>
        <v>313.56299786481338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-3.4106051316484809E-13</v>
      </c>
      <c r="EK198" s="18">
        <f>EJ198*VLOOKUP('Données projet'!$B$15,Paramètres!$A$1:$I$89,3,0)*VLOOKUP('Données projet'!$B$15,Paramètres!$A$1:$I$89,5,0)</f>
        <v>-2.7134774427395314E-13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450.93388191845378</v>
      </c>
      <c r="EP198" s="62">
        <f t="shared" si="210"/>
        <v>483.33635017129325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5.6843418860808015E-14</v>
      </c>
      <c r="FF198" s="18">
        <f>FE198*VLOOKUP('Données projet'!$B$16,Paramètres!$A$1:$I$89,3,0)*VLOOKUP('Données projet'!$B$16,Paramètres!$A$1:$I$89,5,0)</f>
        <v>4.4337866711430253E-14</v>
      </c>
      <c r="FG198" s="14">
        <f t="shared" si="182"/>
        <v>7.3222115536967035E-13</v>
      </c>
      <c r="FH198" s="22">
        <f t="shared" si="183"/>
        <v>1.3525069634579169E-12</v>
      </c>
      <c r="FI198" s="62">
        <f t="shared" si="199"/>
        <v>290.31211911691986</v>
      </c>
      <c r="FJ198" s="62">
        <f ca="1">AVERAGE(OFFSET($FI$3,0,0,'Données projet'!$E$16+1,1))-AVERAGE(OFFSET($H$3,0,0,'Données projet'!$E$16+1,1))</f>
        <v>309.21625451786218</v>
      </c>
      <c r="FK198" s="62">
        <f t="shared" si="211"/>
        <v>302.59481222418219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-2.2737367544323206E-13</v>
      </c>
      <c r="O199" s="14">
        <f>N199*VLOOKUP('Données projet'!$B$9,Paramètres!$A$1:$I$89,3,0)*VLOOKUP('Données projet'!$B$9,Paramètres!$A$1:$I$89,5,0)</f>
        <v>-1.8089849618263545E-13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394.70330963327166</v>
      </c>
      <c r="T199" s="62">
        <f t="shared" si="204"/>
        <v>424.06445894109982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4.6111381379887463E-14</v>
      </c>
      <c r="AK199" s="14">
        <f t="shared" si="164"/>
        <v>7.5804141040779151E-13</v>
      </c>
      <c r="AL199" s="22">
        <f t="shared" si="165"/>
        <v>1.4005661123635408E-12</v>
      </c>
      <c r="AM199" s="62">
        <f t="shared" si="193"/>
        <v>290.36453042915161</v>
      </c>
      <c r="AN199" s="62">
        <f ca="1">AVERAGE(OFFSET($AM$3,0,0,'Données projet'!$E$10+1,1))-AVERAGE(OFFSET($H$3,0,0,'Données projet'!$E$10+1,1))</f>
        <v>319.39055628111151</v>
      </c>
      <c r="AO199" s="62">
        <f t="shared" si="205"/>
        <v>312.22190035638084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projet'!$B$11,Paramètres!$A$1:$I$89,3,0)*VLOOKUP('Données projet'!$B$11,Paramètres!$A$1:$I$89,5,0)</f>
        <v>-8.3355189417488869E-14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257.906524944431</v>
      </c>
      <c r="BJ199" s="62">
        <f t="shared" si="206"/>
        <v>274.70390601173563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-1.1368683772161603E-13</v>
      </c>
      <c r="BZ199" s="14">
        <f>BY199*VLOOKUP('Données projet'!$B$12,Paramètres!$A$1:$I$89,3,0)*VLOOKUP('Données projet'!$B$12,Paramètres!$A$1:$I$89,5,0)</f>
        <v>-9.2222762759774927E-14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272.69564942740931</v>
      </c>
      <c r="CE199" s="62">
        <f t="shared" si="207"/>
        <v>316.57989180609252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-2.8421709430404007E-13</v>
      </c>
      <c r="CU199" s="18">
        <f>CT199*VLOOKUP('Données projet'!$B$13,Paramètres!$A$1:$I$89,3,0)*VLOOKUP('Données projet'!$B$13,Paramètres!$A$1:$I$89,5,0)</f>
        <v>-2.7046098693972454E-13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491.87038198656927</v>
      </c>
      <c r="CZ199" s="62">
        <f t="shared" si="208"/>
        <v>406.49261644949559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-1.1368683772161603E-13</v>
      </c>
      <c r="DP199" s="18">
        <f>DO199*VLOOKUP('Données projet'!$B$14,Paramètres!$A$1:$I$89,3,0)*VLOOKUP('Données projet'!$B$14,Paramètres!$A$1:$I$89,5,0)</f>
        <v>-1.0995790944434703E-13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603.52431522262032</v>
      </c>
      <c r="DU199" s="62">
        <f t="shared" si="209"/>
        <v>313.56299786481338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-3.4106051316484809E-13</v>
      </c>
      <c r="EK199" s="18">
        <f>EJ199*VLOOKUP('Données projet'!$B$15,Paramètres!$A$1:$I$89,3,0)*VLOOKUP('Données projet'!$B$15,Paramètres!$A$1:$I$89,5,0)</f>
        <v>-2.7134774427395314E-13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450.93388191845378</v>
      </c>
      <c r="EP199" s="62">
        <f t="shared" si="210"/>
        <v>483.33635017129325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5.6843418860808015E-14</v>
      </c>
      <c r="FF199" s="18">
        <f>FE199*VLOOKUP('Données projet'!$B$16,Paramètres!$A$1:$I$89,3,0)*VLOOKUP('Données projet'!$B$16,Paramètres!$A$1:$I$89,5,0)</f>
        <v>4.4337866711430253E-14</v>
      </c>
      <c r="FG199" s="14">
        <f t="shared" si="182"/>
        <v>7.3222115536967035E-13</v>
      </c>
      <c r="FH199" s="22">
        <f t="shared" si="183"/>
        <v>1.3525069634579169E-12</v>
      </c>
      <c r="FI199" s="62">
        <f t="shared" si="199"/>
        <v>290.36453042915156</v>
      </c>
      <c r="FJ199" s="62">
        <f ca="1">AVERAGE(OFFSET($FI$3,0,0,'Données projet'!$E$16+1,1))-AVERAGE(OFFSET($H$3,0,0,'Données projet'!$E$16+1,1))</f>
        <v>309.21625451786218</v>
      </c>
      <c r="FK199" s="62">
        <f t="shared" si="211"/>
        <v>302.59481222418219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-2.2737367544323206E-13</v>
      </c>
      <c r="O200" s="14">
        <f>N200*VLOOKUP('Données projet'!$B$9,Paramètres!$A$1:$I$89,3,0)*VLOOKUP('Données projet'!$B$9,Paramètres!$A$1:$I$89,5,0)</f>
        <v>-1.8089849618263545E-13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394.70330963327166</v>
      </c>
      <c r="T200" s="62">
        <f t="shared" si="204"/>
        <v>424.06445894109982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4.6111381379887463E-14</v>
      </c>
      <c r="AK200" s="14">
        <f t="shared" si="164"/>
        <v>7.5804141040779151E-13</v>
      </c>
      <c r="AL200" s="22">
        <f t="shared" si="165"/>
        <v>1.4005661123635408E-12</v>
      </c>
      <c r="AM200" s="62">
        <f t="shared" si="193"/>
        <v>290.41603252229021</v>
      </c>
      <c r="AN200" s="62">
        <f ca="1">AVERAGE(OFFSET($AM$3,0,0,'Données projet'!$E$10+1,1))-AVERAGE(OFFSET($H$3,0,0,'Données projet'!$E$10+1,1))</f>
        <v>319.39055628111151</v>
      </c>
      <c r="AO200" s="62">
        <f t="shared" si="205"/>
        <v>312.22190035638084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projet'!$B$11,Paramètres!$A$1:$I$89,3,0)*VLOOKUP('Données projet'!$B$11,Paramètres!$A$1:$I$89,5,0)</f>
        <v>-8.3355189417488869E-14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257.906524944431</v>
      </c>
      <c r="BJ200" s="62">
        <f t="shared" si="206"/>
        <v>274.70390601173563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-1.1368683772161603E-13</v>
      </c>
      <c r="BZ200" s="14">
        <f>BY200*VLOOKUP('Données projet'!$B$12,Paramètres!$A$1:$I$89,3,0)*VLOOKUP('Données projet'!$B$12,Paramètres!$A$1:$I$89,5,0)</f>
        <v>-9.2222762759774927E-14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272.69564942740931</v>
      </c>
      <c r="CE200" s="62">
        <f t="shared" si="207"/>
        <v>316.57989180609252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-2.8421709430404007E-13</v>
      </c>
      <c r="CU200" s="18">
        <f>CT200*VLOOKUP('Données projet'!$B$13,Paramètres!$A$1:$I$89,3,0)*VLOOKUP('Données projet'!$B$13,Paramètres!$A$1:$I$89,5,0)</f>
        <v>-2.7046098693972454E-13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491.87038198656927</v>
      </c>
      <c r="CZ200" s="62">
        <f t="shared" si="208"/>
        <v>406.49261644949559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-1.1368683772161603E-13</v>
      </c>
      <c r="DP200" s="18">
        <f>DO200*VLOOKUP('Données projet'!$B$14,Paramètres!$A$1:$I$89,3,0)*VLOOKUP('Données projet'!$B$14,Paramètres!$A$1:$I$89,5,0)</f>
        <v>-1.0995790944434703E-13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603.52431522262032</v>
      </c>
      <c r="DU200" s="62">
        <f t="shared" si="209"/>
        <v>313.56299786481338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-3.4106051316484809E-13</v>
      </c>
      <c r="EK200" s="18">
        <f>EJ200*VLOOKUP('Données projet'!$B$15,Paramètres!$A$1:$I$89,3,0)*VLOOKUP('Données projet'!$B$15,Paramètres!$A$1:$I$89,5,0)</f>
        <v>-2.7134774427395314E-13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450.93388191845378</v>
      </c>
      <c r="EP200" s="62">
        <f t="shared" si="210"/>
        <v>483.33635017129325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5.6843418860808015E-14</v>
      </c>
      <c r="FF200" s="18">
        <f>FE200*VLOOKUP('Données projet'!$B$16,Paramètres!$A$1:$I$89,3,0)*VLOOKUP('Données projet'!$B$16,Paramètres!$A$1:$I$89,5,0)</f>
        <v>4.4337866711430253E-14</v>
      </c>
      <c r="FG200" s="14">
        <f t="shared" si="182"/>
        <v>7.3222115536967035E-13</v>
      </c>
      <c r="FH200" s="22">
        <f t="shared" si="183"/>
        <v>1.3525069634579169E-12</v>
      </c>
      <c r="FI200" s="62">
        <f t="shared" si="199"/>
        <v>290.41603252229015</v>
      </c>
      <c r="FJ200" s="62">
        <f ca="1">AVERAGE(OFFSET($FI$3,0,0,'Données projet'!$E$16+1,1))-AVERAGE(OFFSET($H$3,0,0,'Données projet'!$E$16+1,1))</f>
        <v>309.21625451786218</v>
      </c>
      <c r="FK200" s="62">
        <f t="shared" si="211"/>
        <v>302.59481222418219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-2.2737367544323206E-13</v>
      </c>
      <c r="O201" s="14">
        <f>N201*VLOOKUP('Données projet'!$B$9,Paramètres!$A$1:$I$89,3,0)*VLOOKUP('Données projet'!$B$9,Paramètres!$A$1:$I$89,5,0)</f>
        <v>-1.8089849618263545E-13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394.70330963327166</v>
      </c>
      <c r="T201" s="62">
        <f t="shared" si="204"/>
        <v>424.06445894109982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4.6111381379887463E-14</v>
      </c>
      <c r="AK201" s="14">
        <f t="shared" si="164"/>
        <v>7.5804141040779151E-13</v>
      </c>
      <c r="AL201" s="22">
        <f t="shared" si="165"/>
        <v>1.4005661123635408E-12</v>
      </c>
      <c r="AM201" s="62">
        <f t="shared" si="193"/>
        <v>290.46664116925433</v>
      </c>
      <c r="AN201" s="62">
        <f ca="1">AVERAGE(OFFSET($AM$3,0,0,'Données projet'!$E$10+1,1))-AVERAGE(OFFSET($H$3,0,0,'Données projet'!$E$10+1,1))</f>
        <v>319.39055628111151</v>
      </c>
      <c r="AO201" s="62">
        <f t="shared" si="205"/>
        <v>312.22190035638084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projet'!$B$11,Paramètres!$A$1:$I$89,3,0)*VLOOKUP('Données projet'!$B$11,Paramètres!$A$1:$I$89,5,0)</f>
        <v>-8.3355189417488869E-14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257.906524944431</v>
      </c>
      <c r="BJ201" s="62">
        <f t="shared" si="206"/>
        <v>274.70390601173563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-1.1368683772161603E-13</v>
      </c>
      <c r="BZ201" s="14">
        <f>BY201*VLOOKUP('Données projet'!$B$12,Paramètres!$A$1:$I$89,3,0)*VLOOKUP('Données projet'!$B$12,Paramètres!$A$1:$I$89,5,0)</f>
        <v>-9.2222762759774927E-14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272.69564942740931</v>
      </c>
      <c r="CE201" s="62">
        <f t="shared" si="207"/>
        <v>316.57989180609252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-2.8421709430404007E-13</v>
      </c>
      <c r="CU201" s="18">
        <f>CT201*VLOOKUP('Données projet'!$B$13,Paramètres!$A$1:$I$89,3,0)*VLOOKUP('Données projet'!$B$13,Paramètres!$A$1:$I$89,5,0)</f>
        <v>-2.7046098693972454E-13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491.87038198656927</v>
      </c>
      <c r="CZ201" s="62">
        <f t="shared" si="208"/>
        <v>406.49261644949559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-1.1368683772161603E-13</v>
      </c>
      <c r="DP201" s="18">
        <f>DO201*VLOOKUP('Données projet'!$B$14,Paramètres!$A$1:$I$89,3,0)*VLOOKUP('Données projet'!$B$14,Paramètres!$A$1:$I$89,5,0)</f>
        <v>-1.0995790944434703E-13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603.52431522262032</v>
      </c>
      <c r="DU201" s="62">
        <f t="shared" si="209"/>
        <v>313.56299786481338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-3.4106051316484809E-13</v>
      </c>
      <c r="EK201" s="18">
        <f>EJ201*VLOOKUP('Données projet'!$B$15,Paramètres!$A$1:$I$89,3,0)*VLOOKUP('Données projet'!$B$15,Paramètres!$A$1:$I$89,5,0)</f>
        <v>-2.7134774427395314E-13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450.93388191845378</v>
      </c>
      <c r="EP201" s="62">
        <f t="shared" si="210"/>
        <v>483.33635017129325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5.6843418860808015E-14</v>
      </c>
      <c r="FF201" s="18">
        <f>FE201*VLOOKUP('Données projet'!$B$16,Paramètres!$A$1:$I$89,3,0)*VLOOKUP('Données projet'!$B$16,Paramètres!$A$1:$I$89,5,0)</f>
        <v>4.4337866711430253E-14</v>
      </c>
      <c r="FG201" s="14">
        <f t="shared" si="182"/>
        <v>7.3222115536967035E-13</v>
      </c>
      <c r="FH201" s="22">
        <f t="shared" si="183"/>
        <v>1.3525069634579169E-12</v>
      </c>
      <c r="FI201" s="62">
        <f t="shared" si="199"/>
        <v>290.46664116925427</v>
      </c>
      <c r="FJ201" s="62">
        <f ca="1">AVERAGE(OFFSET($FI$3,0,0,'Données projet'!$E$16+1,1))-AVERAGE(OFFSET($H$3,0,0,'Données projet'!$E$16+1,1))</f>
        <v>309.21625451786218</v>
      </c>
      <c r="FK201" s="62">
        <f t="shared" si="211"/>
        <v>302.59481222418219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-2.2737367544323206E-13</v>
      </c>
      <c r="O202" s="14">
        <f>N202*VLOOKUP('Données projet'!$B$9,Paramètres!$A$1:$I$89,3,0)*VLOOKUP('Données projet'!$B$9,Paramètres!$A$1:$I$89,5,0)</f>
        <v>-1.8089849618263545E-13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394.70330963327166</v>
      </c>
      <c r="T202" s="62">
        <f t="shared" si="204"/>
        <v>424.06445894109982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4.6111381379887463E-14</v>
      </c>
      <c r="AK202" s="14">
        <f t="shared" si="164"/>
        <v>7.5804141040779151E-13</v>
      </c>
      <c r="AL202" s="22">
        <f t="shared" si="165"/>
        <v>1.4005661123635408E-12</v>
      </c>
      <c r="AM202" s="62">
        <f t="shared" si="193"/>
        <v>290.51637186933755</v>
      </c>
      <c r="AN202" s="62">
        <f ca="1">AVERAGE(OFFSET($AM$3,0,0,'Données projet'!$E$10+1,1))-AVERAGE(OFFSET($H$3,0,0,'Données projet'!$E$10+1,1))</f>
        <v>319.39055628111151</v>
      </c>
      <c r="AO202" s="62">
        <f t="shared" si="205"/>
        <v>312.22190035638084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projet'!$B$11,Paramètres!$A$1:$I$89,3,0)*VLOOKUP('Données projet'!$B$11,Paramètres!$A$1:$I$89,5,0)</f>
        <v>-8.3355189417488869E-14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257.906524944431</v>
      </c>
      <c r="BJ202" s="62">
        <f t="shared" si="206"/>
        <v>274.70390601173563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-1.1368683772161603E-13</v>
      </c>
      <c r="BZ202" s="14">
        <f>BY202*VLOOKUP('Données projet'!$B$12,Paramètres!$A$1:$I$89,3,0)*VLOOKUP('Données projet'!$B$12,Paramètres!$A$1:$I$89,5,0)</f>
        <v>-9.2222762759774927E-14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272.69564942740931</v>
      </c>
      <c r="CE202" s="62">
        <f t="shared" si="207"/>
        <v>316.57989180609252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-2.8421709430404007E-13</v>
      </c>
      <c r="CU202" s="18">
        <f>CT202*VLOOKUP('Données projet'!$B$13,Paramètres!$A$1:$I$89,3,0)*VLOOKUP('Données projet'!$B$13,Paramètres!$A$1:$I$89,5,0)</f>
        <v>-2.7046098693972454E-13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491.87038198656927</v>
      </c>
      <c r="CZ202" s="62">
        <f t="shared" si="208"/>
        <v>406.49261644949559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-1.1368683772161603E-13</v>
      </c>
      <c r="DP202" s="18">
        <f>DO202*VLOOKUP('Données projet'!$B$14,Paramètres!$A$1:$I$89,3,0)*VLOOKUP('Données projet'!$B$14,Paramètres!$A$1:$I$89,5,0)</f>
        <v>-1.0995790944434703E-13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603.52431522262032</v>
      </c>
      <c r="DU202" s="62">
        <f t="shared" si="209"/>
        <v>313.56299786481338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-3.4106051316484809E-13</v>
      </c>
      <c r="EK202" s="18">
        <f>EJ202*VLOOKUP('Données projet'!$B$15,Paramètres!$A$1:$I$89,3,0)*VLOOKUP('Données projet'!$B$15,Paramètres!$A$1:$I$89,5,0)</f>
        <v>-2.7134774427395314E-13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450.93388191845378</v>
      </c>
      <c r="EP202" s="62">
        <f t="shared" si="210"/>
        <v>483.33635017129325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5.6843418860808015E-14</v>
      </c>
      <c r="FF202" s="18">
        <f>FE202*VLOOKUP('Données projet'!$B$16,Paramètres!$A$1:$I$89,3,0)*VLOOKUP('Données projet'!$B$16,Paramètres!$A$1:$I$89,5,0)</f>
        <v>4.4337866711430253E-14</v>
      </c>
      <c r="FG202" s="14">
        <f t="shared" si="182"/>
        <v>7.3222115536967035E-13</v>
      </c>
      <c r="FH202" s="22">
        <f t="shared" si="183"/>
        <v>1.3525069634579169E-12</v>
      </c>
      <c r="FI202" s="62">
        <f t="shared" si="199"/>
        <v>290.51637186933749</v>
      </c>
      <c r="FJ202" s="62">
        <f ca="1">AVERAGE(OFFSET($FI$3,0,0,'Données projet'!$E$16+1,1))-AVERAGE(OFFSET($H$3,0,0,'Données projet'!$E$16+1,1))</f>
        <v>309.21625451786218</v>
      </c>
      <c r="FK202" s="62">
        <f t="shared" si="211"/>
        <v>302.59481222418219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-2.2737367544323206E-13</v>
      </c>
      <c r="O203" s="14">
        <f>N203*VLOOKUP('Données projet'!$B$9,Paramètres!$A$1:$I$89,3,0)*VLOOKUP('Données projet'!$B$9,Paramètres!$A$1:$I$89,5,0)</f>
        <v>-1.8089849618263545E-13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394.70330963327166</v>
      </c>
      <c r="T203" s="62">
        <f t="shared" si="204"/>
        <v>424.06445894109982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4.6111381379887463E-14</v>
      </c>
      <c r="AK203" s="14">
        <f t="shared" si="164"/>
        <v>7.5804141040779151E-13</v>
      </c>
      <c r="AL203" s="22">
        <f t="shared" si="165"/>
        <v>1.4005661123635408E-12</v>
      </c>
      <c r="AM203" s="62">
        <f t="shared" si="193"/>
        <v>290.56523985295553</v>
      </c>
      <c r="AN203" s="62">
        <f ca="1">AVERAGE(OFFSET($AM$3,0,0,'Données projet'!$E$10+1,1))-AVERAGE(OFFSET($H$3,0,0,'Données projet'!$E$10+1,1))</f>
        <v>319.39055628111151</v>
      </c>
      <c r="AO203" s="62">
        <f t="shared" si="205"/>
        <v>312.22190035638084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projet'!$B$11,Paramètres!$A$1:$I$89,3,0)*VLOOKUP('Données projet'!$B$11,Paramètres!$A$1:$I$89,5,0)</f>
        <v>-8.3355189417488869E-14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257.906524944431</v>
      </c>
      <c r="BJ203" s="62">
        <f t="shared" si="206"/>
        <v>274.70390601173563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-1.1368683772161603E-13</v>
      </c>
      <c r="BZ203" s="14">
        <f>BY203*VLOOKUP('Données projet'!$B$12,Paramètres!$A$1:$I$89,3,0)*VLOOKUP('Données projet'!$B$12,Paramètres!$A$1:$I$89,5,0)</f>
        <v>-9.2222762759774927E-14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272.69564942740931</v>
      </c>
      <c r="CE203" s="62">
        <f t="shared" si="207"/>
        <v>316.57989180609252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-2.8421709430404007E-13</v>
      </c>
      <c r="CU203" s="18">
        <f>CT203*VLOOKUP('Données projet'!$B$13,Paramètres!$A$1:$I$89,3,0)*VLOOKUP('Données projet'!$B$13,Paramètres!$A$1:$I$89,5,0)</f>
        <v>-2.7046098693972454E-13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491.87038198656927</v>
      </c>
      <c r="CZ203" s="62">
        <f t="shared" si="208"/>
        <v>406.49261644949559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-1.1368683772161603E-13</v>
      </c>
      <c r="DP203" s="18">
        <f>DO203*VLOOKUP('Données projet'!$B$14,Paramètres!$A$1:$I$89,3,0)*VLOOKUP('Données projet'!$B$14,Paramètres!$A$1:$I$89,5,0)</f>
        <v>-1.0995790944434703E-13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603.52431522262032</v>
      </c>
      <c r="DU203" s="62">
        <f t="shared" si="209"/>
        <v>313.56299786481338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-3.4106051316484809E-13</v>
      </c>
      <c r="EK203" s="18">
        <f>EJ203*VLOOKUP('Données projet'!$B$15,Paramètres!$A$1:$I$89,3,0)*VLOOKUP('Données projet'!$B$15,Paramètres!$A$1:$I$89,5,0)</f>
        <v>-2.7134774427395314E-13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450.93388191845378</v>
      </c>
      <c r="EP203" s="62">
        <f t="shared" si="210"/>
        <v>483.33635017129325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5.6843418860808015E-14</v>
      </c>
      <c r="FF203" s="18">
        <f>FE203*VLOOKUP('Données projet'!$B$16,Paramètres!$A$1:$I$89,3,0)*VLOOKUP('Données projet'!$B$16,Paramètres!$A$1:$I$89,5,0)</f>
        <v>4.4337866711430253E-14</v>
      </c>
      <c r="FG203" s="14">
        <f t="shared" si="182"/>
        <v>7.3222115536967035E-13</v>
      </c>
      <c r="FH203" s="22">
        <f t="shared" si="183"/>
        <v>1.3525069634579169E-12</v>
      </c>
      <c r="FI203" s="62">
        <f t="shared" si="199"/>
        <v>290.56523985295547</v>
      </c>
      <c r="FJ203" s="62">
        <f ca="1">AVERAGE(OFFSET($FI$3,0,0,'Données projet'!$E$16+1,1))-AVERAGE(OFFSET($H$3,0,0,'Données projet'!$E$16+1,1))</f>
        <v>309.21625451786218</v>
      </c>
      <c r="FK203" s="62">
        <f t="shared" si="211"/>
        <v>302.59481222418219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1.3208724756526424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1.2788040393997409</v>
      </c>
      <c r="BA205" s="88">
        <f>EXP(LN('Données projet'!B88)/'Données projet'!A88)</f>
        <v>1.1577536725165907</v>
      </c>
      <c r="BV205" s="88">
        <f>EXP(LN('Données projet'!B114)/'Données projet'!A114)</f>
        <v>1.2457309396155174</v>
      </c>
      <c r="CQ205" s="88">
        <f>EXP(LN('Données projet'!B140)/'Données projet'!A140)</f>
        <v>1.3264369473759152</v>
      </c>
      <c r="DL205" s="88">
        <f>EXP(LN('Données projet'!B166)/'Données projet'!A166)</f>
        <v>1.2392705892426346</v>
      </c>
      <c r="EG205" s="88">
        <f>EXP(LN('Données projet'!B192)/'Données projet'!A192)</f>
        <v>1.351820999185372</v>
      </c>
      <c r="FB205" s="88">
        <f>EXP(LN('Données projet'!B218)/'Données projet'!A218)</f>
        <v>1.2788040393997409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N25" sqref="N2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Erable plane</v>
      </c>
      <c r="B6" s="155">
        <f>'Données projet'!D9</f>
        <v>0.12839999999999999</v>
      </c>
      <c r="C6" s="156">
        <f ca="1">IF(OR('Données projet'!B9="",'Données projet'!C9="",'Données projet'!C9=0%),0,Calculateur!S3)</f>
        <v>394.70330963327166</v>
      </c>
      <c r="D6" s="156">
        <f>IF(OR('Données projet'!B9="",'Données projet'!C9="",'Données projet'!C9=0%),0,Calculateur!T3)</f>
        <v>424.06445894109982</v>
      </c>
      <c r="E6" s="156">
        <f ca="1">MIN(C6,D6)</f>
        <v>394.70330963327166</v>
      </c>
      <c r="F6" s="156">
        <f ca="1">E6*B6</f>
        <v>50.679904956912075</v>
      </c>
      <c r="G6" s="156">
        <f ca="1">F6*(100%-'Données projet'!$C$24)*(100%-'Données projet'!$C$25)*(100%-'Données projet'!$C$26)*(100%-'Données projet'!$C$27)</f>
        <v>45.61191446122087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4.3976999999999995</v>
      </c>
      <c r="K6" s="160">
        <f>J6*(100%-'Données projet'!$C$24)*(100%-'Données projet'!$C$25)*(100%-'Données projet'!$C$26)*(100%-'Données projet'!$C$27)</f>
        <v>3.9579299999999997</v>
      </c>
      <c r="L6" s="161">
        <f ca="1">G6+I6+K6</f>
        <v>49.569844461220868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Noyer</v>
      </c>
      <c r="B7" s="163">
        <f>'Données projet'!D10</f>
        <v>0.12839999999999999</v>
      </c>
      <c r="C7" s="156">
        <f ca="1">IF(OR('Données projet'!B10="",'Données projet'!C10="",'Données projet'!C10=0%),0,Calculateur!AN3)</f>
        <v>319.39055628111151</v>
      </c>
      <c r="D7" s="156">
        <f>IF(OR('Données projet'!B10="",'Données projet'!C10="",'Données projet'!C10=0%),0,Calculateur!AO3)</f>
        <v>312.22190035638084</v>
      </c>
      <c r="E7" s="156">
        <f t="shared" ref="E7:E15" ca="1" si="0">MIN(C7,D7)</f>
        <v>312.22190035638084</v>
      </c>
      <c r="F7" s="156">
        <f t="shared" ref="F7:F15" ca="1" si="1">E7*B7</f>
        <v>40.089292005759297</v>
      </c>
      <c r="G7" s="156">
        <f ca="1">F7*(100%-'Données projet'!$C$24)*(100%-'Données projet'!$C$25)*(100%-'Données projet'!$C$26)*(100%-'Données projet'!$C$27)</f>
        <v>36.08036280518337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1.7654999999999998</v>
      </c>
      <c r="K7" s="160">
        <f>J7*(100%-'Données projet'!$C$24)*(100%-'Données projet'!$C$25)*(100%-'Données projet'!$C$26)*(100%-'Données projet'!$C$27)</f>
        <v>1.5889499999999999</v>
      </c>
      <c r="L7" s="161">
        <f t="shared" ref="L7:L15" ca="1" si="2">G7+I7+K7</f>
        <v>37.669312805183367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Châtaignier</v>
      </c>
      <c r="B8" s="163">
        <f>'Données projet'!D11</f>
        <v>0.12839999999999999</v>
      </c>
      <c r="C8" s="156">
        <f ca="1">IF(OR('Données projet'!B11="",'Données projet'!C11="",'Données projet'!C11=0%),0,Calculateur!BI3)</f>
        <v>257.906524944431</v>
      </c>
      <c r="D8" s="156">
        <f>IF(OR('Données projet'!B11="",'Données projet'!C11="",'Données projet'!C11=0%),0,Calculateur!BJ3)</f>
        <v>274.70390601173563</v>
      </c>
      <c r="E8" s="156">
        <f t="shared" ca="1" si="0"/>
        <v>257.906524944431</v>
      </c>
      <c r="F8" s="156">
        <f t="shared" ca="1" si="1"/>
        <v>33.115197802864934</v>
      </c>
      <c r="G8" s="156">
        <f ca="1">F8*(100%-'Données projet'!$C$24)*(100%-'Données projet'!$C$25)*(100%-'Données projet'!$C$26)*(100%-'Données projet'!$C$27)</f>
        <v>29.803678022578442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2.0223</v>
      </c>
      <c r="K8" s="160">
        <f>J8*(100%-'Données projet'!$C$24)*(100%-'Données projet'!$C$25)*(100%-'Données projet'!$C$26)*(100%-'Données projet'!$C$27)</f>
        <v>1.8200700000000001</v>
      </c>
      <c r="L8" s="161">
        <f t="shared" ca="1" si="2"/>
        <v>31.623748022578443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Bouleau verruqueux</v>
      </c>
      <c r="B9" s="163">
        <f>'Données projet'!D12</f>
        <v>0.1118</v>
      </c>
      <c r="C9" s="156">
        <f ca="1">IF(OR('Données projet'!B12="",'Données projet'!C12="",'Données projet'!C12=0%),0,Calculateur!CD3)</f>
        <v>272.69564942740931</v>
      </c>
      <c r="D9" s="156">
        <f>IF(OR('Données projet'!B12="",'Données projet'!C12="",'Données projet'!C12=0%),0,Calculateur!CE3)</f>
        <v>316.57989180609252</v>
      </c>
      <c r="E9" s="156">
        <f t="shared" ca="1" si="0"/>
        <v>272.69564942740931</v>
      </c>
      <c r="F9" s="156">
        <f t="shared" ca="1" si="1"/>
        <v>30.487373605984359</v>
      </c>
      <c r="G9" s="156">
        <f ca="1">F9*(100%-'Données projet'!$C$24)*(100%-'Données projet'!$C$25)*(100%-'Données projet'!$C$26)*(100%-'Données projet'!$C$27)</f>
        <v>27.438636245385926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1.1179999999999999</v>
      </c>
      <c r="K9" s="160">
        <f>J9*(100%-'Données projet'!$C$24)*(100%-'Données projet'!$C$25)*(100%-'Données projet'!$C$26)*(100%-'Données projet'!$C$27)</f>
        <v>1.0062</v>
      </c>
      <c r="L9" s="161">
        <f t="shared" ca="1" si="2"/>
        <v>28.444836245385925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Charme</v>
      </c>
      <c r="B10" s="163">
        <f>'Données projet'!D13</f>
        <v>0.1118</v>
      </c>
      <c r="C10" s="156">
        <f ca="1">IF(OR('Données projet'!B13="",'Données projet'!C13="",'Données projet'!C13=0%),0,Calculateur!CY3)</f>
        <v>491.87038198656927</v>
      </c>
      <c r="D10" s="156">
        <f>IF(OR('Données projet'!B13="",'Données projet'!C13="",'Données projet'!C13=0%),0,Calculateur!CZ3)</f>
        <v>406.49261644949559</v>
      </c>
      <c r="E10" s="156">
        <f t="shared" ca="1" si="0"/>
        <v>406.49261644949559</v>
      </c>
      <c r="F10" s="156">
        <f t="shared" ca="1" si="1"/>
        <v>45.445874519053604</v>
      </c>
      <c r="G10" s="156">
        <f ca="1">F10*(100%-'Données projet'!$C$24)*(100%-'Données projet'!$C$25)*(100%-'Données projet'!$C$26)*(100%-'Données projet'!$C$27)</f>
        <v>40.901287067148246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2.0424999999999995</v>
      </c>
      <c r="K10" s="160">
        <f>J10*(100%-'Données projet'!$C$24)*(100%-'Données projet'!$C$25)*(100%-'Données projet'!$C$26)*(100%-'Données projet'!$C$27)</f>
        <v>1.8382499999999997</v>
      </c>
      <c r="L10" s="161">
        <f t="shared" ca="1" si="2"/>
        <v>42.739537067148248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Alisier torminal</v>
      </c>
      <c r="B11" s="163">
        <f>'Données projet'!D14</f>
        <v>0.12839999999999999</v>
      </c>
      <c r="C11" s="156">
        <f ca="1">IF(OR('Données projet'!B14="",'Données projet'!C14="",'Données projet'!C14=0%),0,Calculateur!DT3)</f>
        <v>603.52431522262032</v>
      </c>
      <c r="D11" s="156">
        <f>IF(OR('Données projet'!B14="",'Données projet'!C14="",'Données projet'!C14=0%),0,Calculateur!DU3)</f>
        <v>313.56299786481338</v>
      </c>
      <c r="E11" s="156">
        <f t="shared" ca="1" si="0"/>
        <v>313.56299786481338</v>
      </c>
      <c r="F11" s="156">
        <f t="shared" ca="1" si="1"/>
        <v>40.261488925842031</v>
      </c>
      <c r="G11" s="156">
        <f ca="1">F11*(100%-'Données projet'!$C$24)*(100%-'Données projet'!$C$25)*(100%-'Données projet'!$C$26)*(100%-'Données projet'!$C$27)</f>
        <v>36.235340033257827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1.0913999999999999</v>
      </c>
      <c r="K11" s="160">
        <f>J11*(100%-'Données projet'!$C$24)*(100%-'Données projet'!$C$25)*(100%-'Données projet'!$C$26)*(100%-'Données projet'!$C$27)</f>
        <v>0.98225999999999991</v>
      </c>
      <c r="L11" s="161">
        <f t="shared" ca="1" si="2"/>
        <v>37.217600033257824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>Erable sycomore</v>
      </c>
      <c r="B12" s="163">
        <f>'Données projet'!D15</f>
        <v>0.12839999999999999</v>
      </c>
      <c r="C12" s="156">
        <f ca="1">IF(OR('Données projet'!B15="",'Données projet'!C15="",'Données projet'!C15=0%),0,Calculateur!EO3)</f>
        <v>450.93388191845378</v>
      </c>
      <c r="D12" s="156">
        <f>IF(OR('Données projet'!B15="",'Données projet'!C15="",'Données projet'!C15=0%),0,Calculateur!EP3)</f>
        <v>483.33635017129325</v>
      </c>
      <c r="E12" s="156">
        <f t="shared" ca="1" si="0"/>
        <v>450.93388191845378</v>
      </c>
      <c r="F12" s="156">
        <f t="shared" ca="1" si="1"/>
        <v>57.899910438329456</v>
      </c>
      <c r="G12" s="156">
        <f ca="1">F12*(100%-'Données projet'!$C$24)*(100%-'Données projet'!$C$25)*(100%-'Données projet'!$C$26)*(100%-'Données projet'!$C$27)</f>
        <v>52.109919394496515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5.6174999999999997</v>
      </c>
      <c r="K12" s="160">
        <f>J12*(100%-'Données projet'!$C$24)*(100%-'Données projet'!$C$25)*(100%-'Données projet'!$C$26)*(100%-'Données projet'!$C$27)</f>
        <v>5.0557499999999997</v>
      </c>
      <c r="L12" s="161">
        <f t="shared" ca="1" si="2"/>
        <v>57.165669394496518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>Merisier</v>
      </c>
      <c r="B13" s="163">
        <f>'Données projet'!D16</f>
        <v>0.13439999999999999</v>
      </c>
      <c r="C13" s="156">
        <f ca="1">IF(OR('Données projet'!B16="",'Données projet'!C16="",'Données projet'!C16=0%),0,Calculateur!FJ3)</f>
        <v>309.21625451786218</v>
      </c>
      <c r="D13" s="156">
        <f>IF(OR('Données projet'!B16="",'Données projet'!C16="",'Données projet'!C16=0%),0,Calculateur!FK3)</f>
        <v>302.59481222418219</v>
      </c>
      <c r="E13" s="156">
        <f t="shared" ca="1" si="0"/>
        <v>302.59481222418219</v>
      </c>
      <c r="F13" s="156">
        <f t="shared" ca="1" si="1"/>
        <v>40.668742762930087</v>
      </c>
      <c r="G13" s="156">
        <f ca="1">F13*(100%-'Données projet'!$C$24)*(100%-'Données projet'!$C$25)*(100%-'Données projet'!$C$26)*(100%-'Données projet'!$C$27)</f>
        <v>36.60186848663708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1.8479999999999999</v>
      </c>
      <c r="K13" s="160">
        <f>J13*(100%-'Données projet'!$C$24)*(100%-'Données projet'!$C$25)*(100%-'Données projet'!$C$26)*(100%-'Données projet'!$C$27)</f>
        <v>1.6632</v>
      </c>
      <c r="L13" s="161">
        <f t="shared" ca="1" si="2"/>
        <v>38.265068486637084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338.64778501767586</v>
      </c>
      <c r="G16" s="175">
        <f t="shared" ca="1" si="3"/>
        <v>304.78300651590826</v>
      </c>
      <c r="H16" s="176">
        <f t="shared" si="3"/>
        <v>0</v>
      </c>
      <c r="I16" s="176">
        <f t="shared" si="3"/>
        <v>0</v>
      </c>
      <c r="J16" s="177">
        <f t="shared" si="3"/>
        <v>19.902899999999999</v>
      </c>
      <c r="K16" s="177">
        <f t="shared" si="3"/>
        <v>17.912610000000001</v>
      </c>
      <c r="L16" s="178">
        <f t="shared" ca="1" si="3"/>
        <v>322.69561651590828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Erable plane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Noyer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Châtaignier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Bouleau verruqueux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Charme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Alisier torminal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>Erable sycomore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>Merisier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A10" zoomScale="80" zoomScaleNormal="80" workbookViewId="0">
      <selection activeCell="I21" sqref="I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Erable plane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2097.8337842094033</v>
      </c>
      <c r="U10" s="190">
        <f>'Données projet'!D9</f>
        <v>0.12839999999999999</v>
      </c>
      <c r="V10" s="189">
        <f>U10*T10</f>
        <v>269.36185789248736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Noyer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2298.7094608551211</v>
      </c>
      <c r="U11" s="190">
        <f>'Données projet'!D10</f>
        <v>0.12839999999999999</v>
      </c>
      <c r="V11" s="189">
        <f t="shared" ref="V11" si="0">U11*T11</f>
        <v>295.15429477379752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Châtaignier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891.67978536746853</v>
      </c>
      <c r="U12" s="190">
        <f>'Données projet'!D11</f>
        <v>0.12839999999999999</v>
      </c>
      <c r="V12" s="189">
        <f t="shared" ref="V12:V19" si="1">U12*T12</f>
        <v>114.49168444118294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Bouleau verruqueux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1058.1242928653537</v>
      </c>
      <c r="U13" s="190">
        <f>'Données projet'!D12</f>
        <v>0.1118</v>
      </c>
      <c r="V13" s="189">
        <f t="shared" si="1"/>
        <v>118.29829594234654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Erable plane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Charme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695.15643357000693</v>
      </c>
      <c r="U14" s="190">
        <f>'Données projet'!D13</f>
        <v>0.1118</v>
      </c>
      <c r="V14" s="189">
        <f t="shared" si="1"/>
        <v>77.718489273126778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Alisier torminal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858.81620207483456</v>
      </c>
      <c r="U15" s="190">
        <f>'Données projet'!D14</f>
        <v>0.12839999999999999</v>
      </c>
      <c r="V15" s="189">
        <f t="shared" si="1"/>
        <v>110.27200034640875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>Erable sycomore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2493.3213457583502</v>
      </c>
      <c r="U16" s="190">
        <f>'Données projet'!D15</f>
        <v>0.12839999999999999</v>
      </c>
      <c r="V16" s="189">
        <f t="shared" si="1"/>
        <v>320.14246079537213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>Merisier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2414.8094615668047</v>
      </c>
      <c r="U17" s="190">
        <f>'Données projet'!D16</f>
        <v>0.13439999999999999</v>
      </c>
      <c r="V17" s="189">
        <f t="shared" si="1"/>
        <v>324.55039163457855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8592.9599999999991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15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-6962.9705249006984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20</v>
      </c>
      <c r="B24" s="193">
        <f>'Données projet'!D37</f>
        <v>67</v>
      </c>
      <c r="C24" s="204">
        <v>10</v>
      </c>
      <c r="D24" s="194">
        <f t="shared" ref="D24:D42" si="2">B24*C24</f>
        <v>670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7551.6696913338374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0</v>
      </c>
      <c r="C25" s="204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349</v>
      </c>
      <c r="Q25" s="265"/>
      <c r="R25" s="25"/>
      <c r="S25" s="198" t="s">
        <v>266</v>
      </c>
      <c r="T25" s="341">
        <f ca="1">T23-T24</f>
        <v>-14514.640216234537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70</v>
      </c>
      <c r="C26" s="204">
        <v>15</v>
      </c>
      <c r="D26" s="194">
        <f t="shared" si="2"/>
        <v>1050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35</v>
      </c>
      <c r="B27" s="193">
        <f>'Données projet'!D40</f>
        <v>0</v>
      </c>
      <c r="C27" s="204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40</v>
      </c>
      <c r="B28" s="193">
        <f>'Données projet'!D41</f>
        <v>70</v>
      </c>
      <c r="C28" s="204">
        <v>20</v>
      </c>
      <c r="D28" s="194">
        <f t="shared" si="2"/>
        <v>1400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45</v>
      </c>
      <c r="B29" s="193">
        <f>'Données projet'!D42</f>
        <v>0</v>
      </c>
      <c r="C29" s="204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50</v>
      </c>
      <c r="B30" s="193">
        <f>'Données projet'!D43</f>
        <v>43</v>
      </c>
      <c r="C30" s="204">
        <v>30</v>
      </c>
      <c r="D30" s="194">
        <f t="shared" si="2"/>
        <v>1290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7551.6696913338374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55</v>
      </c>
      <c r="B31" s="193">
        <f>'Données projet'!D44</f>
        <v>0</v>
      </c>
      <c r="C31" s="204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60</v>
      </c>
      <c r="B32" s="193">
        <f>'Données projet'!D45</f>
        <v>30</v>
      </c>
      <c r="C32" s="204">
        <v>40</v>
      </c>
      <c r="D32" s="194">
        <f t="shared" si="2"/>
        <v>1200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65</v>
      </c>
      <c r="B33" s="193">
        <f>'Données projet'!D46</f>
        <v>0</v>
      </c>
      <c r="C33" s="204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349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70</v>
      </c>
      <c r="B34" s="193">
        <f>'Données projet'!D47</f>
        <v>26</v>
      </c>
      <c r="C34" s="204">
        <v>50</v>
      </c>
      <c r="D34" s="194">
        <f t="shared" si="2"/>
        <v>1300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333.97129186602871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75</v>
      </c>
      <c r="B35" s="193">
        <f>'Données projet'!D48</f>
        <v>0</v>
      </c>
      <c r="C35" s="204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319.58975298184572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80</v>
      </c>
      <c r="B36" s="193">
        <f>'Données projet'!D49</f>
        <v>342</v>
      </c>
      <c r="C36" s="206">
        <v>100</v>
      </c>
      <c r="D36" s="194">
        <f t="shared" si="2"/>
        <v>34200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305.82751481516334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292.65790891403202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280.05541522873875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267.99561265908022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256.45513173117723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245.41160931213139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234.84364527476689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224.73076102848509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215.05335983587091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Noyer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205.79268883815402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196.93080271593686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188.45052891477215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180.33543436820301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172.56979365378285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165.13855852036636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158.02732872762334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151.22232414126637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144.71035802992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15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138.47881151188517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20</v>
      </c>
      <c r="B55" s="193">
        <f>'Données projet'!D63</f>
        <v>28</v>
      </c>
      <c r="C55" s="204">
        <v>10</v>
      </c>
      <c r="D55" s="191">
        <f t="shared" ref="D55:D73" si="4">B55*C55</f>
        <v>280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132.5156091022825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25</v>
      </c>
      <c r="B56" s="193">
        <f>'Données projet'!D64</f>
        <v>27</v>
      </c>
      <c r="C56" s="204">
        <v>10</v>
      </c>
      <c r="D56" s="191">
        <f t="shared" si="4"/>
        <v>270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126.80919531318898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31</v>
      </c>
      <c r="B57" s="193">
        <f>'Données projet'!D65</f>
        <v>36</v>
      </c>
      <c r="C57" s="204">
        <v>10</v>
      </c>
      <c r="D57" s="191">
        <f t="shared" si="4"/>
        <v>360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121.34851226142489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37</v>
      </c>
      <c r="B58" s="193">
        <f>'Données projet'!D66</f>
        <v>36</v>
      </c>
      <c r="C58" s="204">
        <v>15</v>
      </c>
      <c r="D58" s="191">
        <f t="shared" si="4"/>
        <v>540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116.12297824059799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44</v>
      </c>
      <c r="B59" s="193">
        <f>'Données projet'!D67</f>
        <v>43</v>
      </c>
      <c r="C59" s="204">
        <v>20</v>
      </c>
      <c r="D59" s="191">
        <f t="shared" si="4"/>
        <v>860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111.12246721588328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52</v>
      </c>
      <c r="B60" s="193">
        <f>'Données projet'!D68</f>
        <v>48</v>
      </c>
      <c r="C60" s="204">
        <v>30</v>
      </c>
      <c r="D60" s="191">
        <f t="shared" si="4"/>
        <v>1440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106.33728920180216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47</v>
      </c>
      <c r="C61" s="204">
        <v>50</v>
      </c>
      <c r="D61" s="191">
        <f t="shared" si="4"/>
        <v>2350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101.75817148497818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69</v>
      </c>
      <c r="B62" s="193">
        <f>'Données projet'!D70</f>
        <v>328</v>
      </c>
      <c r="C62" s="204">
        <v>100</v>
      </c>
      <c r="D62" s="191">
        <f t="shared" si="4"/>
        <v>32800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97.376240655481496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93.183005411944052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89.170340107123479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85.330469002032075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81.655951198116838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78.139666218293627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74.774800208893424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71.554832735783194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68.473524149074834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65.52490349193765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62.703256930083874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60.003116679506114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57.419250411010644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54.94665111101498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Châtaignier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52.580527378961705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50.316294142547093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48.149563772772332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46.076137581600328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44.091997685741937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42.193299220805699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40.376362890723158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38.637667838012604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36.973844821064688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15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35.381669685229376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20</v>
      </c>
      <c r="B86" s="193">
        <f>'Données projet'!D89</f>
        <v>21</v>
      </c>
      <c r="C86" s="204">
        <v>10</v>
      </c>
      <c r="D86" s="191">
        <f t="shared" ref="D86:D104" si="6">B86*C86</f>
        <v>210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33.858057115052034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25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32.400054655552196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30</v>
      </c>
      <c r="B88" s="193">
        <f>'Données projet'!D91</f>
        <v>42</v>
      </c>
      <c r="C88" s="204">
        <v>15</v>
      </c>
      <c r="D88" s="191">
        <f t="shared" si="6"/>
        <v>630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31.004836990959035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35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29.669700469817268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40</v>
      </c>
      <c r="B90" s="193">
        <f>'Données projet'!D93</f>
        <v>42</v>
      </c>
      <c r="C90" s="204">
        <v>20</v>
      </c>
      <c r="D90" s="191">
        <f t="shared" si="6"/>
        <v>840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28.392057865853847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45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27.169433364453447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50</v>
      </c>
      <c r="B92" s="193">
        <f>'Données projet'!D95</f>
        <v>31</v>
      </c>
      <c r="C92" s="204">
        <v>25</v>
      </c>
      <c r="D92" s="191">
        <f t="shared" si="6"/>
        <v>775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25.999457765027223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55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24.879863889978207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60</v>
      </c>
      <c r="B94" s="193">
        <f>'Données projet'!D97</f>
        <v>20</v>
      </c>
      <c r="C94" s="204">
        <v>30</v>
      </c>
      <c r="D94" s="191">
        <f t="shared" si="6"/>
        <v>600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65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70</v>
      </c>
      <c r="B96" s="193">
        <f>'Données projet'!D99</f>
        <v>16</v>
      </c>
      <c r="C96" s="204">
        <v>40</v>
      </c>
      <c r="D96" s="191">
        <f t="shared" si="6"/>
        <v>640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75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80</v>
      </c>
      <c r="B98" s="193">
        <f>'Données projet'!D101</f>
        <v>226</v>
      </c>
      <c r="C98" s="206">
        <v>50</v>
      </c>
      <c r="D98" s="191">
        <f t="shared" si="6"/>
        <v>11300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Bouleau verruqueux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15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20</v>
      </c>
      <c r="B118" s="193">
        <f>'Données projet'!D116</f>
        <v>40</v>
      </c>
      <c r="C118" s="206">
        <v>10</v>
      </c>
      <c r="D118" s="191">
        <f t="shared" si="8"/>
        <v>400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25</v>
      </c>
      <c r="B119" s="193">
        <f>'Données projet'!D117</f>
        <v>0</v>
      </c>
      <c r="C119" s="206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30</v>
      </c>
      <c r="B120" s="193">
        <f>'Données projet'!D118</f>
        <v>0</v>
      </c>
      <c r="C120" s="206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35</v>
      </c>
      <c r="B121" s="193">
        <f>'Données projet'!D119</f>
        <v>76</v>
      </c>
      <c r="C121" s="206">
        <v>15</v>
      </c>
      <c r="D121" s="191">
        <f t="shared" si="8"/>
        <v>1140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40</v>
      </c>
      <c r="B122" s="193">
        <f>'Données projet'!D120</f>
        <v>0</v>
      </c>
      <c r="C122" s="206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45</v>
      </c>
      <c r="B123" s="193">
        <f>'Données projet'!D121</f>
        <v>0</v>
      </c>
      <c r="C123" s="206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50</v>
      </c>
      <c r="B124" s="193">
        <f>'Données projet'!D122</f>
        <v>0</v>
      </c>
      <c r="C124" s="206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55</v>
      </c>
      <c r="B125" s="193">
        <f>'Données projet'!D123</f>
        <v>0</v>
      </c>
      <c r="C125" s="206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60</v>
      </c>
      <c r="B126" s="193">
        <f>'Données projet'!D124</f>
        <v>303</v>
      </c>
      <c r="C126" s="206">
        <v>30</v>
      </c>
      <c r="D126" s="191">
        <f t="shared" si="8"/>
        <v>9090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Charme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15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20</v>
      </c>
      <c r="B148" s="187">
        <f>'Données projet'!D141</f>
        <v>34.615384615384613</v>
      </c>
      <c r="C148" s="204">
        <v>10</v>
      </c>
      <c r="D148" s="194">
        <f t="shared" ref="D148:D166" si="10">B148*C148</f>
        <v>346.15384615384613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25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30</v>
      </c>
      <c r="B150" s="187">
        <f>'Données projet'!D143</f>
        <v>38.46153846153846</v>
      </c>
      <c r="C150" s="204">
        <v>10</v>
      </c>
      <c r="D150" s="194">
        <f t="shared" si="10"/>
        <v>384.61538461538458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35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40</v>
      </c>
      <c r="B152" s="187">
        <f>'Données projet'!D145</f>
        <v>41.025641025641022</v>
      </c>
      <c r="C152" s="204">
        <v>15</v>
      </c>
      <c r="D152" s="194">
        <f t="shared" si="10"/>
        <v>615.38461538461536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45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50</v>
      </c>
      <c r="B154" s="187">
        <f>'Données projet'!D147</f>
        <v>41.025641025641022</v>
      </c>
      <c r="C154" s="204">
        <v>20</v>
      </c>
      <c r="D154" s="194">
        <f t="shared" si="10"/>
        <v>820.51282051282044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55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60</v>
      </c>
      <c r="B156" s="187">
        <f>'Données projet'!D149</f>
        <v>37.820512820512818</v>
      </c>
      <c r="C156" s="204">
        <v>20</v>
      </c>
      <c r="D156" s="194">
        <f t="shared" si="10"/>
        <v>756.41025641025635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65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70</v>
      </c>
      <c r="B158" s="187">
        <f>'Données projet'!D151</f>
        <v>36.53846153846154</v>
      </c>
      <c r="C158" s="204">
        <v>25</v>
      </c>
      <c r="D158" s="194">
        <f t="shared" si="10"/>
        <v>913.46153846153845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75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80</v>
      </c>
      <c r="B160" s="187">
        <f>'Données projet'!D153</f>
        <v>33.974358974358971</v>
      </c>
      <c r="C160" s="204">
        <v>30</v>
      </c>
      <c r="D160" s="194">
        <f t="shared" si="10"/>
        <v>1019.2307692307692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85</v>
      </c>
      <c r="B161" s="187">
        <f>'Données projet'!D154</f>
        <v>0</v>
      </c>
      <c r="C161" s="206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90</v>
      </c>
      <c r="B162" s="187">
        <f>'Données projet'!D155</f>
        <v>32.051282051282051</v>
      </c>
      <c r="C162" s="206">
        <v>35</v>
      </c>
      <c r="D162" s="194">
        <f t="shared" si="10"/>
        <v>1121.7948717948718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95</v>
      </c>
      <c r="B163" s="187">
        <f>'Données projet'!D156</f>
        <v>0</v>
      </c>
      <c r="C163" s="206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100</v>
      </c>
      <c r="B164" s="187">
        <f>'Données projet'!D157</f>
        <v>30.128205128205128</v>
      </c>
      <c r="C164" s="206">
        <v>40</v>
      </c>
      <c r="D164" s="194">
        <f t="shared" si="10"/>
        <v>1205.1282051282051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110</v>
      </c>
      <c r="B165" s="187">
        <f>'Données projet'!D158</f>
        <v>28.205128205128204</v>
      </c>
      <c r="C165" s="206">
        <v>40</v>
      </c>
      <c r="D165" s="194">
        <f t="shared" si="10"/>
        <v>1128.2051282051282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120</v>
      </c>
      <c r="B166" s="187">
        <f>'Données projet'!D159</f>
        <v>319.87179487179486</v>
      </c>
      <c r="C166" s="204">
        <v>50</v>
      </c>
      <c r="D166" s="194">
        <f t="shared" si="10"/>
        <v>15993.589743589742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Alisier torminal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20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25</v>
      </c>
      <c r="B179" s="193">
        <f>'Données projet'!D167</f>
        <v>34</v>
      </c>
      <c r="C179" s="206">
        <v>10</v>
      </c>
      <c r="D179" s="191">
        <f t="shared" ref="D179:D197" si="11">B179*C179</f>
        <v>340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30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35</v>
      </c>
      <c r="B181" s="193">
        <f>'Données projet'!D169</f>
        <v>56</v>
      </c>
      <c r="C181" s="206">
        <v>10</v>
      </c>
      <c r="D181" s="191">
        <f t="shared" si="11"/>
        <v>560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40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45</v>
      </c>
      <c r="B183" s="193">
        <f>'Données projet'!D171</f>
        <v>56</v>
      </c>
      <c r="C183" s="206">
        <v>10</v>
      </c>
      <c r="D183" s="191">
        <f t="shared" si="11"/>
        <v>560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50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55</v>
      </c>
      <c r="B185" s="193">
        <f>'Données projet'!D173</f>
        <v>56</v>
      </c>
      <c r="C185" s="206">
        <v>20</v>
      </c>
      <c r="D185" s="191">
        <f t="shared" si="11"/>
        <v>1120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60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65</v>
      </c>
      <c r="B187" s="193">
        <f>'Données projet'!D175</f>
        <v>56</v>
      </c>
      <c r="C187" s="206">
        <v>30</v>
      </c>
      <c r="D187" s="191">
        <f t="shared" si="11"/>
        <v>1680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70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75</v>
      </c>
      <c r="B189" s="193">
        <f>'Données projet'!D177</f>
        <v>56</v>
      </c>
      <c r="C189" s="206">
        <v>40</v>
      </c>
      <c r="D189" s="191">
        <f t="shared" si="11"/>
        <v>2240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80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90</v>
      </c>
      <c r="B191" s="193">
        <f>'Données projet'!D179</f>
        <v>84</v>
      </c>
      <c r="C191" s="206">
        <v>50</v>
      </c>
      <c r="D191" s="191">
        <f t="shared" si="11"/>
        <v>4200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100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110</v>
      </c>
      <c r="B193" s="193">
        <f>'Données projet'!D181</f>
        <v>106</v>
      </c>
      <c r="C193" s="206">
        <v>70</v>
      </c>
      <c r="D193" s="191">
        <f t="shared" si="11"/>
        <v>7420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120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130</v>
      </c>
      <c r="B195" s="193">
        <f>'Données projet'!D183</f>
        <v>91</v>
      </c>
      <c r="C195" s="206">
        <v>100</v>
      </c>
      <c r="D195" s="191">
        <f t="shared" si="11"/>
        <v>9100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140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150</v>
      </c>
      <c r="B197" s="193">
        <f>'Données projet'!D185</f>
        <v>376</v>
      </c>
      <c r="C197" s="206">
        <v>200</v>
      </c>
      <c r="D197" s="191">
        <f t="shared" si="11"/>
        <v>75200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>Erable sycomore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15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20</v>
      </c>
      <c r="B210" s="193">
        <f>'Données projet'!D193</f>
        <v>91</v>
      </c>
      <c r="C210" s="204">
        <v>10</v>
      </c>
      <c r="D210" s="191">
        <f t="shared" ref="D210:D228" si="12">B210*C210</f>
        <v>910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25</v>
      </c>
      <c r="B211" s="193">
        <f>'Données projet'!D194</f>
        <v>0</v>
      </c>
      <c r="C211" s="204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30</v>
      </c>
      <c r="B212" s="193">
        <f>'Données projet'!D195</f>
        <v>84</v>
      </c>
      <c r="C212" s="204">
        <v>15</v>
      </c>
      <c r="D212" s="191">
        <f t="shared" si="12"/>
        <v>1260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35</v>
      </c>
      <c r="B213" s="193">
        <f>'Données projet'!D196</f>
        <v>0</v>
      </c>
      <c r="C213" s="204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40</v>
      </c>
      <c r="B214" s="193">
        <f>'Données projet'!D197</f>
        <v>82</v>
      </c>
      <c r="C214" s="204">
        <v>20</v>
      </c>
      <c r="D214" s="191">
        <f t="shared" si="12"/>
        <v>1640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45</v>
      </c>
      <c r="B215" s="193">
        <f>'Données projet'!D198</f>
        <v>0</v>
      </c>
      <c r="C215" s="204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50</v>
      </c>
      <c r="B216" s="193">
        <f>'Données projet'!D199</f>
        <v>47</v>
      </c>
      <c r="C216" s="204">
        <v>30</v>
      </c>
      <c r="D216" s="191">
        <f t="shared" si="12"/>
        <v>1410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55</v>
      </c>
      <c r="B217" s="193">
        <f>'Données projet'!D200</f>
        <v>0</v>
      </c>
      <c r="C217" s="204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60</v>
      </c>
      <c r="B218" s="193">
        <f>'Données projet'!D201</f>
        <v>35</v>
      </c>
      <c r="C218" s="204">
        <v>40</v>
      </c>
      <c r="D218" s="191">
        <f t="shared" si="12"/>
        <v>1400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65</v>
      </c>
      <c r="B219" s="193">
        <f>'Données projet'!D202</f>
        <v>0</v>
      </c>
      <c r="C219" s="204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70</v>
      </c>
      <c r="B220" s="193">
        <f>'Données projet'!D203</f>
        <v>31</v>
      </c>
      <c r="C220" s="204">
        <v>50</v>
      </c>
      <c r="D220" s="191">
        <f t="shared" si="12"/>
        <v>1550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75</v>
      </c>
      <c r="B221" s="193">
        <f>'Données projet'!D204</f>
        <v>0</v>
      </c>
      <c r="C221" s="204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80</v>
      </c>
      <c r="B222" s="193">
        <f>'Données projet'!D205</f>
        <v>396</v>
      </c>
      <c r="C222" s="206">
        <v>100</v>
      </c>
      <c r="D222" s="191">
        <f t="shared" si="12"/>
        <v>39600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>Merisier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15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20</v>
      </c>
      <c r="B241" s="193">
        <f>'Données projet'!D219</f>
        <v>28</v>
      </c>
      <c r="C241" s="204">
        <v>10</v>
      </c>
      <c r="D241" s="191">
        <f t="shared" ref="D241:D259" si="13">B241*C241</f>
        <v>280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25</v>
      </c>
      <c r="B242" s="193">
        <f>'Données projet'!D220</f>
        <v>27</v>
      </c>
      <c r="C242" s="204">
        <v>10</v>
      </c>
      <c r="D242" s="191">
        <f t="shared" si="13"/>
        <v>270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31</v>
      </c>
      <c r="B243" s="193">
        <f>'Données projet'!D221</f>
        <v>36</v>
      </c>
      <c r="C243" s="204">
        <v>10</v>
      </c>
      <c r="D243" s="191">
        <f t="shared" si="13"/>
        <v>360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37</v>
      </c>
      <c r="B244" s="193">
        <f>'Données projet'!D222</f>
        <v>36</v>
      </c>
      <c r="C244" s="204">
        <v>15</v>
      </c>
      <c r="D244" s="191">
        <f t="shared" si="13"/>
        <v>540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44</v>
      </c>
      <c r="B245" s="193">
        <f>'Données projet'!D223</f>
        <v>43</v>
      </c>
      <c r="C245" s="204">
        <v>20</v>
      </c>
      <c r="D245" s="191">
        <f t="shared" si="13"/>
        <v>860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52</v>
      </c>
      <c r="B246" s="193">
        <f>'Données projet'!D224</f>
        <v>48</v>
      </c>
      <c r="C246" s="204">
        <v>30</v>
      </c>
      <c r="D246" s="191">
        <f t="shared" si="13"/>
        <v>1440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60</v>
      </c>
      <c r="B247" s="193">
        <f>'Données projet'!D225</f>
        <v>47</v>
      </c>
      <c r="C247" s="204">
        <v>50</v>
      </c>
      <c r="D247" s="191">
        <f t="shared" si="13"/>
        <v>2350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69</v>
      </c>
      <c r="B248" s="193">
        <f>'Données projet'!D226</f>
        <v>328</v>
      </c>
      <c r="C248" s="204">
        <v>100</v>
      </c>
      <c r="D248" s="191">
        <f t="shared" si="13"/>
        <v>32800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2021-02-01T08:22:39Z</dcterms:created>
  <dcterms:modified xsi:type="dcterms:W3CDTF">2022-09-30T09:38:11Z</dcterms:modified>
</cp:coreProperties>
</file>